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undp-my.sharepoint.com/personal/luisa_hele_undp_org/Documents/Documents/GEF-8/AWP/"/>
    </mc:Choice>
  </mc:AlternateContent>
  <xr:revisionPtr revIDLastSave="1" documentId="8_{588CDD33-E695-43D0-AAF0-F2B643FBF4C0}" xr6:coauthVersionLast="47" xr6:coauthVersionMax="47" xr10:uidLastSave="{05ECFCD2-2F66-4543-B9FF-A78818D9440F}"/>
  <bookViews>
    <workbookView xWindow="-120" yWindow="-120" windowWidth="29040" windowHeight="15720" tabRatio="935" firstSheet="50" activeTab="68" xr2:uid="{D0355602-F351-43DC-BBC0-F0BA18DBF289}"/>
  </bookViews>
  <sheets>
    <sheet name="global &amp; 99 COs" sheetId="127" state="hidden" r:id="rId1"/>
    <sheet name="global" sheetId="124" state="hidden" r:id="rId2"/>
    <sheet name="4 RPA COs" sheetId="123" state="hidden" r:id="rId3"/>
    <sheet name="budget_Brazil" sheetId="119" state="hidden" r:id="rId4"/>
    <sheet name="budget_India" sheetId="120" state="hidden" r:id="rId5"/>
    <sheet name="budget_Philippines" sheetId="121" state="hidden" r:id="rId6"/>
    <sheet name="budget_Egypt" sheetId="122" state="hidden" r:id="rId7"/>
    <sheet name="95 COs" sheetId="118" state="hidden" r:id="rId8"/>
    <sheet name="Albania" sheetId="17" r:id="rId9"/>
    <sheet name="Algeria" sheetId="18" r:id="rId10"/>
    <sheet name="Antigua &amp; Barbuda" sheetId="19" r:id="rId11"/>
    <sheet name="Argentina" sheetId="20" r:id="rId12"/>
    <sheet name="Armenia" sheetId="21" r:id="rId13"/>
    <sheet name="Bahamas" sheetId="22" r:id="rId14"/>
    <sheet name="Bangladesh" sheetId="23" r:id="rId15"/>
    <sheet name="Barbados" sheetId="24" r:id="rId16"/>
    <sheet name="Belize" sheetId="25" r:id="rId17"/>
    <sheet name="Benin" sheetId="26" r:id="rId18"/>
    <sheet name="Bhutan" sheetId="27" r:id="rId19"/>
    <sheet name="Botswana" sheetId="28" r:id="rId20"/>
    <sheet name="Burkina Faso" sheetId="29" r:id="rId21"/>
    <sheet name="Burundi" sheetId="30" r:id="rId22"/>
    <sheet name="Cabo Verde" sheetId="31" r:id="rId23"/>
    <sheet name="Cambodia" sheetId="32" r:id="rId24"/>
    <sheet name="Cameroon" sheetId="33" r:id="rId25"/>
    <sheet name="Central African Republic" sheetId="34" r:id="rId26"/>
    <sheet name="Colombia" sheetId="35" r:id="rId27"/>
    <sheet name="Comoros" sheetId="36" r:id="rId28"/>
    <sheet name="Congo (Brazzaville)" sheetId="37" r:id="rId29"/>
    <sheet name="Congo DR" sheetId="38" r:id="rId30"/>
    <sheet name="Costa Rica " sheetId="39" r:id="rId31"/>
    <sheet name="Cote d'Ivoire" sheetId="40" r:id="rId32"/>
    <sheet name="Cuba" sheetId="41" r:id="rId33"/>
    <sheet name="Djibouti" sheetId="42" r:id="rId34"/>
    <sheet name="Dominica" sheetId="43" r:id="rId35"/>
    <sheet name="Dominican Republic" sheetId="44" r:id="rId36"/>
    <sheet name="Ecuador" sheetId="45" r:id="rId37"/>
    <sheet name="El Salvador" sheetId="46" r:id="rId38"/>
    <sheet name="Eritrea" sheetId="47" r:id="rId39"/>
    <sheet name="Ethiopia" sheetId="48" r:id="rId40"/>
    <sheet name="Micronesia" sheetId="49" r:id="rId41"/>
    <sheet name="Fiji" sheetId="50" r:id="rId42"/>
    <sheet name="Gabon" sheetId="51" r:id="rId43"/>
    <sheet name="Gambia" sheetId="52" r:id="rId44"/>
    <sheet name="Georgia" sheetId="53" r:id="rId45"/>
    <sheet name="Ghana" sheetId="54" r:id="rId46"/>
    <sheet name="Grenada" sheetId="55" r:id="rId47"/>
    <sheet name="Guatemala" sheetId="56" r:id="rId48"/>
    <sheet name="Guinea" sheetId="57" r:id="rId49"/>
    <sheet name="Guinea-Bissau" sheetId="58" r:id="rId50"/>
    <sheet name="Haiti" sheetId="59" r:id="rId51"/>
    <sheet name="Honduras" sheetId="60" r:id="rId52"/>
    <sheet name="Jamaica" sheetId="61" r:id="rId53"/>
    <sheet name="Jordan" sheetId="62" r:id="rId54"/>
    <sheet name="Kiribati" sheetId="63" r:id="rId55"/>
    <sheet name="Kyrgyzstan" sheetId="64" r:id="rId56"/>
    <sheet name="Lao PDR" sheetId="65" r:id="rId57"/>
    <sheet name="Lebanon" sheetId="66" r:id="rId58"/>
    <sheet name="Lesotho" sheetId="67" r:id="rId59"/>
    <sheet name="Liberia" sheetId="68" r:id="rId60"/>
    <sheet name="Madagascar" sheetId="69" r:id="rId61"/>
    <sheet name="Maldives" sheetId="70" r:id="rId62"/>
    <sheet name="Mali" sheetId="71" r:id="rId63"/>
    <sheet name="Mauritania" sheetId="72" r:id="rId64"/>
    <sheet name="Mauritius" sheetId="73" r:id="rId65"/>
    <sheet name="Moldova" sheetId="74" r:id="rId66"/>
    <sheet name="Mongolia" sheetId="75" r:id="rId67"/>
    <sheet name="Morocco" sheetId="76" r:id="rId68"/>
    <sheet name="Mozambique" sheetId="77" r:id="rId69"/>
    <sheet name="Namibia" sheetId="78" r:id="rId70"/>
    <sheet name="Nauru" sheetId="79" r:id="rId71"/>
    <sheet name="Nepal" sheetId="80" r:id="rId72"/>
    <sheet name="Niger" sheetId="81" r:id="rId73"/>
    <sheet name="Nigeria" sheetId="82" r:id="rId74"/>
    <sheet name="North Macedonia" sheetId="83" r:id="rId75"/>
    <sheet name="Palau" sheetId="84" r:id="rId76"/>
    <sheet name="Palestinian Authority" sheetId="85" r:id="rId77"/>
    <sheet name="Panama" sheetId="86" r:id="rId78"/>
    <sheet name="Paraguay" sheetId="87" r:id="rId79"/>
    <sheet name="Rwanda" sheetId="88" r:id="rId80"/>
    <sheet name="Samoa" sheetId="89" r:id="rId81"/>
    <sheet name="Senegal" sheetId="90" r:id="rId82"/>
    <sheet name="Seychelles" sheetId="91" r:id="rId83"/>
    <sheet name="Sierra Leone" sheetId="92" r:id="rId84"/>
    <sheet name="Solomon Islands" sheetId="93" r:id="rId85"/>
    <sheet name="South Africa" sheetId="94" r:id="rId86"/>
    <sheet name="St. Lucia" sheetId="95" r:id="rId87"/>
    <sheet name="Suriname" sheetId="96" r:id="rId88"/>
    <sheet name="Tanzania" sheetId="97" r:id="rId89"/>
    <sheet name="Thailand" sheetId="98" r:id="rId90"/>
    <sheet name="Timor-Leste" sheetId="99" r:id="rId91"/>
    <sheet name="Togo" sheetId="100" r:id="rId92"/>
    <sheet name="Tonga" sheetId="101" r:id="rId93"/>
    <sheet name="Trinidad &amp; Tobago" sheetId="102" r:id="rId94"/>
    <sheet name="Tunisia" sheetId="103" r:id="rId95"/>
    <sheet name="Turkey" sheetId="104" r:id="rId96"/>
    <sheet name="Uganda" sheetId="105" r:id="rId97"/>
    <sheet name="Ukraine" sheetId="106" r:id="rId98"/>
    <sheet name="Uruguay" sheetId="107" r:id="rId99"/>
    <sheet name="Vanuatu" sheetId="108" r:id="rId100"/>
    <sheet name="Venezuela" sheetId="109" r:id="rId101"/>
    <sheet name="Zambia" sheetId="110" r:id="rId102"/>
    <sheet name="Zimbabwe" sheetId="111" r:id="rId103"/>
    <sheet name="TBWP tool" sheetId="16" state="hidden" r:id="rId104"/>
    <sheet name="country project" sheetId="9" state="hidden" r:id="rId105"/>
    <sheet name="2026 COB breakdown_new" sheetId="125" state="hidden" r:id="rId106"/>
    <sheet name="2026 COB breakdown_Kris" sheetId="7" state="hidden" r:id="rId107"/>
    <sheet name="2025 COB Estimates" sheetId="112" state="hidden" r:id="rId108"/>
    <sheet name="OP8 part 1 analysis" sheetId="114" state="hidden" r:id="rId109"/>
    <sheet name="RPA_Kris" sheetId="113" state="hidden" r:id="rId110"/>
    <sheet name="breakdown" sheetId="115" state="hidden" r:id="rId111"/>
    <sheet name="TBWP_OP8 part 1_CORE&amp;STAR" sheetId="116" state="hidden" r:id="rId112"/>
  </sheets>
  <externalReferences>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s>
  <definedNames>
    <definedName name="_xlnm._FilterDatabase" localSheetId="107" hidden="1">'2025 COB Estimates'!$B$3:$Z$148</definedName>
    <definedName name="_xlnm._FilterDatabase" localSheetId="2" hidden="1">'4 RPA COs'!$A$3:$T$3</definedName>
    <definedName name="_xlnm._FilterDatabase" localSheetId="7" hidden="1">'95 COs'!$A$7:$Q$7</definedName>
    <definedName name="_xlnm._FilterDatabase" localSheetId="8" hidden="1">Albania!$A$7:$Q$7</definedName>
    <definedName name="_xlnm._FilterDatabase" localSheetId="9" hidden="1">Algeria!$A$7:$Q$7</definedName>
    <definedName name="_xlnm._FilterDatabase" localSheetId="10" hidden="1">'Antigua &amp; Barbuda'!$A$7:$Q$7</definedName>
    <definedName name="_xlnm._FilterDatabase" localSheetId="11" hidden="1">Argentina!$A$7:$Q$7</definedName>
    <definedName name="_xlnm._FilterDatabase" localSheetId="12" hidden="1">Armenia!$A$7:$Q$7</definedName>
    <definedName name="_xlnm._FilterDatabase" localSheetId="13" hidden="1">Bahamas!$A$7:$Q$7</definedName>
    <definedName name="_xlnm._FilterDatabase" localSheetId="14" hidden="1">Bangladesh!$A$7:$Q$7</definedName>
    <definedName name="_xlnm._FilterDatabase" localSheetId="15" hidden="1">Barbados!$A$7:$Q$7</definedName>
    <definedName name="_xlnm._FilterDatabase" localSheetId="16" hidden="1">Belize!$A$7:$Q$7</definedName>
    <definedName name="_xlnm._FilterDatabase" localSheetId="17" hidden="1">Benin!$A$7:$Q$7</definedName>
    <definedName name="_xlnm._FilterDatabase" localSheetId="18" hidden="1">Bhutan!$A$7:$Q$7</definedName>
    <definedName name="_xlnm._FilterDatabase" localSheetId="19" hidden="1">Botswana!$A$7:$Q$7</definedName>
    <definedName name="_xlnm._FilterDatabase" localSheetId="3" hidden="1">budget_Brazil!$A$3:$T$3</definedName>
    <definedName name="_xlnm._FilterDatabase" localSheetId="6" hidden="1">budget_Egypt!$A$3:$T$3</definedName>
    <definedName name="_xlnm._FilterDatabase" localSheetId="4" hidden="1">budget_India!$A$3:$T$3</definedName>
    <definedName name="_xlnm._FilterDatabase" localSheetId="5" hidden="1">budget_Philippines!$A$3:$T$3</definedName>
    <definedName name="_xlnm._FilterDatabase" localSheetId="20" hidden="1">'Burkina Faso'!$A$7:$Q$7</definedName>
    <definedName name="_xlnm._FilterDatabase" localSheetId="21" hidden="1">Burundi!$A$7:$Q$7</definedName>
    <definedName name="_xlnm._FilterDatabase" localSheetId="22" hidden="1">'Cabo Verde'!$A$7:$Q$7</definedName>
    <definedName name="_xlnm._FilterDatabase" localSheetId="23" hidden="1">Cambodia!$A$7:$Q$7</definedName>
    <definedName name="_xlnm._FilterDatabase" localSheetId="24" hidden="1">Cameroon!$A$7:$Q$7</definedName>
    <definedName name="_xlnm._FilterDatabase" localSheetId="25" hidden="1">'Central African Republic'!$A$7:$Q$7</definedName>
    <definedName name="_xlnm._FilterDatabase" localSheetId="26" hidden="1">Colombia!$A$7:$Q$7</definedName>
    <definedName name="_xlnm._FilterDatabase" localSheetId="27" hidden="1">Comoros!$A$7:$Q$7</definedName>
    <definedName name="_xlnm._FilterDatabase" localSheetId="28" hidden="1">'Congo (Brazzaville)'!$A$7:$Q$7</definedName>
    <definedName name="_xlnm._FilterDatabase" localSheetId="29" hidden="1">'Congo DR'!$A$7:$Q$7</definedName>
    <definedName name="_xlnm._FilterDatabase" localSheetId="30" hidden="1">'Costa Rica '!$A$7:$Q$7</definedName>
    <definedName name="_xlnm._FilterDatabase" localSheetId="31" hidden="1">'Cote d''Ivoire'!$A$7:$Q$7</definedName>
    <definedName name="_xlnm._FilterDatabase" localSheetId="104" hidden="1">'country project'!$G$4:$L$104</definedName>
    <definedName name="_xlnm._FilterDatabase" localSheetId="32" hidden="1">Cuba!$A$7:$Q$7</definedName>
    <definedName name="_xlnm._FilterDatabase" localSheetId="33" hidden="1">Djibouti!$A$7:$Q$7</definedName>
    <definedName name="_xlnm._FilterDatabase" localSheetId="34" hidden="1">Dominica!$A$7:$Q$7</definedName>
    <definedName name="_xlnm._FilterDatabase" localSheetId="35" hidden="1">'Dominican Republic'!$A$7:$Q$7</definedName>
    <definedName name="_xlnm._FilterDatabase" localSheetId="36" hidden="1">Ecuador!$A$7:$Q$7</definedName>
    <definedName name="_xlnm._FilterDatabase" localSheetId="37" hidden="1">'El Salvador'!$A$7:$Q$7</definedName>
    <definedName name="_xlnm._FilterDatabase" localSheetId="38" hidden="1">Eritrea!$A$7:$Q$7</definedName>
    <definedName name="_xlnm._FilterDatabase" localSheetId="39" hidden="1">Ethiopia!$A$7:$Q$7</definedName>
    <definedName name="_xlnm._FilterDatabase" localSheetId="41" hidden="1">Fiji!$A$7:$Q$7</definedName>
    <definedName name="_xlnm._FilterDatabase" localSheetId="42" hidden="1">Gabon!$A$7:$Q$7</definedName>
    <definedName name="_xlnm._FilterDatabase" localSheetId="43" hidden="1">Gambia!$A$7:$Q$7</definedName>
    <definedName name="_xlnm._FilterDatabase" localSheetId="44" hidden="1">Georgia!$A$7:$Q$7</definedName>
    <definedName name="_xlnm._FilterDatabase" localSheetId="45" hidden="1">Ghana!$A$7:$Q$7</definedName>
    <definedName name="_xlnm._FilterDatabase" localSheetId="1" hidden="1">global!$A$3:$Q$3</definedName>
    <definedName name="_xlnm._FilterDatabase" localSheetId="0" hidden="1">'global &amp; 99 COs'!$A$3:$Q$3</definedName>
    <definedName name="_xlnm._FilterDatabase" localSheetId="46" hidden="1">Grenada!$A$7:$Q$7</definedName>
    <definedName name="_xlnm._FilterDatabase" localSheetId="47" hidden="1">Guatemala!$A$7:$Q$7</definedName>
    <definedName name="_xlnm._FilterDatabase" localSheetId="48" hidden="1">Guinea!$A$7:$Q$7</definedName>
    <definedName name="_xlnm._FilterDatabase" localSheetId="49" hidden="1">'Guinea-Bissau'!$A$7:$Q$7</definedName>
    <definedName name="_xlnm._FilterDatabase" localSheetId="50" hidden="1">Haiti!$A$7:$Q$7</definedName>
    <definedName name="_xlnm._FilterDatabase" localSheetId="51" hidden="1">Honduras!$A$7:$Q$7</definedName>
    <definedName name="_xlnm._FilterDatabase" localSheetId="52" hidden="1">Jamaica!$A$7:$Q$7</definedName>
    <definedName name="_xlnm._FilterDatabase" localSheetId="53" hidden="1">Jordan!$A$7:$Q$7</definedName>
    <definedName name="_xlnm._FilterDatabase" localSheetId="54" hidden="1">Kiribati!$A$7:$Q$7</definedName>
    <definedName name="_xlnm._FilterDatabase" localSheetId="55" hidden="1">Kyrgyzstan!$A$7:$Q$7</definedName>
    <definedName name="_xlnm._FilterDatabase" localSheetId="56" hidden="1">'Lao PDR'!$A$7:$Q$7</definedName>
    <definedName name="_xlnm._FilterDatabase" localSheetId="57" hidden="1">Lebanon!$A$7:$Q$7</definedName>
    <definedName name="_xlnm._FilterDatabase" localSheetId="58" hidden="1">Lesotho!$A$7:$Q$7</definedName>
    <definedName name="_xlnm._FilterDatabase" localSheetId="59" hidden="1">Liberia!$A$7:$Q$7</definedName>
    <definedName name="_xlnm._FilterDatabase" localSheetId="60" hidden="1">Madagascar!$A$7:$Q$7</definedName>
    <definedName name="_xlnm._FilterDatabase" localSheetId="61" hidden="1">Maldives!$A$7:$Q$7</definedName>
    <definedName name="_xlnm._FilterDatabase" localSheetId="62" hidden="1">Mali!$A$7:$Q$7</definedName>
    <definedName name="_xlnm._FilterDatabase" localSheetId="63" hidden="1">Mauritania!$A$7:$Q$7</definedName>
    <definedName name="_xlnm._FilterDatabase" localSheetId="64" hidden="1">Mauritius!$A$7:$Q$7</definedName>
    <definedName name="_xlnm._FilterDatabase" localSheetId="40" hidden="1">Micronesia!$A$7:$Q$7</definedName>
    <definedName name="_xlnm._FilterDatabase" localSheetId="65" hidden="1">Moldova!$A$7:$Q$7</definedName>
    <definedName name="_xlnm._FilterDatabase" localSheetId="66" hidden="1">Mongolia!$A$7:$Q$7</definedName>
    <definedName name="_xlnm._FilterDatabase" localSheetId="67" hidden="1">Morocco!$A$7:$Q$7</definedName>
    <definedName name="_xlnm._FilterDatabase" localSheetId="68" hidden="1">Mozambique!$A$7:$Q$7</definedName>
    <definedName name="_xlnm._FilterDatabase" localSheetId="69" hidden="1">Namibia!$A$7:$Q$7</definedName>
    <definedName name="_xlnm._FilterDatabase" localSheetId="70" hidden="1">Nauru!$A$7:$Q$7</definedName>
    <definedName name="_xlnm._FilterDatabase" localSheetId="71" hidden="1">Nepal!$A$7:$Q$7</definedName>
    <definedName name="_xlnm._FilterDatabase" localSheetId="72" hidden="1">Niger!$A$7:$Q$7</definedName>
    <definedName name="_xlnm._FilterDatabase" localSheetId="73" hidden="1">Nigeria!$A$7:$Q$7</definedName>
    <definedName name="_xlnm._FilterDatabase" localSheetId="74" hidden="1">'North Macedonia'!$A$7:$Q$7</definedName>
    <definedName name="_xlnm._FilterDatabase" localSheetId="75" hidden="1">Palau!$A$7:$Q$7</definedName>
    <definedName name="_xlnm._FilterDatabase" localSheetId="76" hidden="1">'Palestinian Authority'!$A$7:$Q$7</definedName>
    <definedName name="_xlnm._FilterDatabase" localSheetId="77" hidden="1">Panama!$A$7:$Q$7</definedName>
    <definedName name="_xlnm._FilterDatabase" localSheetId="78" hidden="1">Paraguay!$A$7:$Q$7</definedName>
    <definedName name="_xlnm._FilterDatabase" localSheetId="79" hidden="1">Rwanda!$A$7:$Q$7</definedName>
    <definedName name="_xlnm._FilterDatabase" localSheetId="80" hidden="1">Samoa!$A$7:$Q$7</definedName>
    <definedName name="_xlnm._FilterDatabase" localSheetId="81" hidden="1">Senegal!$A$7:$Q$7</definedName>
    <definedName name="_xlnm._FilterDatabase" localSheetId="82" hidden="1">Seychelles!$A$7:$Q$7</definedName>
    <definedName name="_xlnm._FilterDatabase" localSheetId="83" hidden="1">'Sierra Leone'!$A$7:$Q$7</definedName>
    <definedName name="_xlnm._FilterDatabase" localSheetId="84" hidden="1">'Solomon Islands'!$A$7:$Q$7</definedName>
    <definedName name="_xlnm._FilterDatabase" localSheetId="85" hidden="1">'South Africa'!$A$7:$Q$7</definedName>
    <definedName name="_xlnm._FilterDatabase" localSheetId="86" hidden="1">'St. Lucia'!$A$7:$Q$7</definedName>
    <definedName name="_xlnm._FilterDatabase" localSheetId="87" hidden="1">Suriname!$A$7:$Q$7</definedName>
    <definedName name="_xlnm._FilterDatabase" localSheetId="88" hidden="1">Tanzania!$A$7:$Q$7</definedName>
    <definedName name="_xlnm._FilterDatabase" localSheetId="103" hidden="1">'TBWP tool'!$A$7:$Q$7</definedName>
    <definedName name="_xlnm._FilterDatabase" localSheetId="111" hidden="1">'TBWP_OP8 part 1_CORE&amp;STAR'!$A$3:$Q$3</definedName>
    <definedName name="_xlnm._FilterDatabase" localSheetId="89" hidden="1">Thailand!$A$7:$Q$7</definedName>
    <definedName name="_xlnm._FilterDatabase" localSheetId="90" hidden="1">'Timor-Leste'!$A$7:$Q$7</definedName>
    <definedName name="_xlnm._FilterDatabase" localSheetId="91" hidden="1">Togo!$A$7:$Q$7</definedName>
    <definedName name="_xlnm._FilterDatabase" localSheetId="92" hidden="1">Tonga!$A$7:$Q$7</definedName>
    <definedName name="_xlnm._FilterDatabase" localSheetId="93" hidden="1">'Trinidad &amp; Tobago'!$A$7:$Q$7</definedName>
    <definedName name="_xlnm._FilterDatabase" localSheetId="94" hidden="1">Tunisia!$A$7:$Q$7</definedName>
    <definedName name="_xlnm._FilterDatabase" localSheetId="95" hidden="1">Turkey!$A$7:$Q$7</definedName>
    <definedName name="_xlnm._FilterDatabase" localSheetId="96" hidden="1">Uganda!$A$7:$Q$7</definedName>
    <definedName name="_xlnm._FilterDatabase" localSheetId="97" hidden="1">Ukraine!$A$7:$Q$7</definedName>
    <definedName name="_xlnm._FilterDatabase" localSheetId="98" hidden="1">Uruguay!$A$7:$Q$7</definedName>
    <definedName name="_xlnm._FilterDatabase" localSheetId="99" hidden="1">Vanuatu!$A$7:$Q$7</definedName>
    <definedName name="_xlnm._FilterDatabase" localSheetId="100" hidden="1">Venezuela!$A$7:$Q$7</definedName>
    <definedName name="_xlnm._FilterDatabase" localSheetId="101" hidden="1">Zambia!$A$7:$Q$7</definedName>
    <definedName name="_xlnm._FilterDatabase" localSheetId="102" hidden="1">Zimbabwe!$A$7:$Q$7</definedName>
    <definedName name="_Key1" hidden="1">#REF!</definedName>
    <definedName name="_Order1" hidden="1">255</definedName>
    <definedName name="_Sort" hidden="1">#REF!</definedName>
    <definedName name="Agency">#REF!</definedName>
    <definedName name="allocationlist">#REF!</definedName>
    <definedName name="Boolean">#REF!</definedName>
    <definedName name="Boolean_2">#REF!</definedName>
    <definedName name="bulist" localSheetId="106">#REF!</definedName>
    <definedName name="bulist" localSheetId="105">#REF!</definedName>
    <definedName name="bulist" localSheetId="108">#REF!</definedName>
    <definedName name="bulist" localSheetId="109">[1]BU!$C$4:$J$106</definedName>
    <definedName name="bulist">[1]BU!$C$4:$J$106</definedName>
    <definedName name="cobdata" localSheetId="108">'[2]2025 COB Estimates'!$B$4:$Z$145</definedName>
    <definedName name="cobdata" localSheetId="109">'[1]2025 COB Estimates'!$B$4:$Z$145</definedName>
    <definedName name="cobdata">'2025 COB Estimates'!$B$4:$Z$145</definedName>
    <definedName name="cobratio">[3]breakdown!$BE$6:$BQ$25</definedName>
    <definedName name="COBTABLE" localSheetId="105">'2026 COB breakdown_new'!$A$6:$AL$104</definedName>
    <definedName name="COBTABLE">'2026 COB breakdown_new'!$A$6:$AL$104</definedName>
    <definedName name="contactlist" localSheetId="106">#REF!</definedName>
    <definedName name="contactlist" localSheetId="105">#REF!</definedName>
    <definedName name="contactlist" localSheetId="108">#REF!</definedName>
    <definedName name="contactlist" localSheetId="109">'[1]contact list'!$C$3:$H$124</definedName>
    <definedName name="contactlist">'[1]contact list'!$C$3:$H$124</definedName>
    <definedName name="coreratio" localSheetId="106">'[3]OP8 PIF1 Analysis'!$C$4</definedName>
    <definedName name="coreratio" localSheetId="105">'[3]OP8 PIF1 Analysis'!$C$4</definedName>
    <definedName name="coreratio" localSheetId="108">'[3]OP8 PIF1 Analysis'!$C$4</definedName>
    <definedName name="coreratio" localSheetId="109">'[3]OP8 PIF1 Analysis'!$C$4</definedName>
    <definedName name="coreratio">breakdown!$J$6:$Q$25</definedName>
    <definedName name="coreratio2">breakdown!$AC$6:$AJ$25</definedName>
    <definedName name="coreratio3">breakdown!$AV$6:$BC$25</definedName>
    <definedName name="coreratio4">breakdown!$BO$6:$BV$25</definedName>
    <definedName name="Countries_in_part1_PIF" localSheetId="104">#REF!</definedName>
    <definedName name="Countries_in_part1_PIF">#REF!</definedName>
    <definedName name="countryexp">'[4]PIMS report'!$A$1:$Z$100</definedName>
    <definedName name="countrygrant">'country project'!$C$5:$F$103</definedName>
    <definedName name="countrylist" localSheetId="106">#REF!</definedName>
    <definedName name="countrylist" localSheetId="105">#REF!</definedName>
    <definedName name="countrylist" localSheetId="104">'[4]PIMS budget_OP8 PIF1'!$A$3:$K$101</definedName>
    <definedName name="countrylist" localSheetId="108">#REF!</definedName>
    <definedName name="countrylist" localSheetId="109">'[1]PIMS budget_OP8 PIF1'!$A$3:$K$101</definedName>
    <definedName name="countrylist">'[1]PIMS budget_OP8 PIF1'!$A$3:$K$101</definedName>
    <definedName name="countrylistpif1" localSheetId="107">#REF!</definedName>
    <definedName name="COUNTRYLISTPIF1" localSheetId="2">'[5]country list_PIF 1'!$A$2:$C$100</definedName>
    <definedName name="COUNTRYLISTPIF1" localSheetId="7">'[5]country list_PIF 1'!$A$2:$C$100</definedName>
    <definedName name="COUNTRYLISTPIF1" localSheetId="8">'[5]country list_PIF 1'!$A$2:$C$100</definedName>
    <definedName name="COUNTRYLISTPIF1" localSheetId="9">'[5]country list_PIF 1'!$A$2:$C$100</definedName>
    <definedName name="COUNTRYLISTPIF1" localSheetId="10">'[5]country list_PIF 1'!$A$2:$C$100</definedName>
    <definedName name="COUNTRYLISTPIF1" localSheetId="11">'[5]country list_PIF 1'!$A$2:$C$100</definedName>
    <definedName name="COUNTRYLISTPIF1" localSheetId="12">'[5]country list_PIF 1'!$A$2:$C$100</definedName>
    <definedName name="COUNTRYLISTPIF1" localSheetId="13">'[5]country list_PIF 1'!$A$2:$C$100</definedName>
    <definedName name="COUNTRYLISTPIF1" localSheetId="14">'[5]country list_PIF 1'!$A$2:$C$100</definedName>
    <definedName name="COUNTRYLISTPIF1" localSheetId="15">'[5]country list_PIF 1'!$A$2:$C$100</definedName>
    <definedName name="COUNTRYLISTPIF1" localSheetId="16">'[5]country list_PIF 1'!$A$2:$C$100</definedName>
    <definedName name="COUNTRYLISTPIF1" localSheetId="17">'[5]country list_PIF 1'!$A$2:$C$100</definedName>
    <definedName name="COUNTRYLISTPIF1" localSheetId="18">'[5]country list_PIF 1'!$A$2:$C$100</definedName>
    <definedName name="COUNTRYLISTPIF1" localSheetId="19">'[5]country list_PIF 1'!$A$2:$C$100</definedName>
    <definedName name="COUNTRYLISTPIF1" localSheetId="3">'[5]country list_PIF 1'!$A$2:$C$100</definedName>
    <definedName name="COUNTRYLISTPIF1" localSheetId="6">'[5]country list_PIF 1'!$A$2:$C$100</definedName>
    <definedName name="COUNTRYLISTPIF1" localSheetId="4">'[5]country list_PIF 1'!$A$2:$C$100</definedName>
    <definedName name="COUNTRYLISTPIF1" localSheetId="5">'[5]country list_PIF 1'!$A$2:$C$100</definedName>
    <definedName name="COUNTRYLISTPIF1" localSheetId="20">'[5]country list_PIF 1'!$A$2:$C$100</definedName>
    <definedName name="COUNTRYLISTPIF1" localSheetId="21">'[5]country list_PIF 1'!$A$2:$C$100</definedName>
    <definedName name="COUNTRYLISTPIF1" localSheetId="22">'[5]country list_PIF 1'!$A$2:$C$100</definedName>
    <definedName name="COUNTRYLISTPIF1" localSheetId="23">'[5]country list_PIF 1'!$A$2:$C$100</definedName>
    <definedName name="COUNTRYLISTPIF1" localSheetId="24">'[5]country list_PIF 1'!$A$2:$C$100</definedName>
    <definedName name="COUNTRYLISTPIF1" localSheetId="25">'[5]country list_PIF 1'!$A$2:$C$100</definedName>
    <definedName name="COUNTRYLISTPIF1" localSheetId="26">'[5]country list_PIF 1'!$A$2:$C$100</definedName>
    <definedName name="COUNTRYLISTPIF1" localSheetId="27">'[5]country list_PIF 1'!$A$2:$C$100</definedName>
    <definedName name="COUNTRYLISTPIF1" localSheetId="28">'[5]country list_PIF 1'!$A$2:$C$100</definedName>
    <definedName name="COUNTRYLISTPIF1" localSheetId="29">'[5]country list_PIF 1'!$A$2:$C$100</definedName>
    <definedName name="COUNTRYLISTPIF1" localSheetId="30">'[5]country list_PIF 1'!$A$2:$C$100</definedName>
    <definedName name="COUNTRYLISTPIF1" localSheetId="31">'[5]country list_PIF 1'!$A$2:$C$100</definedName>
    <definedName name="COUNTRYLISTPIF1" localSheetId="32">'[5]country list_PIF 1'!$A$2:$C$100</definedName>
    <definedName name="COUNTRYLISTPIF1" localSheetId="33">'[5]country list_PIF 1'!$A$2:$C$100</definedName>
    <definedName name="COUNTRYLISTPIF1" localSheetId="34">'[5]country list_PIF 1'!$A$2:$C$100</definedName>
    <definedName name="COUNTRYLISTPIF1" localSheetId="35">'[5]country list_PIF 1'!$A$2:$C$100</definedName>
    <definedName name="COUNTRYLISTPIF1" localSheetId="36">'[5]country list_PIF 1'!$A$2:$C$100</definedName>
    <definedName name="COUNTRYLISTPIF1" localSheetId="37">'[5]country list_PIF 1'!$A$2:$C$100</definedName>
    <definedName name="COUNTRYLISTPIF1" localSheetId="38">'[5]country list_PIF 1'!$A$2:$C$100</definedName>
    <definedName name="COUNTRYLISTPIF1" localSheetId="39">'[5]country list_PIF 1'!$A$2:$C$100</definedName>
    <definedName name="COUNTRYLISTPIF1" localSheetId="41">'[5]country list_PIF 1'!$A$2:$C$100</definedName>
    <definedName name="COUNTRYLISTPIF1" localSheetId="42">'[5]country list_PIF 1'!$A$2:$C$100</definedName>
    <definedName name="COUNTRYLISTPIF1" localSheetId="43">'[5]country list_PIF 1'!$A$2:$C$100</definedName>
    <definedName name="COUNTRYLISTPIF1" localSheetId="44">'[5]country list_PIF 1'!$A$2:$C$100</definedName>
    <definedName name="COUNTRYLISTPIF1" localSheetId="45">'[5]country list_PIF 1'!$A$2:$C$100</definedName>
    <definedName name="COUNTRYLISTPIF1" localSheetId="1">'[5]country list_PIF 1'!$A$2:$C$100</definedName>
    <definedName name="COUNTRYLISTPIF1" localSheetId="0">'[5]country list_PIF 1'!$A$2:$C$100</definedName>
    <definedName name="COUNTRYLISTPIF1" localSheetId="46">'[5]country list_PIF 1'!$A$2:$C$100</definedName>
    <definedName name="COUNTRYLISTPIF1" localSheetId="47">'[5]country list_PIF 1'!$A$2:$C$100</definedName>
    <definedName name="COUNTRYLISTPIF1" localSheetId="48">'[5]country list_PIF 1'!$A$2:$C$100</definedName>
    <definedName name="COUNTRYLISTPIF1" localSheetId="49">'[5]country list_PIF 1'!$A$2:$C$100</definedName>
    <definedName name="COUNTRYLISTPIF1" localSheetId="50">'[5]country list_PIF 1'!$A$2:$C$100</definedName>
    <definedName name="COUNTRYLISTPIF1" localSheetId="51">'[5]country list_PIF 1'!$A$2:$C$100</definedName>
    <definedName name="COUNTRYLISTPIF1" localSheetId="52">'[5]country list_PIF 1'!$A$2:$C$100</definedName>
    <definedName name="COUNTRYLISTPIF1" localSheetId="53">'[5]country list_PIF 1'!$A$2:$C$100</definedName>
    <definedName name="COUNTRYLISTPIF1" localSheetId="54">'[5]country list_PIF 1'!$A$2:$C$100</definedName>
    <definedName name="COUNTRYLISTPIF1" localSheetId="55">'[5]country list_PIF 1'!$A$2:$C$100</definedName>
    <definedName name="COUNTRYLISTPIF1" localSheetId="56">'[5]country list_PIF 1'!$A$2:$C$100</definedName>
    <definedName name="COUNTRYLISTPIF1" localSheetId="57">'[5]country list_PIF 1'!$A$2:$C$100</definedName>
    <definedName name="COUNTRYLISTPIF1" localSheetId="58">'[5]country list_PIF 1'!$A$2:$C$100</definedName>
    <definedName name="COUNTRYLISTPIF1" localSheetId="59">'[5]country list_PIF 1'!$A$2:$C$100</definedName>
    <definedName name="COUNTRYLISTPIF1" localSheetId="60">'[5]country list_PIF 1'!$A$2:$C$100</definedName>
    <definedName name="COUNTRYLISTPIF1" localSheetId="61">'[5]country list_PIF 1'!$A$2:$C$100</definedName>
    <definedName name="COUNTRYLISTPIF1" localSheetId="62">'[5]country list_PIF 1'!$A$2:$C$100</definedName>
    <definedName name="COUNTRYLISTPIF1" localSheetId="63">'[5]country list_PIF 1'!$A$2:$C$100</definedName>
    <definedName name="COUNTRYLISTPIF1" localSheetId="64">'[5]country list_PIF 1'!$A$2:$C$100</definedName>
    <definedName name="COUNTRYLISTPIF1" localSheetId="40">'[5]country list_PIF 1'!$A$2:$C$100</definedName>
    <definedName name="COUNTRYLISTPIF1" localSheetId="65">'[5]country list_PIF 1'!$A$2:$C$100</definedName>
    <definedName name="COUNTRYLISTPIF1" localSheetId="66">'[5]country list_PIF 1'!$A$2:$C$100</definedName>
    <definedName name="COUNTRYLISTPIF1" localSheetId="67">'[5]country list_PIF 1'!$A$2:$C$100</definedName>
    <definedName name="COUNTRYLISTPIF1" localSheetId="68">'[5]country list_PIF 1'!$A$2:$C$100</definedName>
    <definedName name="COUNTRYLISTPIF1" localSheetId="69">'[5]country list_PIF 1'!$A$2:$C$100</definedName>
    <definedName name="COUNTRYLISTPIF1" localSheetId="70">'[5]country list_PIF 1'!$A$2:$C$100</definedName>
    <definedName name="COUNTRYLISTPIF1" localSheetId="71">'[5]country list_PIF 1'!$A$2:$C$100</definedName>
    <definedName name="COUNTRYLISTPIF1" localSheetId="72">'[5]country list_PIF 1'!$A$2:$C$100</definedName>
    <definedName name="COUNTRYLISTPIF1" localSheetId="73">'[5]country list_PIF 1'!$A$2:$C$100</definedName>
    <definedName name="COUNTRYLISTPIF1" localSheetId="74">'[5]country list_PIF 1'!$A$2:$C$100</definedName>
    <definedName name="COUNTRYLISTPIF1" localSheetId="108">'[5]country list_PIF 1'!$A$2:$C$100</definedName>
    <definedName name="COUNTRYLISTPIF1" localSheetId="75">'[5]country list_PIF 1'!$A$2:$C$100</definedName>
    <definedName name="COUNTRYLISTPIF1" localSheetId="76">'[5]country list_PIF 1'!$A$2:$C$100</definedName>
    <definedName name="COUNTRYLISTPIF1" localSheetId="77">'[5]country list_PIF 1'!$A$2:$C$100</definedName>
    <definedName name="COUNTRYLISTPIF1" localSheetId="78">'[5]country list_PIF 1'!$A$2:$C$100</definedName>
    <definedName name="COUNTRYLISTPIF1" localSheetId="79">'[5]country list_PIF 1'!$A$2:$C$100</definedName>
    <definedName name="COUNTRYLISTPIF1" localSheetId="80">'[5]country list_PIF 1'!$A$2:$C$100</definedName>
    <definedName name="COUNTRYLISTPIF1" localSheetId="81">'[5]country list_PIF 1'!$A$2:$C$100</definedName>
    <definedName name="COUNTRYLISTPIF1" localSheetId="82">'[5]country list_PIF 1'!$A$2:$C$100</definedName>
    <definedName name="COUNTRYLISTPIF1" localSheetId="83">'[5]country list_PIF 1'!$A$2:$C$100</definedName>
    <definedName name="COUNTRYLISTPIF1" localSheetId="84">'[5]country list_PIF 1'!$A$2:$C$100</definedName>
    <definedName name="COUNTRYLISTPIF1" localSheetId="85">'[5]country list_PIF 1'!$A$2:$C$100</definedName>
    <definedName name="COUNTRYLISTPIF1" localSheetId="86">'[5]country list_PIF 1'!$A$2:$C$100</definedName>
    <definedName name="COUNTRYLISTPIF1" localSheetId="87">'[5]country list_PIF 1'!$A$2:$C$100</definedName>
    <definedName name="COUNTRYLISTPIF1" localSheetId="88">'[5]country list_PIF 1'!$A$2:$C$100</definedName>
    <definedName name="COUNTRYLISTPIF1" localSheetId="103">'[5]country list_PIF 1'!$A$2:$C$100</definedName>
    <definedName name="COUNTRYLISTPIF1" localSheetId="111">'[5]country list_PIF 1'!$A$2:$C$100</definedName>
    <definedName name="COUNTRYLISTPIF1" localSheetId="89">'[5]country list_PIF 1'!$A$2:$C$100</definedName>
    <definedName name="COUNTRYLISTPIF1" localSheetId="90">'[5]country list_PIF 1'!$A$2:$C$100</definedName>
    <definedName name="COUNTRYLISTPIF1" localSheetId="91">'[5]country list_PIF 1'!$A$2:$C$100</definedName>
    <definedName name="COUNTRYLISTPIF1" localSheetId="92">'[5]country list_PIF 1'!$A$2:$C$100</definedName>
    <definedName name="COUNTRYLISTPIF1" localSheetId="93">'[5]country list_PIF 1'!$A$2:$C$100</definedName>
    <definedName name="COUNTRYLISTPIF1" localSheetId="94">'[5]country list_PIF 1'!$A$2:$C$100</definedName>
    <definedName name="COUNTRYLISTPIF1" localSheetId="95">'[5]country list_PIF 1'!$A$2:$C$100</definedName>
    <definedName name="COUNTRYLISTPIF1" localSheetId="96">'[5]country list_PIF 1'!$A$2:$C$100</definedName>
    <definedName name="COUNTRYLISTPIF1" localSheetId="97">'[5]country list_PIF 1'!$A$2:$C$100</definedName>
    <definedName name="COUNTRYLISTPIF1" localSheetId="98">'[5]country list_PIF 1'!$A$2:$C$100</definedName>
    <definedName name="COUNTRYLISTPIF1" localSheetId="99">'[5]country list_PIF 1'!$A$2:$C$100</definedName>
    <definedName name="COUNTRYLISTPIF1" localSheetId="100">'[5]country list_PIF 1'!$A$2:$C$100</definedName>
    <definedName name="COUNTRYLISTPIF1" localSheetId="101">'[5]country list_PIF 1'!$A$2:$C$100</definedName>
    <definedName name="COUNTRYLISTPIF1" localSheetId="102">'[5]country list_PIF 1'!$A$2:$C$100</definedName>
    <definedName name="countrylistpif1">'[6]country list_PIF 1'!$A$2:$B$100</definedName>
    <definedName name="EA">#REF!</definedName>
    <definedName name="EAstatus">#REF!</definedName>
    <definedName name="f">#REF!</definedName>
    <definedName name="FA">#REF!</definedName>
    <definedName name="FocalArea">#REF!</definedName>
    <definedName name="GEF_ID">#REF!</definedName>
    <definedName name="IA">#REF!</definedName>
    <definedName name="ImplementationStatus">#REF!</definedName>
    <definedName name="lm">#REF!</definedName>
    <definedName name="loicountrypif2" localSheetId="104">#REF!</definedName>
    <definedName name="loicountrypif2" localSheetId="108">'[7]Final LOI list_10JUN25'!$A$2:$A$120</definedName>
    <definedName name="loicountrypif2">#REF!</definedName>
    <definedName name="ML">#REF!</definedName>
    <definedName name="op7admin">'[8]OP7 admin'!$A$2:$K$112</definedName>
    <definedName name="OP8PIF1" localSheetId="104">#REF!</definedName>
    <definedName name="OP8PIF1">#REF!</definedName>
    <definedName name="OP8PIF2STAR" localSheetId="107">#REF!</definedName>
    <definedName name="OP8PIF2STAR" localSheetId="2">[5]!Table13534352[[Countries]:[Endorsed to SGP ]]</definedName>
    <definedName name="OP8PIF2STAR" localSheetId="3">[5]!Table13534352[[Countries]:[Endorsed to SGP ]]</definedName>
    <definedName name="OP8PIF2STAR" localSheetId="6">[5]!Table13534352[[Countries]:[Endorsed to SGP ]]</definedName>
    <definedName name="OP8PIF2STAR" localSheetId="4">[5]!Table13534352[[Countries]:[Endorsed to SGP ]]</definedName>
    <definedName name="OP8PIF2STAR" localSheetId="5">[5]!Table13534352[[Countries]:[Endorsed to SGP ]]</definedName>
    <definedName name="OP8PIF2STAR" localSheetId="108">#REF!</definedName>
    <definedName name="OP8PIF2STAR">'[6]SGP OP8 Average Grant Estimates'!#REF!</definedName>
    <definedName name="part2star">[9]!Table135343523[[Countries]:[Endorsed to SGP ]]</definedName>
    <definedName name="percentagetable">'[10]percentage_without M&amp;E'!$A$5:$P$26</definedName>
    <definedName name="personnelcost">#REF!</definedName>
    <definedName name="PIMSNUMBER">'[11]PIMS ID_OP8 PIF1'!$C$2:$D$100</definedName>
    <definedName name="ProjectSize">#REF!</definedName>
    <definedName name="Psize">#REF!</definedName>
    <definedName name="Psize1">#REF!</definedName>
    <definedName name="Rate">#REF!</definedName>
    <definedName name="Rating">#REF!</definedName>
    <definedName name="rbalist" localSheetId="106">'[12]latest desk officer_RBA RBAS'!$A$2:$D$46</definedName>
    <definedName name="rbalist" localSheetId="105">'[12]latest desk officer_RBA RBAS'!$A$2:$D$46</definedName>
    <definedName name="rbalist" localSheetId="108">'[12]latest desk officer_RBA RBAS'!$A$2:$D$46</definedName>
    <definedName name="rbalist" localSheetId="109">'[13]latest desk officer_RBA RBAS'!$A$2:$D$46</definedName>
    <definedName name="rbalist">'[13]latest desk officer_RBA RBAS'!$A$2:$D$46</definedName>
    <definedName name="Reg">#REF!</definedName>
    <definedName name="Region">#REF!</definedName>
    <definedName name="regionlist" localSheetId="104">'[4]UNDP region'!$A$2:$B$136</definedName>
    <definedName name="regionlist" localSheetId="109">#REF!</definedName>
    <definedName name="regionlist">#REF!</definedName>
    <definedName name="Risk">#REF!</definedName>
    <definedName name="RiskRate">#REF!</definedName>
    <definedName name="rpacoreratio">[3]breakdown!$Q$6:$X$25</definedName>
    <definedName name="rpacoreratio2">[3]breakdown!$AK$6:$AR$25</definedName>
    <definedName name="rpastarratio">[3]breakdown!$AA$7:$AH$26</definedName>
    <definedName name="rpastarratio2">[3]breakdown!$AU$7:$BB$26</definedName>
    <definedName name="starratio" localSheetId="106">'[3]OP8 PIF1 Analysis'!$C$5</definedName>
    <definedName name="starratio" localSheetId="105">'[3]OP8 PIF1 Analysis'!$C$5</definedName>
    <definedName name="starratio" localSheetId="108">'[3]OP8 PIF1 Analysis'!$C$5</definedName>
    <definedName name="starratio" localSheetId="109">'[3]OP8 PIF1 Analysis'!$C$5</definedName>
    <definedName name="starratio">breakdown!$A$6:$H$25</definedName>
    <definedName name="starratio2">breakdown!$T$6:$AA$25</definedName>
    <definedName name="starratio3">breakdown!$AM$6:$AT$25</definedName>
    <definedName name="starratio4">breakdown!$BF$6:$BM$25</definedName>
    <definedName name="startable">[14]!Table135343523[[Countries]:[Endorsed to SGP ]]</definedName>
    <definedName name="Status">#REF!</definedName>
    <definedName name="Status1">#REF!</definedName>
    <definedName name="Status2">#REF!</definedName>
    <definedName name="StatusImplementation">#REF!</definedName>
    <definedName name="TF">#REF!</definedName>
    <definedName name="un2unratio">[3]breakdown!$A$6:$M$25</definedName>
    <definedName name="UNDP_ISO_2021">#REF!</definedName>
    <definedName name="undpregion" localSheetId="2">'[5]UNDP region'!$A$2:$B$136</definedName>
    <definedName name="undpregion" localSheetId="7">'[5]UNDP region'!$A$2:$B$136</definedName>
    <definedName name="undpregion" localSheetId="8">'[5]UNDP region'!$A$2:$B$136</definedName>
    <definedName name="undpregion" localSheetId="9">'[5]UNDP region'!$A$2:$B$136</definedName>
    <definedName name="undpregion" localSheetId="10">'[5]UNDP region'!$A$2:$B$136</definedName>
    <definedName name="undpregion" localSheetId="11">'[5]UNDP region'!$A$2:$B$136</definedName>
    <definedName name="undpregion" localSheetId="12">'[5]UNDP region'!$A$2:$B$136</definedName>
    <definedName name="undpregion" localSheetId="13">'[5]UNDP region'!$A$2:$B$136</definedName>
    <definedName name="undpregion" localSheetId="14">'[5]UNDP region'!$A$2:$B$136</definedName>
    <definedName name="undpregion" localSheetId="15">'[5]UNDP region'!$A$2:$B$136</definedName>
    <definedName name="undpregion" localSheetId="16">'[5]UNDP region'!$A$2:$B$136</definedName>
    <definedName name="undpregion" localSheetId="17">'[5]UNDP region'!$A$2:$B$136</definedName>
    <definedName name="undpregion" localSheetId="18">'[5]UNDP region'!$A$2:$B$136</definedName>
    <definedName name="undpregion" localSheetId="19">'[5]UNDP region'!$A$2:$B$136</definedName>
    <definedName name="undpregion" localSheetId="3">'[5]UNDP region'!$A$2:$B$136</definedName>
    <definedName name="undpregion" localSheetId="6">'[5]UNDP region'!$A$2:$B$136</definedName>
    <definedName name="undpregion" localSheetId="4">'[5]UNDP region'!$A$2:$B$136</definedName>
    <definedName name="undpregion" localSheetId="5">'[5]UNDP region'!$A$2:$B$136</definedName>
    <definedName name="undpregion" localSheetId="20">'[5]UNDP region'!$A$2:$B$136</definedName>
    <definedName name="undpregion" localSheetId="21">'[5]UNDP region'!$A$2:$B$136</definedName>
    <definedName name="undpregion" localSheetId="22">'[5]UNDP region'!$A$2:$B$136</definedName>
    <definedName name="undpregion" localSheetId="23">'[5]UNDP region'!$A$2:$B$136</definedName>
    <definedName name="undpregion" localSheetId="24">'[5]UNDP region'!$A$2:$B$136</definedName>
    <definedName name="undpregion" localSheetId="25">'[5]UNDP region'!$A$2:$B$136</definedName>
    <definedName name="undpregion" localSheetId="26">'[5]UNDP region'!$A$2:$B$136</definedName>
    <definedName name="undpregion" localSheetId="27">'[5]UNDP region'!$A$2:$B$136</definedName>
    <definedName name="undpregion" localSheetId="28">'[5]UNDP region'!$A$2:$B$136</definedName>
    <definedName name="undpregion" localSheetId="29">'[5]UNDP region'!$A$2:$B$136</definedName>
    <definedName name="undpregion" localSheetId="30">'[5]UNDP region'!$A$2:$B$136</definedName>
    <definedName name="undpregion" localSheetId="31">'[5]UNDP region'!$A$2:$B$136</definedName>
    <definedName name="undpregion" localSheetId="104">#REF!</definedName>
    <definedName name="undpregion" localSheetId="32">'[5]UNDP region'!$A$2:$B$136</definedName>
    <definedName name="undpregion" localSheetId="33">'[5]UNDP region'!$A$2:$B$136</definedName>
    <definedName name="undpregion" localSheetId="34">'[5]UNDP region'!$A$2:$B$136</definedName>
    <definedName name="undpregion" localSheetId="35">'[5]UNDP region'!$A$2:$B$136</definedName>
    <definedName name="undpregion" localSheetId="36">'[5]UNDP region'!$A$2:$B$136</definedName>
    <definedName name="undpregion" localSheetId="37">'[5]UNDP region'!$A$2:$B$136</definedName>
    <definedName name="undpregion" localSheetId="38">'[5]UNDP region'!$A$2:$B$136</definedName>
    <definedName name="undpregion" localSheetId="39">'[5]UNDP region'!$A$2:$B$136</definedName>
    <definedName name="undpregion" localSheetId="41">'[5]UNDP region'!$A$2:$B$136</definedName>
    <definedName name="undpregion" localSheetId="42">'[5]UNDP region'!$A$2:$B$136</definedName>
    <definedName name="undpregion" localSheetId="43">'[5]UNDP region'!$A$2:$B$136</definedName>
    <definedName name="undpregion" localSheetId="44">'[5]UNDP region'!$A$2:$B$136</definedName>
    <definedName name="undpregion" localSheetId="45">'[5]UNDP region'!$A$2:$B$136</definedName>
    <definedName name="undpregion" localSheetId="1">'[5]UNDP region'!$A$2:$B$136</definedName>
    <definedName name="undpregion" localSheetId="0">'[5]UNDP region'!$A$2:$B$136</definedName>
    <definedName name="undpregion" localSheetId="46">'[5]UNDP region'!$A$2:$B$136</definedName>
    <definedName name="undpregion" localSheetId="47">'[5]UNDP region'!$A$2:$B$136</definedName>
    <definedName name="undpregion" localSheetId="48">'[5]UNDP region'!$A$2:$B$136</definedName>
    <definedName name="undpregion" localSheetId="49">'[5]UNDP region'!$A$2:$B$136</definedName>
    <definedName name="undpregion" localSheetId="50">'[5]UNDP region'!$A$2:$B$136</definedName>
    <definedName name="undpregion" localSheetId="51">'[5]UNDP region'!$A$2:$B$136</definedName>
    <definedName name="undpregion" localSheetId="52">'[5]UNDP region'!$A$2:$B$136</definedName>
    <definedName name="undpregion" localSheetId="53">'[5]UNDP region'!$A$2:$B$136</definedName>
    <definedName name="undpregion" localSheetId="54">'[5]UNDP region'!$A$2:$B$136</definedName>
    <definedName name="undpregion" localSheetId="55">'[5]UNDP region'!$A$2:$B$136</definedName>
    <definedName name="undpregion" localSheetId="56">'[5]UNDP region'!$A$2:$B$136</definedName>
    <definedName name="undpregion" localSheetId="57">'[5]UNDP region'!$A$2:$B$136</definedName>
    <definedName name="undpregion" localSheetId="58">'[5]UNDP region'!$A$2:$B$136</definedName>
    <definedName name="undpregion" localSheetId="59">'[5]UNDP region'!$A$2:$B$136</definedName>
    <definedName name="undpregion" localSheetId="60">'[5]UNDP region'!$A$2:$B$136</definedName>
    <definedName name="undpregion" localSheetId="61">'[5]UNDP region'!$A$2:$B$136</definedName>
    <definedName name="undpregion" localSheetId="62">'[5]UNDP region'!$A$2:$B$136</definedName>
    <definedName name="undpregion" localSheetId="63">'[5]UNDP region'!$A$2:$B$136</definedName>
    <definedName name="undpregion" localSheetId="64">'[5]UNDP region'!$A$2:$B$136</definedName>
    <definedName name="undpregion" localSheetId="40">'[5]UNDP region'!$A$2:$B$136</definedName>
    <definedName name="undpregion" localSheetId="65">'[5]UNDP region'!$A$2:$B$136</definedName>
    <definedName name="undpregion" localSheetId="66">'[5]UNDP region'!$A$2:$B$136</definedName>
    <definedName name="undpregion" localSheetId="67">'[5]UNDP region'!$A$2:$B$136</definedName>
    <definedName name="undpregion" localSheetId="68">'[5]UNDP region'!$A$2:$B$136</definedName>
    <definedName name="undpregion" localSheetId="69">'[5]UNDP region'!$A$2:$B$136</definedName>
    <definedName name="undpregion" localSheetId="70">'[5]UNDP region'!$A$2:$B$136</definedName>
    <definedName name="undpregion" localSheetId="71">'[5]UNDP region'!$A$2:$B$136</definedName>
    <definedName name="undpregion" localSheetId="72">'[5]UNDP region'!$A$2:$B$136</definedName>
    <definedName name="undpregion" localSheetId="73">'[5]UNDP region'!$A$2:$B$136</definedName>
    <definedName name="undpregion" localSheetId="74">'[5]UNDP region'!$A$2:$B$136</definedName>
    <definedName name="undpregion" localSheetId="75">'[5]UNDP region'!$A$2:$B$136</definedName>
    <definedName name="undpregion" localSheetId="76">'[5]UNDP region'!$A$2:$B$136</definedName>
    <definedName name="undpregion" localSheetId="77">'[5]UNDP region'!$A$2:$B$136</definedName>
    <definedName name="undpregion" localSheetId="78">'[5]UNDP region'!$A$2:$B$136</definedName>
    <definedName name="undpregion" localSheetId="79">'[5]UNDP region'!$A$2:$B$136</definedName>
    <definedName name="undpregion" localSheetId="80">'[5]UNDP region'!$A$2:$B$136</definedName>
    <definedName name="undpregion" localSheetId="81">'[5]UNDP region'!$A$2:$B$136</definedName>
    <definedName name="undpregion" localSheetId="82">'[5]UNDP region'!$A$2:$B$136</definedName>
    <definedName name="undpregion" localSheetId="83">'[5]UNDP region'!$A$2:$B$136</definedName>
    <definedName name="undpregion" localSheetId="84">'[5]UNDP region'!$A$2:$B$136</definedName>
    <definedName name="undpregion" localSheetId="85">'[5]UNDP region'!$A$2:$B$136</definedName>
    <definedName name="undpregion" localSheetId="86">'[5]UNDP region'!$A$2:$B$136</definedName>
    <definedName name="undpregion" localSheetId="87">'[5]UNDP region'!$A$2:$B$136</definedName>
    <definedName name="undpregion" localSheetId="88">'[5]UNDP region'!$A$2:$B$136</definedName>
    <definedName name="undpregion" localSheetId="103">'[5]UNDP region'!$A$2:$B$136</definedName>
    <definedName name="undpregion" localSheetId="111">'[5]UNDP region'!$A$2:$B$136</definedName>
    <definedName name="undpregion" localSheetId="89">'[5]UNDP region'!$A$2:$B$136</definedName>
    <definedName name="undpregion" localSheetId="90">'[5]UNDP region'!$A$2:$B$136</definedName>
    <definedName name="undpregion" localSheetId="91">'[5]UNDP region'!$A$2:$B$136</definedName>
    <definedName name="undpregion" localSheetId="92">'[5]UNDP region'!$A$2:$B$136</definedName>
    <definedName name="undpregion" localSheetId="93">'[5]UNDP region'!$A$2:$B$136</definedName>
    <definedName name="undpregion" localSheetId="94">'[5]UNDP region'!$A$2:$B$136</definedName>
    <definedName name="undpregion" localSheetId="95">'[5]UNDP region'!$A$2:$B$136</definedName>
    <definedName name="undpregion" localSheetId="96">'[5]UNDP region'!$A$2:$B$136</definedName>
    <definedName name="undpregion" localSheetId="97">'[5]UNDP region'!$A$2:$B$136</definedName>
    <definedName name="undpregion" localSheetId="98">'[5]UNDP region'!$A$2:$B$136</definedName>
    <definedName name="undpregion" localSheetId="99">'[5]UNDP region'!$A$2:$B$136</definedName>
    <definedName name="undpregion" localSheetId="100">'[5]UNDP region'!$A$2:$B$136</definedName>
    <definedName name="undpregion" localSheetId="101">'[5]UNDP region'!$A$2:$B$136</definedName>
    <definedName name="undpregion" localSheetId="102">'[5]UNDP region'!$A$2:$B$136</definedName>
    <definedName name="undpregion">#REF!</definedName>
    <definedName name="YN">#REF!</definedName>
  </definedNames>
  <calcPr calcId="191028"/>
  <pivotCaches>
    <pivotCache cacheId="0" r:id="rId12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1" i="70" l="1"/>
  <c r="P72" i="70"/>
  <c r="P73" i="70"/>
  <c r="P74" i="70"/>
  <c r="P75" i="70"/>
  <c r="P76" i="70"/>
  <c r="P77" i="70"/>
  <c r="P78" i="70"/>
  <c r="P79" i="70"/>
  <c r="P71" i="71"/>
  <c r="P72" i="71"/>
  <c r="P73" i="71"/>
  <c r="P74" i="71"/>
  <c r="P75" i="71"/>
  <c r="P76" i="71"/>
  <c r="P77" i="71"/>
  <c r="P78" i="71"/>
  <c r="P79" i="71"/>
  <c r="P71" i="72"/>
  <c r="P72" i="72"/>
  <c r="P73" i="72"/>
  <c r="P74" i="72"/>
  <c r="P75" i="72"/>
  <c r="P76" i="72"/>
  <c r="P77" i="72"/>
  <c r="P78" i="72"/>
  <c r="P79" i="72"/>
  <c r="P71" i="73"/>
  <c r="P72" i="73"/>
  <c r="P73" i="73"/>
  <c r="P74" i="73"/>
  <c r="P75" i="73"/>
  <c r="P76" i="73"/>
  <c r="P77" i="73"/>
  <c r="P78" i="73"/>
  <c r="P79" i="73"/>
  <c r="P71" i="74"/>
  <c r="P72" i="74"/>
  <c r="P73" i="74"/>
  <c r="P74" i="74"/>
  <c r="P75" i="74"/>
  <c r="P76" i="74"/>
  <c r="P77" i="74"/>
  <c r="P78" i="74"/>
  <c r="P79" i="74"/>
  <c r="P71" i="75"/>
  <c r="P72" i="75"/>
  <c r="P73" i="75"/>
  <c r="P74" i="75"/>
  <c r="P75" i="75"/>
  <c r="P76" i="75"/>
  <c r="P77" i="75"/>
  <c r="P78" i="75"/>
  <c r="P79" i="75"/>
  <c r="P71" i="76"/>
  <c r="P72" i="76"/>
  <c r="P73" i="76"/>
  <c r="P74" i="76"/>
  <c r="P75" i="76"/>
  <c r="P76" i="76"/>
  <c r="P77" i="76"/>
  <c r="P78" i="76"/>
  <c r="P79" i="76"/>
  <c r="P71" i="77"/>
  <c r="P72" i="77"/>
  <c r="P73" i="77"/>
  <c r="P74" i="77"/>
  <c r="P75" i="77"/>
  <c r="P76" i="77"/>
  <c r="P77" i="77"/>
  <c r="P78" i="77"/>
  <c r="P79" i="77"/>
  <c r="P71" i="78"/>
  <c r="P72" i="78"/>
  <c r="P73" i="78"/>
  <c r="P74" i="78"/>
  <c r="P75" i="78"/>
  <c r="P76" i="78"/>
  <c r="P77" i="78"/>
  <c r="P78" i="78"/>
  <c r="P79" i="78"/>
  <c r="P71" i="79"/>
  <c r="P72" i="79"/>
  <c r="P73" i="79"/>
  <c r="P74" i="79"/>
  <c r="P75" i="79"/>
  <c r="P76" i="79"/>
  <c r="P77" i="79"/>
  <c r="P78" i="79"/>
  <c r="P79" i="79"/>
  <c r="P71" i="80"/>
  <c r="P72" i="80"/>
  <c r="P73" i="80"/>
  <c r="P74" i="80"/>
  <c r="P75" i="80"/>
  <c r="P76" i="80"/>
  <c r="P77" i="80"/>
  <c r="P78" i="80"/>
  <c r="P79" i="80"/>
  <c r="P71" i="81"/>
  <c r="P72" i="81"/>
  <c r="P73" i="81"/>
  <c r="P74" i="81"/>
  <c r="P75" i="81"/>
  <c r="P76" i="81"/>
  <c r="P77" i="81"/>
  <c r="P78" i="81"/>
  <c r="P79" i="81"/>
  <c r="P71" i="82"/>
  <c r="P72" i="82"/>
  <c r="P73" i="82"/>
  <c r="P74" i="82"/>
  <c r="P75" i="82"/>
  <c r="P76" i="82"/>
  <c r="P77" i="82"/>
  <c r="P78" i="82"/>
  <c r="P79" i="82"/>
  <c r="P71" i="83"/>
  <c r="P72" i="83"/>
  <c r="P73" i="83"/>
  <c r="P74" i="83"/>
  <c r="P75" i="83"/>
  <c r="P76" i="83"/>
  <c r="P77" i="83"/>
  <c r="P78" i="83"/>
  <c r="P79" i="83"/>
  <c r="P71" i="84"/>
  <c r="P72" i="84"/>
  <c r="P73" i="84"/>
  <c r="P74" i="84"/>
  <c r="P75" i="84"/>
  <c r="P76" i="84"/>
  <c r="P77" i="84"/>
  <c r="P78" i="84"/>
  <c r="P79" i="84"/>
  <c r="P71" i="85"/>
  <c r="P72" i="85"/>
  <c r="P73" i="85"/>
  <c r="P74" i="85"/>
  <c r="P75" i="85"/>
  <c r="P76" i="85"/>
  <c r="P77" i="85"/>
  <c r="P78" i="85"/>
  <c r="P79" i="85"/>
  <c r="P71" i="86"/>
  <c r="P72" i="86"/>
  <c r="P73" i="86"/>
  <c r="P74" i="86"/>
  <c r="P75" i="86"/>
  <c r="P76" i="86"/>
  <c r="P77" i="86"/>
  <c r="P78" i="86"/>
  <c r="P79" i="86"/>
  <c r="P71" i="87"/>
  <c r="P72" i="87"/>
  <c r="P73" i="87"/>
  <c r="P74" i="87"/>
  <c r="P75" i="87"/>
  <c r="P76" i="87"/>
  <c r="P77" i="87"/>
  <c r="P78" i="87"/>
  <c r="P79" i="87"/>
  <c r="P71" i="88"/>
  <c r="P72" i="88"/>
  <c r="P73" i="88"/>
  <c r="P74" i="88"/>
  <c r="P75" i="88"/>
  <c r="P76" i="88"/>
  <c r="P77" i="88"/>
  <c r="P78" i="88"/>
  <c r="P79" i="88"/>
  <c r="P71" i="89"/>
  <c r="P72" i="89"/>
  <c r="P73" i="89"/>
  <c r="P74" i="89"/>
  <c r="P75" i="89"/>
  <c r="P76" i="89"/>
  <c r="P77" i="89"/>
  <c r="P78" i="89"/>
  <c r="P79" i="89"/>
  <c r="P71" i="90"/>
  <c r="P72" i="90"/>
  <c r="P73" i="90"/>
  <c r="P74" i="90"/>
  <c r="P75" i="90"/>
  <c r="P76" i="90"/>
  <c r="P77" i="90"/>
  <c r="P78" i="90"/>
  <c r="P79" i="90"/>
  <c r="P71" i="91"/>
  <c r="P72" i="91"/>
  <c r="P73" i="91"/>
  <c r="P74" i="91"/>
  <c r="P75" i="91"/>
  <c r="P76" i="91"/>
  <c r="P77" i="91"/>
  <c r="P78" i="91"/>
  <c r="P79" i="91"/>
  <c r="P71" i="92"/>
  <c r="P72" i="92"/>
  <c r="P73" i="92"/>
  <c r="P74" i="92"/>
  <c r="P75" i="92"/>
  <c r="P76" i="92"/>
  <c r="P77" i="92"/>
  <c r="P78" i="92"/>
  <c r="P79" i="92"/>
  <c r="P71" i="93"/>
  <c r="P72" i="93"/>
  <c r="P73" i="93"/>
  <c r="P74" i="93"/>
  <c r="P75" i="93"/>
  <c r="P76" i="93"/>
  <c r="P77" i="93"/>
  <c r="P78" i="93"/>
  <c r="P79" i="93"/>
  <c r="P71" i="94"/>
  <c r="P72" i="94"/>
  <c r="P73" i="94"/>
  <c r="P74" i="94"/>
  <c r="P75" i="94"/>
  <c r="P76" i="94"/>
  <c r="P77" i="94"/>
  <c r="P78" i="94"/>
  <c r="P79" i="94"/>
  <c r="P71" i="95"/>
  <c r="P72" i="95"/>
  <c r="P73" i="95"/>
  <c r="P74" i="95"/>
  <c r="P75" i="95"/>
  <c r="P76" i="95"/>
  <c r="P77" i="95"/>
  <c r="P78" i="95"/>
  <c r="P79" i="95"/>
  <c r="P71" i="96"/>
  <c r="P72" i="96"/>
  <c r="P73" i="96"/>
  <c r="P74" i="96"/>
  <c r="P75" i="96"/>
  <c r="P76" i="96"/>
  <c r="P77" i="96"/>
  <c r="P78" i="96"/>
  <c r="P79" i="96"/>
  <c r="P71" i="97"/>
  <c r="P72" i="97"/>
  <c r="P73" i="97"/>
  <c r="P74" i="97"/>
  <c r="P75" i="97"/>
  <c r="P76" i="97"/>
  <c r="P77" i="97"/>
  <c r="P78" i="97"/>
  <c r="P79" i="97"/>
  <c r="P71" i="98"/>
  <c r="P72" i="98"/>
  <c r="P73" i="98"/>
  <c r="P74" i="98"/>
  <c r="P75" i="98"/>
  <c r="P76" i="98"/>
  <c r="P77" i="98"/>
  <c r="P78" i="98"/>
  <c r="P79" i="98"/>
  <c r="P71" i="99"/>
  <c r="P72" i="99"/>
  <c r="P73" i="99"/>
  <c r="P74" i="99"/>
  <c r="P75" i="99"/>
  <c r="P76" i="99"/>
  <c r="P77" i="99"/>
  <c r="P78" i="99"/>
  <c r="P79" i="99"/>
  <c r="P71" i="100"/>
  <c r="P72" i="100"/>
  <c r="P73" i="100"/>
  <c r="P74" i="100"/>
  <c r="P75" i="100"/>
  <c r="P76" i="100"/>
  <c r="P77" i="100"/>
  <c r="P78" i="100"/>
  <c r="P79" i="100"/>
  <c r="P71" i="101"/>
  <c r="P72" i="101"/>
  <c r="P73" i="101"/>
  <c r="P74" i="101"/>
  <c r="P75" i="101"/>
  <c r="P76" i="101"/>
  <c r="P77" i="101"/>
  <c r="P78" i="101"/>
  <c r="P79" i="101"/>
  <c r="P71" i="102"/>
  <c r="P72" i="102"/>
  <c r="P73" i="102"/>
  <c r="P74" i="102"/>
  <c r="P75" i="102"/>
  <c r="P76" i="102"/>
  <c r="P77" i="102"/>
  <c r="P78" i="102"/>
  <c r="P79" i="102"/>
  <c r="P71" i="103"/>
  <c r="P72" i="103"/>
  <c r="P73" i="103"/>
  <c r="P74" i="103"/>
  <c r="P75" i="103"/>
  <c r="P76" i="103"/>
  <c r="P77" i="103"/>
  <c r="P78" i="103"/>
  <c r="P79" i="103"/>
  <c r="P71" i="104"/>
  <c r="P72" i="104"/>
  <c r="P73" i="104"/>
  <c r="P74" i="104"/>
  <c r="P75" i="104"/>
  <c r="P76" i="104"/>
  <c r="P77" i="104"/>
  <c r="P78" i="104"/>
  <c r="P79" i="104"/>
  <c r="P71" i="105"/>
  <c r="P72" i="105"/>
  <c r="P73" i="105"/>
  <c r="P74" i="105"/>
  <c r="P75" i="105"/>
  <c r="P76" i="105"/>
  <c r="P77" i="105"/>
  <c r="P78" i="105"/>
  <c r="P79" i="105"/>
  <c r="P71" i="106"/>
  <c r="P72" i="106"/>
  <c r="P73" i="106"/>
  <c r="P74" i="106"/>
  <c r="P75" i="106"/>
  <c r="P76" i="106"/>
  <c r="P77" i="106"/>
  <c r="P78" i="106"/>
  <c r="P79" i="106"/>
  <c r="P71" i="107"/>
  <c r="P72" i="107"/>
  <c r="P73" i="107"/>
  <c r="P74" i="107"/>
  <c r="P75" i="107"/>
  <c r="P76" i="107"/>
  <c r="P77" i="107"/>
  <c r="P78" i="107"/>
  <c r="P79" i="107"/>
  <c r="P71" i="108"/>
  <c r="P72" i="108"/>
  <c r="P73" i="108"/>
  <c r="P74" i="108"/>
  <c r="P75" i="108"/>
  <c r="P76" i="108"/>
  <c r="P77" i="108"/>
  <c r="P78" i="108"/>
  <c r="P79" i="108"/>
  <c r="P71" i="109"/>
  <c r="P72" i="109"/>
  <c r="P73" i="109"/>
  <c r="P74" i="109"/>
  <c r="P75" i="109"/>
  <c r="P76" i="109"/>
  <c r="P77" i="109"/>
  <c r="P78" i="109"/>
  <c r="P79" i="109"/>
  <c r="P71" i="110"/>
  <c r="P72" i="110"/>
  <c r="P73" i="110"/>
  <c r="P74" i="110"/>
  <c r="P75" i="110"/>
  <c r="P76" i="110"/>
  <c r="P77" i="110"/>
  <c r="P78" i="110"/>
  <c r="P79" i="110"/>
  <c r="P71" i="111"/>
  <c r="P72" i="111"/>
  <c r="P73" i="111"/>
  <c r="P74" i="111"/>
  <c r="P75" i="111"/>
  <c r="P76" i="111"/>
  <c r="P77" i="111"/>
  <c r="P78" i="111"/>
  <c r="P79" i="111"/>
  <c r="P71" i="69"/>
  <c r="P72" i="69"/>
  <c r="P73" i="69"/>
  <c r="P74" i="69"/>
  <c r="P75" i="69"/>
  <c r="P76" i="69"/>
  <c r="P77" i="69"/>
  <c r="P78" i="69"/>
  <c r="P79" i="69"/>
  <c r="P70" i="70"/>
  <c r="P70" i="71"/>
  <c r="P70" i="72"/>
  <c r="P70" i="73"/>
  <c r="P70" i="74"/>
  <c r="P70" i="75"/>
  <c r="P70" i="76"/>
  <c r="P70" i="77"/>
  <c r="P70" i="78"/>
  <c r="P70" i="79"/>
  <c r="P70" i="80"/>
  <c r="P70" i="81"/>
  <c r="P70" i="82"/>
  <c r="P70" i="83"/>
  <c r="P70" i="84"/>
  <c r="P70" i="85"/>
  <c r="P70" i="86"/>
  <c r="P70" i="87"/>
  <c r="P70" i="88"/>
  <c r="P70" i="89"/>
  <c r="P70" i="90"/>
  <c r="P70" i="91"/>
  <c r="P70" i="92"/>
  <c r="P70" i="93"/>
  <c r="P70" i="94"/>
  <c r="P70" i="95"/>
  <c r="P70" i="96"/>
  <c r="P70" i="97"/>
  <c r="P70" i="98"/>
  <c r="P70" i="99"/>
  <c r="P70" i="100"/>
  <c r="P70" i="101"/>
  <c r="P70" i="102"/>
  <c r="P70" i="103"/>
  <c r="P70" i="104"/>
  <c r="P70" i="105"/>
  <c r="P70" i="106"/>
  <c r="P70" i="107"/>
  <c r="P70" i="108"/>
  <c r="P70" i="109"/>
  <c r="P70" i="110"/>
  <c r="P70" i="111"/>
  <c r="P70" i="69"/>
  <c r="P59" i="70"/>
  <c r="P60" i="70"/>
  <c r="P61" i="70"/>
  <c r="P62" i="70"/>
  <c r="P63" i="70"/>
  <c r="P64" i="70"/>
  <c r="P65" i="70"/>
  <c r="P66" i="70"/>
  <c r="P67" i="70"/>
  <c r="P59" i="71"/>
  <c r="P60" i="71"/>
  <c r="P61" i="71"/>
  <c r="P62" i="71"/>
  <c r="P63" i="71"/>
  <c r="P64" i="71"/>
  <c r="P65" i="71"/>
  <c r="P66" i="71"/>
  <c r="P67" i="71"/>
  <c r="P59" i="72"/>
  <c r="P60" i="72"/>
  <c r="P61" i="72"/>
  <c r="P62" i="72"/>
  <c r="P63" i="72"/>
  <c r="P64" i="72"/>
  <c r="P65" i="72"/>
  <c r="P66" i="72"/>
  <c r="P67" i="72"/>
  <c r="P59" i="73"/>
  <c r="P60" i="73"/>
  <c r="P61" i="73"/>
  <c r="P62" i="73"/>
  <c r="P63" i="73"/>
  <c r="P64" i="73"/>
  <c r="P65" i="73"/>
  <c r="P66" i="73"/>
  <c r="P67" i="73"/>
  <c r="P59" i="74"/>
  <c r="P60" i="74"/>
  <c r="P61" i="74"/>
  <c r="P62" i="74"/>
  <c r="P63" i="74"/>
  <c r="P64" i="74"/>
  <c r="P65" i="74"/>
  <c r="P66" i="74"/>
  <c r="P67" i="74"/>
  <c r="P59" i="75"/>
  <c r="P60" i="75"/>
  <c r="P61" i="75"/>
  <c r="P62" i="75"/>
  <c r="P63" i="75"/>
  <c r="P64" i="75"/>
  <c r="P65" i="75"/>
  <c r="P66" i="75"/>
  <c r="P67" i="75"/>
  <c r="P59" i="76"/>
  <c r="P60" i="76"/>
  <c r="P61" i="76"/>
  <c r="P62" i="76"/>
  <c r="P63" i="76"/>
  <c r="P64" i="76"/>
  <c r="P65" i="76"/>
  <c r="P66" i="76"/>
  <c r="P67" i="76"/>
  <c r="P59" i="77"/>
  <c r="P60" i="77"/>
  <c r="P61" i="77"/>
  <c r="P62" i="77"/>
  <c r="P63" i="77"/>
  <c r="P64" i="77"/>
  <c r="P65" i="77"/>
  <c r="P66" i="77"/>
  <c r="P67" i="77"/>
  <c r="P59" i="78"/>
  <c r="P60" i="78"/>
  <c r="P61" i="78"/>
  <c r="P62" i="78"/>
  <c r="P63" i="78"/>
  <c r="P64" i="78"/>
  <c r="P65" i="78"/>
  <c r="P66" i="78"/>
  <c r="P67" i="78"/>
  <c r="P59" i="79"/>
  <c r="P60" i="79"/>
  <c r="P61" i="79"/>
  <c r="P62" i="79"/>
  <c r="P63" i="79"/>
  <c r="P64" i="79"/>
  <c r="P65" i="79"/>
  <c r="P66" i="79"/>
  <c r="P67" i="79"/>
  <c r="P59" i="80"/>
  <c r="P60" i="80"/>
  <c r="P61" i="80"/>
  <c r="P62" i="80"/>
  <c r="P63" i="80"/>
  <c r="P64" i="80"/>
  <c r="P65" i="80"/>
  <c r="P66" i="80"/>
  <c r="P67" i="80"/>
  <c r="P59" i="81"/>
  <c r="P60" i="81"/>
  <c r="P61" i="81"/>
  <c r="P62" i="81"/>
  <c r="P63" i="81"/>
  <c r="P64" i="81"/>
  <c r="P65" i="81"/>
  <c r="P66" i="81"/>
  <c r="P67" i="81"/>
  <c r="P59" i="82"/>
  <c r="P60" i="82"/>
  <c r="P61" i="82"/>
  <c r="P62" i="82"/>
  <c r="P63" i="82"/>
  <c r="P64" i="82"/>
  <c r="P65" i="82"/>
  <c r="P66" i="82"/>
  <c r="P67" i="82"/>
  <c r="P59" i="83"/>
  <c r="P60" i="83"/>
  <c r="P61" i="83"/>
  <c r="P62" i="83"/>
  <c r="P63" i="83"/>
  <c r="P64" i="83"/>
  <c r="P65" i="83"/>
  <c r="P66" i="83"/>
  <c r="P67" i="83"/>
  <c r="P59" i="84"/>
  <c r="P60" i="84"/>
  <c r="P61" i="84"/>
  <c r="P62" i="84"/>
  <c r="P63" i="84"/>
  <c r="P64" i="84"/>
  <c r="P65" i="84"/>
  <c r="P66" i="84"/>
  <c r="P67" i="84"/>
  <c r="P59" i="85"/>
  <c r="P60" i="85"/>
  <c r="P61" i="85"/>
  <c r="P62" i="85"/>
  <c r="P63" i="85"/>
  <c r="P64" i="85"/>
  <c r="P65" i="85"/>
  <c r="P66" i="85"/>
  <c r="P67" i="85"/>
  <c r="P59" i="86"/>
  <c r="P60" i="86"/>
  <c r="P61" i="86"/>
  <c r="P62" i="86"/>
  <c r="P63" i="86"/>
  <c r="P64" i="86"/>
  <c r="P65" i="86"/>
  <c r="P66" i="86"/>
  <c r="P67" i="86"/>
  <c r="P59" i="87"/>
  <c r="P60" i="87"/>
  <c r="P61" i="87"/>
  <c r="P62" i="87"/>
  <c r="P63" i="87"/>
  <c r="P64" i="87"/>
  <c r="P65" i="87"/>
  <c r="P66" i="87"/>
  <c r="P67" i="87"/>
  <c r="P59" i="88"/>
  <c r="P60" i="88"/>
  <c r="P61" i="88"/>
  <c r="P62" i="88"/>
  <c r="P63" i="88"/>
  <c r="P64" i="88"/>
  <c r="P65" i="88"/>
  <c r="P66" i="88"/>
  <c r="P67" i="88"/>
  <c r="P59" i="89"/>
  <c r="P60" i="89"/>
  <c r="P61" i="89"/>
  <c r="P62" i="89"/>
  <c r="P63" i="89"/>
  <c r="P64" i="89"/>
  <c r="P65" i="89"/>
  <c r="P66" i="89"/>
  <c r="P67" i="89"/>
  <c r="P59" i="90"/>
  <c r="P60" i="90"/>
  <c r="P61" i="90"/>
  <c r="P62" i="90"/>
  <c r="P63" i="90"/>
  <c r="P64" i="90"/>
  <c r="P65" i="90"/>
  <c r="P66" i="90"/>
  <c r="P67" i="90"/>
  <c r="P59" i="91"/>
  <c r="P60" i="91"/>
  <c r="P61" i="91"/>
  <c r="P62" i="91"/>
  <c r="P63" i="91"/>
  <c r="P64" i="91"/>
  <c r="P65" i="91"/>
  <c r="P66" i="91"/>
  <c r="P67" i="91"/>
  <c r="P59" i="92"/>
  <c r="P60" i="92"/>
  <c r="P61" i="92"/>
  <c r="P62" i="92"/>
  <c r="P63" i="92"/>
  <c r="P64" i="92"/>
  <c r="P65" i="92"/>
  <c r="P66" i="92"/>
  <c r="P67" i="92"/>
  <c r="P59" i="93"/>
  <c r="P60" i="93"/>
  <c r="P61" i="93"/>
  <c r="P62" i="93"/>
  <c r="P63" i="93"/>
  <c r="P64" i="93"/>
  <c r="P65" i="93"/>
  <c r="P66" i="93"/>
  <c r="P67" i="93"/>
  <c r="P59" i="94"/>
  <c r="P60" i="94"/>
  <c r="P61" i="94"/>
  <c r="P62" i="94"/>
  <c r="P63" i="94"/>
  <c r="P64" i="94"/>
  <c r="P65" i="94"/>
  <c r="P66" i="94"/>
  <c r="P67" i="94"/>
  <c r="P59" i="95"/>
  <c r="P60" i="95"/>
  <c r="P61" i="95"/>
  <c r="P62" i="95"/>
  <c r="P63" i="95"/>
  <c r="P64" i="95"/>
  <c r="P65" i="95"/>
  <c r="P66" i="95"/>
  <c r="P67" i="95"/>
  <c r="P59" i="96"/>
  <c r="P60" i="96"/>
  <c r="P61" i="96"/>
  <c r="P62" i="96"/>
  <c r="P63" i="96"/>
  <c r="P64" i="96"/>
  <c r="P65" i="96"/>
  <c r="P66" i="96"/>
  <c r="P67" i="96"/>
  <c r="P59" i="97"/>
  <c r="P60" i="97"/>
  <c r="P61" i="97"/>
  <c r="P62" i="97"/>
  <c r="P63" i="97"/>
  <c r="P64" i="97"/>
  <c r="P65" i="97"/>
  <c r="P66" i="97"/>
  <c r="P67" i="97"/>
  <c r="P59" i="98"/>
  <c r="P60" i="98"/>
  <c r="P61" i="98"/>
  <c r="P62" i="98"/>
  <c r="P63" i="98"/>
  <c r="P64" i="98"/>
  <c r="P65" i="98"/>
  <c r="P66" i="98"/>
  <c r="P67" i="98"/>
  <c r="P59" i="99"/>
  <c r="P60" i="99"/>
  <c r="P61" i="99"/>
  <c r="P62" i="99"/>
  <c r="P63" i="99"/>
  <c r="P64" i="99"/>
  <c r="P65" i="99"/>
  <c r="P66" i="99"/>
  <c r="P67" i="99"/>
  <c r="P59" i="100"/>
  <c r="P60" i="100"/>
  <c r="P61" i="100"/>
  <c r="P62" i="100"/>
  <c r="P63" i="100"/>
  <c r="P64" i="100"/>
  <c r="P65" i="100"/>
  <c r="P66" i="100"/>
  <c r="P67" i="100"/>
  <c r="P59" i="101"/>
  <c r="P60" i="101"/>
  <c r="P61" i="101"/>
  <c r="P62" i="101"/>
  <c r="P63" i="101"/>
  <c r="P64" i="101"/>
  <c r="P65" i="101"/>
  <c r="P66" i="101"/>
  <c r="P67" i="101"/>
  <c r="P59" i="102"/>
  <c r="P60" i="102"/>
  <c r="P61" i="102"/>
  <c r="P62" i="102"/>
  <c r="P63" i="102"/>
  <c r="P64" i="102"/>
  <c r="P65" i="102"/>
  <c r="P66" i="102"/>
  <c r="P67" i="102"/>
  <c r="P59" i="103"/>
  <c r="P60" i="103"/>
  <c r="P61" i="103"/>
  <c r="P62" i="103"/>
  <c r="P63" i="103"/>
  <c r="P64" i="103"/>
  <c r="P65" i="103"/>
  <c r="P66" i="103"/>
  <c r="P67" i="103"/>
  <c r="P59" i="104"/>
  <c r="P60" i="104"/>
  <c r="P61" i="104"/>
  <c r="P62" i="104"/>
  <c r="P63" i="104"/>
  <c r="P64" i="104"/>
  <c r="P65" i="104"/>
  <c r="P66" i="104"/>
  <c r="P67" i="104"/>
  <c r="P59" i="105"/>
  <c r="P60" i="105"/>
  <c r="P61" i="105"/>
  <c r="P62" i="105"/>
  <c r="P63" i="105"/>
  <c r="P64" i="105"/>
  <c r="P65" i="105"/>
  <c r="P66" i="105"/>
  <c r="P67" i="105"/>
  <c r="P59" i="106"/>
  <c r="P60" i="106"/>
  <c r="P61" i="106"/>
  <c r="P62" i="106"/>
  <c r="P63" i="106"/>
  <c r="P64" i="106"/>
  <c r="P65" i="106"/>
  <c r="P66" i="106"/>
  <c r="P67" i="106"/>
  <c r="P59" i="107"/>
  <c r="P60" i="107"/>
  <c r="P61" i="107"/>
  <c r="P62" i="107"/>
  <c r="P63" i="107"/>
  <c r="P64" i="107"/>
  <c r="P65" i="107"/>
  <c r="P66" i="107"/>
  <c r="P67" i="107"/>
  <c r="P59" i="108"/>
  <c r="P60" i="108"/>
  <c r="P61" i="108"/>
  <c r="P62" i="108"/>
  <c r="P63" i="108"/>
  <c r="P64" i="108"/>
  <c r="P65" i="108"/>
  <c r="P66" i="108"/>
  <c r="P67" i="108"/>
  <c r="P59" i="109"/>
  <c r="P60" i="109"/>
  <c r="P61" i="109"/>
  <c r="P62" i="109"/>
  <c r="P63" i="109"/>
  <c r="P64" i="109"/>
  <c r="P65" i="109"/>
  <c r="P66" i="109"/>
  <c r="P67" i="109"/>
  <c r="P59" i="110"/>
  <c r="P60" i="110"/>
  <c r="P61" i="110"/>
  <c r="P62" i="110"/>
  <c r="P63" i="110"/>
  <c r="P64" i="110"/>
  <c r="P65" i="110"/>
  <c r="P66" i="110"/>
  <c r="P67" i="110"/>
  <c r="P59" i="111"/>
  <c r="P60" i="111"/>
  <c r="P61" i="111"/>
  <c r="P62" i="111"/>
  <c r="P63" i="111"/>
  <c r="P64" i="111"/>
  <c r="P65" i="111"/>
  <c r="P66" i="111"/>
  <c r="P67" i="111"/>
  <c r="P59" i="69"/>
  <c r="P60" i="69"/>
  <c r="P61" i="69"/>
  <c r="P62" i="69"/>
  <c r="P63" i="69"/>
  <c r="P64" i="69"/>
  <c r="P65" i="69"/>
  <c r="P66" i="69"/>
  <c r="P67" i="69"/>
  <c r="P58" i="70"/>
  <c r="P58" i="71"/>
  <c r="P58" i="72"/>
  <c r="P58" i="73"/>
  <c r="P58" i="74"/>
  <c r="P58" i="75"/>
  <c r="P58" i="76"/>
  <c r="P58" i="77"/>
  <c r="P58" i="78"/>
  <c r="P58" i="79"/>
  <c r="P58" i="80"/>
  <c r="P58" i="81"/>
  <c r="P58" i="82"/>
  <c r="P58" i="83"/>
  <c r="P58" i="84"/>
  <c r="P58" i="85"/>
  <c r="P58" i="86"/>
  <c r="P58" i="87"/>
  <c r="P58" i="88"/>
  <c r="P58" i="89"/>
  <c r="P58" i="90"/>
  <c r="P58" i="91"/>
  <c r="P58" i="92"/>
  <c r="P58" i="93"/>
  <c r="P58" i="94"/>
  <c r="P58" i="95"/>
  <c r="P58" i="96"/>
  <c r="P58" i="97"/>
  <c r="P58" i="98"/>
  <c r="P58" i="99"/>
  <c r="P58" i="100"/>
  <c r="P58" i="101"/>
  <c r="P58" i="102"/>
  <c r="P58" i="103"/>
  <c r="P58" i="104"/>
  <c r="P58" i="105"/>
  <c r="P58" i="106"/>
  <c r="P58" i="107"/>
  <c r="P58" i="108"/>
  <c r="P58" i="109"/>
  <c r="P58" i="110"/>
  <c r="P58" i="111"/>
  <c r="P58" i="69"/>
  <c r="P52" i="70"/>
  <c r="P53" i="70"/>
  <c r="P54" i="70"/>
  <c r="P52" i="71"/>
  <c r="P53" i="71"/>
  <c r="P54" i="71"/>
  <c r="P52" i="72"/>
  <c r="P53" i="72"/>
  <c r="P54" i="72"/>
  <c r="P52" i="73"/>
  <c r="P53" i="73"/>
  <c r="P54" i="73"/>
  <c r="P52" i="74"/>
  <c r="P53" i="74"/>
  <c r="P54" i="74"/>
  <c r="P52" i="75"/>
  <c r="P53" i="75"/>
  <c r="P54" i="75"/>
  <c r="P52" i="76"/>
  <c r="P53" i="76"/>
  <c r="P54" i="76"/>
  <c r="P52" i="77"/>
  <c r="P53" i="77"/>
  <c r="P54" i="77"/>
  <c r="P52" i="78"/>
  <c r="P53" i="78"/>
  <c r="P54" i="78"/>
  <c r="P52" i="79"/>
  <c r="P53" i="79"/>
  <c r="P54" i="79"/>
  <c r="P52" i="80"/>
  <c r="P53" i="80"/>
  <c r="P54" i="80"/>
  <c r="P52" i="81"/>
  <c r="P53" i="81"/>
  <c r="P54" i="81"/>
  <c r="P52" i="82"/>
  <c r="P53" i="82"/>
  <c r="P54" i="82"/>
  <c r="P52" i="83"/>
  <c r="P53" i="83"/>
  <c r="P54" i="83"/>
  <c r="P52" i="84"/>
  <c r="P53" i="84"/>
  <c r="P54" i="84"/>
  <c r="P52" i="85"/>
  <c r="P53" i="85"/>
  <c r="P54" i="85"/>
  <c r="P52" i="86"/>
  <c r="P53" i="86"/>
  <c r="P54" i="86"/>
  <c r="P52" i="87"/>
  <c r="P53" i="87"/>
  <c r="P54" i="87"/>
  <c r="P52" i="88"/>
  <c r="P53" i="88"/>
  <c r="P54" i="88"/>
  <c r="P52" i="89"/>
  <c r="P53" i="89"/>
  <c r="P54" i="89"/>
  <c r="P52" i="90"/>
  <c r="P53" i="90"/>
  <c r="P54" i="90"/>
  <c r="P52" i="91"/>
  <c r="P53" i="91"/>
  <c r="P54" i="91"/>
  <c r="P52" i="92"/>
  <c r="P53" i="92"/>
  <c r="P54" i="92"/>
  <c r="P52" i="93"/>
  <c r="P53" i="93"/>
  <c r="P54" i="93"/>
  <c r="P52" i="94"/>
  <c r="P53" i="94"/>
  <c r="P54" i="94"/>
  <c r="P52" i="95"/>
  <c r="P53" i="95"/>
  <c r="P54" i="95"/>
  <c r="P52" i="96"/>
  <c r="P53" i="96"/>
  <c r="P54" i="96"/>
  <c r="P52" i="97"/>
  <c r="P53" i="97"/>
  <c r="P54" i="97"/>
  <c r="P52" i="98"/>
  <c r="P53" i="98"/>
  <c r="P54" i="98"/>
  <c r="P52" i="99"/>
  <c r="P53" i="99"/>
  <c r="P54" i="99"/>
  <c r="P52" i="100"/>
  <c r="P53" i="100"/>
  <c r="P54" i="100"/>
  <c r="P52" i="101"/>
  <c r="P53" i="101"/>
  <c r="P54" i="101"/>
  <c r="P52" i="102"/>
  <c r="P53" i="102"/>
  <c r="P54" i="102"/>
  <c r="P52" i="103"/>
  <c r="P53" i="103"/>
  <c r="P54" i="103"/>
  <c r="P52" i="104"/>
  <c r="P53" i="104"/>
  <c r="P54" i="104"/>
  <c r="P52" i="105"/>
  <c r="P53" i="105"/>
  <c r="P54" i="105"/>
  <c r="P52" i="106"/>
  <c r="P53" i="106"/>
  <c r="P54" i="106"/>
  <c r="P52" i="107"/>
  <c r="P53" i="107"/>
  <c r="P54" i="107"/>
  <c r="P52" i="108"/>
  <c r="P53" i="108"/>
  <c r="P54" i="108"/>
  <c r="P52" i="109"/>
  <c r="P53" i="109"/>
  <c r="P54" i="109"/>
  <c r="P52" i="110"/>
  <c r="P53" i="110"/>
  <c r="P54" i="110"/>
  <c r="P52" i="111"/>
  <c r="P53" i="111"/>
  <c r="P54" i="111"/>
  <c r="P52" i="69"/>
  <c r="P53" i="69"/>
  <c r="P54" i="69"/>
  <c r="P51" i="70"/>
  <c r="P51" i="71"/>
  <c r="P51" i="72"/>
  <c r="P51" i="73"/>
  <c r="P51" i="74"/>
  <c r="P51" i="75"/>
  <c r="P51" i="76"/>
  <c r="P51" i="77"/>
  <c r="P51" i="78"/>
  <c r="P51" i="79"/>
  <c r="P51" i="80"/>
  <c r="P51" i="81"/>
  <c r="P51" i="82"/>
  <c r="P51" i="83"/>
  <c r="P51" i="84"/>
  <c r="P51" i="85"/>
  <c r="P51" i="86"/>
  <c r="P51" i="87"/>
  <c r="P51" i="88"/>
  <c r="P51" i="89"/>
  <c r="P51" i="90"/>
  <c r="P51" i="91"/>
  <c r="P51" i="92"/>
  <c r="P51" i="93"/>
  <c r="P51" i="94"/>
  <c r="P51" i="95"/>
  <c r="P51" i="96"/>
  <c r="P51" i="97"/>
  <c r="P51" i="98"/>
  <c r="P51" i="99"/>
  <c r="P51" i="100"/>
  <c r="P51" i="101"/>
  <c r="P51" i="102"/>
  <c r="P51" i="103"/>
  <c r="P51" i="104"/>
  <c r="P51" i="105"/>
  <c r="P51" i="106"/>
  <c r="P51" i="107"/>
  <c r="P51" i="108"/>
  <c r="P51" i="109"/>
  <c r="P51" i="110"/>
  <c r="P51" i="111"/>
  <c r="P51" i="69"/>
  <c r="P46" i="70"/>
  <c r="P47" i="70"/>
  <c r="P48" i="70"/>
  <c r="P46" i="71"/>
  <c r="P47" i="71"/>
  <c r="P48" i="71"/>
  <c r="P46" i="72"/>
  <c r="P47" i="72"/>
  <c r="P48" i="72"/>
  <c r="P46" i="73"/>
  <c r="P47" i="73"/>
  <c r="P48" i="73"/>
  <c r="P46" i="74"/>
  <c r="P47" i="74"/>
  <c r="P48" i="74"/>
  <c r="P46" i="75"/>
  <c r="P47" i="75"/>
  <c r="P48" i="75"/>
  <c r="P46" i="76"/>
  <c r="P47" i="76"/>
  <c r="P48" i="76"/>
  <c r="P46" i="77"/>
  <c r="P47" i="77"/>
  <c r="P48" i="77"/>
  <c r="P46" i="78"/>
  <c r="P47" i="78"/>
  <c r="P48" i="78"/>
  <c r="P46" i="79"/>
  <c r="P47" i="79"/>
  <c r="P48" i="79"/>
  <c r="P46" i="80"/>
  <c r="P47" i="80"/>
  <c r="P48" i="80"/>
  <c r="P46" i="81"/>
  <c r="P47" i="81"/>
  <c r="P48" i="81"/>
  <c r="P46" i="82"/>
  <c r="P47" i="82"/>
  <c r="P48" i="82"/>
  <c r="P46" i="83"/>
  <c r="P47" i="83"/>
  <c r="P48" i="83"/>
  <c r="P46" i="84"/>
  <c r="P47" i="84"/>
  <c r="P48" i="84"/>
  <c r="P46" i="85"/>
  <c r="P47" i="85"/>
  <c r="P48" i="85"/>
  <c r="P46" i="86"/>
  <c r="P47" i="86"/>
  <c r="P48" i="86"/>
  <c r="P46" i="87"/>
  <c r="P47" i="87"/>
  <c r="P48" i="87"/>
  <c r="P46" i="88"/>
  <c r="P47" i="88"/>
  <c r="P48" i="88"/>
  <c r="P46" i="89"/>
  <c r="P47" i="89"/>
  <c r="P48" i="89"/>
  <c r="P46" i="90"/>
  <c r="P47" i="90"/>
  <c r="P48" i="90"/>
  <c r="P46" i="91"/>
  <c r="P47" i="91"/>
  <c r="P48" i="91"/>
  <c r="P46" i="92"/>
  <c r="P47" i="92"/>
  <c r="P48" i="92"/>
  <c r="P46" i="93"/>
  <c r="P47" i="93"/>
  <c r="P48" i="93"/>
  <c r="P46" i="94"/>
  <c r="P47" i="94"/>
  <c r="P48" i="94"/>
  <c r="P46" i="95"/>
  <c r="P47" i="95"/>
  <c r="P48" i="95"/>
  <c r="P46" i="96"/>
  <c r="P47" i="96"/>
  <c r="P48" i="96"/>
  <c r="P46" i="97"/>
  <c r="P47" i="97"/>
  <c r="P48" i="97"/>
  <c r="P46" i="98"/>
  <c r="P47" i="98"/>
  <c r="P48" i="98"/>
  <c r="P46" i="99"/>
  <c r="P47" i="99"/>
  <c r="P48" i="99"/>
  <c r="P46" i="100"/>
  <c r="P47" i="100"/>
  <c r="P48" i="100"/>
  <c r="P46" i="101"/>
  <c r="P47" i="101"/>
  <c r="P48" i="101"/>
  <c r="P46" i="102"/>
  <c r="P47" i="102"/>
  <c r="P48" i="102"/>
  <c r="P46" i="103"/>
  <c r="P47" i="103"/>
  <c r="P48" i="103"/>
  <c r="P46" i="104"/>
  <c r="P47" i="104"/>
  <c r="P48" i="104"/>
  <c r="P46" i="105"/>
  <c r="P47" i="105"/>
  <c r="P48" i="105"/>
  <c r="P46" i="106"/>
  <c r="P47" i="106"/>
  <c r="P48" i="106"/>
  <c r="P46" i="107"/>
  <c r="P47" i="107"/>
  <c r="P48" i="107"/>
  <c r="P46" i="108"/>
  <c r="P47" i="108"/>
  <c r="P48" i="108"/>
  <c r="P46" i="109"/>
  <c r="P47" i="109"/>
  <c r="P48" i="109"/>
  <c r="P46" i="110"/>
  <c r="P47" i="110"/>
  <c r="P48" i="110"/>
  <c r="P46" i="111"/>
  <c r="P47" i="111"/>
  <c r="P48" i="111"/>
  <c r="P46" i="69"/>
  <c r="P47" i="69"/>
  <c r="P48" i="69"/>
  <c r="P45" i="70"/>
  <c r="P45" i="71"/>
  <c r="P45" i="72"/>
  <c r="P45" i="73"/>
  <c r="P45" i="74"/>
  <c r="P45" i="75"/>
  <c r="P45" i="76"/>
  <c r="P45" i="77"/>
  <c r="P45" i="78"/>
  <c r="P45" i="79"/>
  <c r="P45" i="80"/>
  <c r="P45" i="81"/>
  <c r="P45" i="82"/>
  <c r="P45" i="83"/>
  <c r="P45" i="84"/>
  <c r="P45" i="85"/>
  <c r="P45" i="86"/>
  <c r="P45" i="87"/>
  <c r="P45" i="88"/>
  <c r="P45" i="89"/>
  <c r="P45" i="90"/>
  <c r="P45" i="91"/>
  <c r="P45" i="92"/>
  <c r="P45" i="93"/>
  <c r="P45" i="94"/>
  <c r="P45" i="95"/>
  <c r="P45" i="96"/>
  <c r="P45" i="97"/>
  <c r="P45" i="98"/>
  <c r="P45" i="99"/>
  <c r="P45" i="100"/>
  <c r="P45" i="101"/>
  <c r="P45" i="102"/>
  <c r="P45" i="103"/>
  <c r="P45" i="104"/>
  <c r="P45" i="105"/>
  <c r="P45" i="106"/>
  <c r="P45" i="107"/>
  <c r="P45" i="108"/>
  <c r="P45" i="109"/>
  <c r="P45" i="110"/>
  <c r="P45" i="111"/>
  <c r="P45" i="69"/>
  <c r="P39" i="70"/>
  <c r="P40" i="70"/>
  <c r="P41" i="70"/>
  <c r="P39" i="71"/>
  <c r="P40" i="71"/>
  <c r="P41" i="71"/>
  <c r="P39" i="72"/>
  <c r="P40" i="72"/>
  <c r="P41" i="72"/>
  <c r="P39" i="73"/>
  <c r="P40" i="73"/>
  <c r="P41" i="73"/>
  <c r="P39" i="74"/>
  <c r="P40" i="74"/>
  <c r="P41" i="74"/>
  <c r="P39" i="75"/>
  <c r="P40" i="75"/>
  <c r="P41" i="75"/>
  <c r="P39" i="76"/>
  <c r="P40" i="76"/>
  <c r="P41" i="76"/>
  <c r="P39" i="77"/>
  <c r="P40" i="77"/>
  <c r="P41" i="77"/>
  <c r="P39" i="78"/>
  <c r="P40" i="78"/>
  <c r="P41" i="78"/>
  <c r="P39" i="79"/>
  <c r="P40" i="79"/>
  <c r="P41" i="79"/>
  <c r="P39" i="80"/>
  <c r="P40" i="80"/>
  <c r="P41" i="80"/>
  <c r="P39" i="81"/>
  <c r="P40" i="81"/>
  <c r="P41" i="81"/>
  <c r="P39" i="82"/>
  <c r="P40" i="82"/>
  <c r="P41" i="82"/>
  <c r="P39" i="83"/>
  <c r="P40" i="83"/>
  <c r="P41" i="83"/>
  <c r="P39" i="84"/>
  <c r="P40" i="84"/>
  <c r="P41" i="84"/>
  <c r="P39" i="85"/>
  <c r="P40" i="85"/>
  <c r="P41" i="85"/>
  <c r="P39" i="86"/>
  <c r="P40" i="86"/>
  <c r="P41" i="86"/>
  <c r="P39" i="87"/>
  <c r="P40" i="87"/>
  <c r="P41" i="87"/>
  <c r="P39" i="88"/>
  <c r="P40" i="88"/>
  <c r="P41" i="88"/>
  <c r="P39" i="89"/>
  <c r="P40" i="89"/>
  <c r="P41" i="89"/>
  <c r="P39" i="90"/>
  <c r="P40" i="90"/>
  <c r="P41" i="90"/>
  <c r="P39" i="91"/>
  <c r="P40" i="91"/>
  <c r="P41" i="91"/>
  <c r="P39" i="92"/>
  <c r="P40" i="92"/>
  <c r="P41" i="92"/>
  <c r="P39" i="93"/>
  <c r="P40" i="93"/>
  <c r="P41" i="93"/>
  <c r="P39" i="94"/>
  <c r="P40" i="94"/>
  <c r="P41" i="94"/>
  <c r="P39" i="95"/>
  <c r="P40" i="95"/>
  <c r="P41" i="95"/>
  <c r="P39" i="96"/>
  <c r="P40" i="96"/>
  <c r="P41" i="96"/>
  <c r="P39" i="97"/>
  <c r="P40" i="97"/>
  <c r="P41" i="97"/>
  <c r="P39" i="98"/>
  <c r="P40" i="98"/>
  <c r="P41" i="98"/>
  <c r="P39" i="99"/>
  <c r="P40" i="99"/>
  <c r="P41" i="99"/>
  <c r="P39" i="100"/>
  <c r="P40" i="100"/>
  <c r="P41" i="100"/>
  <c r="P39" i="101"/>
  <c r="P40" i="101"/>
  <c r="P41" i="101"/>
  <c r="P39" i="102"/>
  <c r="P40" i="102"/>
  <c r="P41" i="102"/>
  <c r="P39" i="103"/>
  <c r="P40" i="103"/>
  <c r="P41" i="103"/>
  <c r="P39" i="104"/>
  <c r="P40" i="104"/>
  <c r="P41" i="104"/>
  <c r="P39" i="105"/>
  <c r="P40" i="105"/>
  <c r="P41" i="105"/>
  <c r="P39" i="106"/>
  <c r="P40" i="106"/>
  <c r="P41" i="106"/>
  <c r="P39" i="107"/>
  <c r="P40" i="107"/>
  <c r="P41" i="107"/>
  <c r="P39" i="108"/>
  <c r="P40" i="108"/>
  <c r="P41" i="108"/>
  <c r="P39" i="109"/>
  <c r="P40" i="109"/>
  <c r="P41" i="109"/>
  <c r="P39" i="110"/>
  <c r="P40" i="110"/>
  <c r="P41" i="110"/>
  <c r="P39" i="111"/>
  <c r="P40" i="111"/>
  <c r="P41" i="111"/>
  <c r="P39" i="69"/>
  <c r="P40" i="69"/>
  <c r="P41" i="69"/>
  <c r="P38" i="70"/>
  <c r="P38" i="71"/>
  <c r="P38" i="72"/>
  <c r="P38" i="73"/>
  <c r="P38" i="74"/>
  <c r="P38" i="75"/>
  <c r="P38" i="76"/>
  <c r="P38" i="77"/>
  <c r="P38" i="78"/>
  <c r="P38" i="79"/>
  <c r="P38" i="80"/>
  <c r="P38" i="81"/>
  <c r="P38" i="82"/>
  <c r="P38" i="83"/>
  <c r="P38" i="84"/>
  <c r="P38" i="85"/>
  <c r="P38" i="86"/>
  <c r="P38" i="87"/>
  <c r="P38" i="88"/>
  <c r="P38" i="89"/>
  <c r="P38" i="90"/>
  <c r="P38" i="91"/>
  <c r="P38" i="92"/>
  <c r="P38" i="93"/>
  <c r="P38" i="94"/>
  <c r="P38" i="95"/>
  <c r="P38" i="96"/>
  <c r="P38" i="97"/>
  <c r="P38" i="98"/>
  <c r="P38" i="99"/>
  <c r="P38" i="100"/>
  <c r="P38" i="101"/>
  <c r="P38" i="102"/>
  <c r="P38" i="103"/>
  <c r="P38" i="104"/>
  <c r="P38" i="105"/>
  <c r="P38" i="106"/>
  <c r="P38" i="107"/>
  <c r="P38" i="108"/>
  <c r="P38" i="109"/>
  <c r="P38" i="110"/>
  <c r="P38" i="111"/>
  <c r="P38" i="69"/>
  <c r="P33" i="70"/>
  <c r="P34" i="70"/>
  <c r="P35" i="70"/>
  <c r="P33" i="71"/>
  <c r="P34" i="71"/>
  <c r="P35" i="71"/>
  <c r="P33" i="72"/>
  <c r="P34" i="72"/>
  <c r="P35" i="72"/>
  <c r="P33" i="73"/>
  <c r="P34" i="73"/>
  <c r="P35" i="73"/>
  <c r="P33" i="74"/>
  <c r="P34" i="74"/>
  <c r="P35" i="74"/>
  <c r="P33" i="75"/>
  <c r="P34" i="75"/>
  <c r="P35" i="75"/>
  <c r="P33" i="76"/>
  <c r="P34" i="76"/>
  <c r="P35" i="76"/>
  <c r="P33" i="77"/>
  <c r="P34" i="77"/>
  <c r="P35" i="77"/>
  <c r="P33" i="78"/>
  <c r="P34" i="78"/>
  <c r="P35" i="78"/>
  <c r="P33" i="79"/>
  <c r="P34" i="79"/>
  <c r="P35" i="79"/>
  <c r="P33" i="80"/>
  <c r="P34" i="80"/>
  <c r="P35" i="80"/>
  <c r="P33" i="81"/>
  <c r="P34" i="81"/>
  <c r="P35" i="81"/>
  <c r="P33" i="82"/>
  <c r="P34" i="82"/>
  <c r="P35" i="82"/>
  <c r="P33" i="83"/>
  <c r="P34" i="83"/>
  <c r="P35" i="83"/>
  <c r="P33" i="84"/>
  <c r="P34" i="84"/>
  <c r="P35" i="84"/>
  <c r="P33" i="85"/>
  <c r="P34" i="85"/>
  <c r="P35" i="85"/>
  <c r="P33" i="86"/>
  <c r="P34" i="86"/>
  <c r="P35" i="86"/>
  <c r="P33" i="87"/>
  <c r="P34" i="87"/>
  <c r="P35" i="87"/>
  <c r="P33" i="88"/>
  <c r="P34" i="88"/>
  <c r="P35" i="88"/>
  <c r="P33" i="89"/>
  <c r="P34" i="89"/>
  <c r="P35" i="89"/>
  <c r="P33" i="90"/>
  <c r="P34" i="90"/>
  <c r="P35" i="90"/>
  <c r="P33" i="91"/>
  <c r="P34" i="91"/>
  <c r="P35" i="91"/>
  <c r="P33" i="92"/>
  <c r="P34" i="92"/>
  <c r="P35" i="92"/>
  <c r="P33" i="93"/>
  <c r="P34" i="93"/>
  <c r="P35" i="93"/>
  <c r="P33" i="94"/>
  <c r="P34" i="94"/>
  <c r="P35" i="94"/>
  <c r="P33" i="95"/>
  <c r="P34" i="95"/>
  <c r="P35" i="95"/>
  <c r="P33" i="96"/>
  <c r="P34" i="96"/>
  <c r="P35" i="96"/>
  <c r="P33" i="97"/>
  <c r="P34" i="97"/>
  <c r="P35" i="97"/>
  <c r="P33" i="98"/>
  <c r="P34" i="98"/>
  <c r="P35" i="98"/>
  <c r="P33" i="99"/>
  <c r="P34" i="99"/>
  <c r="P35" i="99"/>
  <c r="P33" i="100"/>
  <c r="P34" i="100"/>
  <c r="P35" i="100"/>
  <c r="P33" i="101"/>
  <c r="P34" i="101"/>
  <c r="P35" i="101"/>
  <c r="P33" i="102"/>
  <c r="P34" i="102"/>
  <c r="P35" i="102"/>
  <c r="P33" i="103"/>
  <c r="P34" i="103"/>
  <c r="P35" i="103"/>
  <c r="P33" i="104"/>
  <c r="P34" i="104"/>
  <c r="P35" i="104"/>
  <c r="P33" i="105"/>
  <c r="P34" i="105"/>
  <c r="P35" i="105"/>
  <c r="P33" i="106"/>
  <c r="P34" i="106"/>
  <c r="P35" i="106"/>
  <c r="P33" i="107"/>
  <c r="P34" i="107"/>
  <c r="P35" i="107"/>
  <c r="P33" i="108"/>
  <c r="P34" i="108"/>
  <c r="P35" i="108"/>
  <c r="P33" i="109"/>
  <c r="P34" i="109"/>
  <c r="P35" i="109"/>
  <c r="P33" i="110"/>
  <c r="P34" i="110"/>
  <c r="P35" i="110"/>
  <c r="P33" i="111"/>
  <c r="P34" i="111"/>
  <c r="P35" i="111"/>
  <c r="P33" i="69"/>
  <c r="P34" i="69"/>
  <c r="P35" i="69"/>
  <c r="P32" i="70"/>
  <c r="P32" i="71"/>
  <c r="P32" i="72"/>
  <c r="P32" i="73"/>
  <c r="P32" i="74"/>
  <c r="P32" i="75"/>
  <c r="P32" i="76"/>
  <c r="P32" i="77"/>
  <c r="P32" i="78"/>
  <c r="P32" i="79"/>
  <c r="P32" i="80"/>
  <c r="P32" i="81"/>
  <c r="P32" i="82"/>
  <c r="P32" i="83"/>
  <c r="P32" i="84"/>
  <c r="P32" i="85"/>
  <c r="P32" i="86"/>
  <c r="P32" i="87"/>
  <c r="P32" i="88"/>
  <c r="P32" i="89"/>
  <c r="P32" i="90"/>
  <c r="P32" i="91"/>
  <c r="P32" i="92"/>
  <c r="P32" i="93"/>
  <c r="P32" i="94"/>
  <c r="P32" i="95"/>
  <c r="P32" i="96"/>
  <c r="P32" i="97"/>
  <c r="P32" i="98"/>
  <c r="P32" i="99"/>
  <c r="P32" i="100"/>
  <c r="P32" i="101"/>
  <c r="P32" i="102"/>
  <c r="P32" i="103"/>
  <c r="P32" i="104"/>
  <c r="P32" i="105"/>
  <c r="P32" i="106"/>
  <c r="P32" i="107"/>
  <c r="P32" i="108"/>
  <c r="P32" i="109"/>
  <c r="P32" i="110"/>
  <c r="P32" i="111"/>
  <c r="P32" i="69"/>
  <c r="P26" i="70"/>
  <c r="P27" i="70"/>
  <c r="P28" i="70"/>
  <c r="P26" i="71"/>
  <c r="P27" i="71"/>
  <c r="P28" i="71"/>
  <c r="P26" i="72"/>
  <c r="P27" i="72"/>
  <c r="P28" i="72"/>
  <c r="P26" i="73"/>
  <c r="P27" i="73"/>
  <c r="P28" i="73"/>
  <c r="P26" i="74"/>
  <c r="P27" i="74"/>
  <c r="P28" i="74"/>
  <c r="P26" i="75"/>
  <c r="P27" i="75"/>
  <c r="P28" i="75"/>
  <c r="P26" i="76"/>
  <c r="P27" i="76"/>
  <c r="P28" i="76"/>
  <c r="P26" i="77"/>
  <c r="P27" i="77"/>
  <c r="P28" i="77"/>
  <c r="P26" i="78"/>
  <c r="P27" i="78"/>
  <c r="P28" i="78"/>
  <c r="P26" i="79"/>
  <c r="P27" i="79"/>
  <c r="P28" i="79"/>
  <c r="P26" i="80"/>
  <c r="P27" i="80"/>
  <c r="P28" i="80"/>
  <c r="P26" i="81"/>
  <c r="P27" i="81"/>
  <c r="P28" i="81"/>
  <c r="P26" i="82"/>
  <c r="P27" i="82"/>
  <c r="P28" i="82"/>
  <c r="P26" i="83"/>
  <c r="P27" i="83"/>
  <c r="P28" i="83"/>
  <c r="P26" i="84"/>
  <c r="P27" i="84"/>
  <c r="P28" i="84"/>
  <c r="P26" i="85"/>
  <c r="P27" i="85"/>
  <c r="P28" i="85"/>
  <c r="P26" i="86"/>
  <c r="P27" i="86"/>
  <c r="P28" i="86"/>
  <c r="P26" i="87"/>
  <c r="P27" i="87"/>
  <c r="P28" i="87"/>
  <c r="P26" i="88"/>
  <c r="P27" i="88"/>
  <c r="P28" i="88"/>
  <c r="P26" i="89"/>
  <c r="P27" i="89"/>
  <c r="P28" i="89"/>
  <c r="P26" i="90"/>
  <c r="P27" i="90"/>
  <c r="P28" i="90"/>
  <c r="P26" i="91"/>
  <c r="P27" i="91"/>
  <c r="P28" i="91"/>
  <c r="P26" i="92"/>
  <c r="P27" i="92"/>
  <c r="P28" i="92"/>
  <c r="P26" i="93"/>
  <c r="P27" i="93"/>
  <c r="P28" i="93"/>
  <c r="P26" i="94"/>
  <c r="P27" i="94"/>
  <c r="P28" i="94"/>
  <c r="P26" i="95"/>
  <c r="P27" i="95"/>
  <c r="P28" i="95"/>
  <c r="P26" i="96"/>
  <c r="P27" i="96"/>
  <c r="P28" i="96"/>
  <c r="P26" i="97"/>
  <c r="P27" i="97"/>
  <c r="P28" i="97"/>
  <c r="P26" i="98"/>
  <c r="P27" i="98"/>
  <c r="P28" i="98"/>
  <c r="P26" i="99"/>
  <c r="P27" i="99"/>
  <c r="P28" i="99"/>
  <c r="P26" i="100"/>
  <c r="P27" i="100"/>
  <c r="P28" i="100"/>
  <c r="P26" i="101"/>
  <c r="P27" i="101"/>
  <c r="P28" i="101"/>
  <c r="P26" i="102"/>
  <c r="P27" i="102"/>
  <c r="P28" i="102"/>
  <c r="P26" i="103"/>
  <c r="P27" i="103"/>
  <c r="P28" i="103"/>
  <c r="P26" i="104"/>
  <c r="P27" i="104"/>
  <c r="P28" i="104"/>
  <c r="P26" i="105"/>
  <c r="P27" i="105"/>
  <c r="P28" i="105"/>
  <c r="P26" i="106"/>
  <c r="P27" i="106"/>
  <c r="P28" i="106"/>
  <c r="P26" i="107"/>
  <c r="P27" i="107"/>
  <c r="P28" i="107"/>
  <c r="P26" i="108"/>
  <c r="P27" i="108"/>
  <c r="P28" i="108"/>
  <c r="P26" i="109"/>
  <c r="P27" i="109"/>
  <c r="P28" i="109"/>
  <c r="P26" i="110"/>
  <c r="P27" i="110"/>
  <c r="P28" i="110"/>
  <c r="P26" i="111"/>
  <c r="P27" i="111"/>
  <c r="P28" i="111"/>
  <c r="P26" i="69"/>
  <c r="P27" i="69"/>
  <c r="P28" i="69"/>
  <c r="P25" i="70"/>
  <c r="P25" i="71"/>
  <c r="P25" i="72"/>
  <c r="P25" i="73"/>
  <c r="P25" i="74"/>
  <c r="P25" i="75"/>
  <c r="P25" i="76"/>
  <c r="P25" i="77"/>
  <c r="P25" i="78"/>
  <c r="P25" i="79"/>
  <c r="P25" i="80"/>
  <c r="P25" i="81"/>
  <c r="P25" i="82"/>
  <c r="P25" i="83"/>
  <c r="P25" i="84"/>
  <c r="P25" i="85"/>
  <c r="P25" i="86"/>
  <c r="P25" i="87"/>
  <c r="P25" i="88"/>
  <c r="P25" i="89"/>
  <c r="P25" i="90"/>
  <c r="P25" i="91"/>
  <c r="P25" i="92"/>
  <c r="P25" i="93"/>
  <c r="P25" i="94"/>
  <c r="P25" i="95"/>
  <c r="P25" i="96"/>
  <c r="P25" i="97"/>
  <c r="P25" i="98"/>
  <c r="P25" i="99"/>
  <c r="P25" i="100"/>
  <c r="P25" i="101"/>
  <c r="P25" i="102"/>
  <c r="P25" i="103"/>
  <c r="P25" i="104"/>
  <c r="P25" i="105"/>
  <c r="P25" i="106"/>
  <c r="P25" i="107"/>
  <c r="P25" i="108"/>
  <c r="P25" i="109"/>
  <c r="P25" i="110"/>
  <c r="P25" i="111"/>
  <c r="P25" i="69"/>
  <c r="P20" i="70"/>
  <c r="P21" i="70"/>
  <c r="P22" i="70"/>
  <c r="P20" i="71"/>
  <c r="P21" i="71"/>
  <c r="P22" i="71"/>
  <c r="P20" i="72"/>
  <c r="P21" i="72"/>
  <c r="P22" i="72"/>
  <c r="P20" i="73"/>
  <c r="P21" i="73"/>
  <c r="P22" i="73"/>
  <c r="P20" i="74"/>
  <c r="P21" i="74"/>
  <c r="P22" i="74"/>
  <c r="P20" i="75"/>
  <c r="P21" i="75"/>
  <c r="P22" i="75"/>
  <c r="P20" i="76"/>
  <c r="P21" i="76"/>
  <c r="P22" i="76"/>
  <c r="P20" i="77"/>
  <c r="P21" i="77"/>
  <c r="P22" i="77"/>
  <c r="P20" i="78"/>
  <c r="P21" i="78"/>
  <c r="P22" i="78"/>
  <c r="P20" i="79"/>
  <c r="P21" i="79"/>
  <c r="P22" i="79"/>
  <c r="P20" i="80"/>
  <c r="P21" i="80"/>
  <c r="P22" i="80"/>
  <c r="P20" i="81"/>
  <c r="P21" i="81"/>
  <c r="P22" i="81"/>
  <c r="P20" i="82"/>
  <c r="P21" i="82"/>
  <c r="P22" i="82"/>
  <c r="P20" i="83"/>
  <c r="P21" i="83"/>
  <c r="P22" i="83"/>
  <c r="P20" i="84"/>
  <c r="P21" i="84"/>
  <c r="P22" i="84"/>
  <c r="P20" i="85"/>
  <c r="P21" i="85"/>
  <c r="P22" i="85"/>
  <c r="P20" i="86"/>
  <c r="P21" i="86"/>
  <c r="P22" i="86"/>
  <c r="P20" i="87"/>
  <c r="P21" i="87"/>
  <c r="P22" i="87"/>
  <c r="P20" i="88"/>
  <c r="P21" i="88"/>
  <c r="P22" i="88"/>
  <c r="P20" i="89"/>
  <c r="P21" i="89"/>
  <c r="P22" i="89"/>
  <c r="P20" i="90"/>
  <c r="P21" i="90"/>
  <c r="P22" i="90"/>
  <c r="P20" i="91"/>
  <c r="P21" i="91"/>
  <c r="P22" i="91"/>
  <c r="P20" i="92"/>
  <c r="P21" i="92"/>
  <c r="P22" i="92"/>
  <c r="P20" i="93"/>
  <c r="P21" i="93"/>
  <c r="P22" i="93"/>
  <c r="P20" i="94"/>
  <c r="P21" i="94"/>
  <c r="P22" i="94"/>
  <c r="P20" i="95"/>
  <c r="P21" i="95"/>
  <c r="P22" i="95"/>
  <c r="P20" i="96"/>
  <c r="P21" i="96"/>
  <c r="P22" i="96"/>
  <c r="P20" i="97"/>
  <c r="P21" i="97"/>
  <c r="P22" i="97"/>
  <c r="P20" i="98"/>
  <c r="P21" i="98"/>
  <c r="P22" i="98"/>
  <c r="P20" i="99"/>
  <c r="P21" i="99"/>
  <c r="P22" i="99"/>
  <c r="P20" i="100"/>
  <c r="P21" i="100"/>
  <c r="P22" i="100"/>
  <c r="P20" i="101"/>
  <c r="P21" i="101"/>
  <c r="P22" i="101"/>
  <c r="P20" i="102"/>
  <c r="P21" i="102"/>
  <c r="P22" i="102"/>
  <c r="P20" i="103"/>
  <c r="P21" i="103"/>
  <c r="P22" i="103"/>
  <c r="P20" i="104"/>
  <c r="P21" i="104"/>
  <c r="P22" i="104"/>
  <c r="P20" i="105"/>
  <c r="P21" i="105"/>
  <c r="P22" i="105"/>
  <c r="P20" i="106"/>
  <c r="P21" i="106"/>
  <c r="P22" i="106"/>
  <c r="P20" i="107"/>
  <c r="P21" i="107"/>
  <c r="P22" i="107"/>
  <c r="P20" i="108"/>
  <c r="P21" i="108"/>
  <c r="P22" i="108"/>
  <c r="P20" i="109"/>
  <c r="P21" i="109"/>
  <c r="P22" i="109"/>
  <c r="P20" i="110"/>
  <c r="P21" i="110"/>
  <c r="P22" i="110"/>
  <c r="P20" i="111"/>
  <c r="P21" i="111"/>
  <c r="P22" i="111"/>
  <c r="P20" i="69"/>
  <c r="P21" i="69"/>
  <c r="P22" i="69"/>
  <c r="P19" i="70"/>
  <c r="P19" i="71"/>
  <c r="P19" i="72"/>
  <c r="P19" i="73"/>
  <c r="P19" i="74"/>
  <c r="P19" i="75"/>
  <c r="P19" i="76"/>
  <c r="P19" i="77"/>
  <c r="P19" i="78"/>
  <c r="P19" i="79"/>
  <c r="P19" i="80"/>
  <c r="P19" i="81"/>
  <c r="P19" i="82"/>
  <c r="P19" i="83"/>
  <c r="P19" i="84"/>
  <c r="P19" i="85"/>
  <c r="P19" i="86"/>
  <c r="P19" i="87"/>
  <c r="P19" i="88"/>
  <c r="P19" i="89"/>
  <c r="P19" i="90"/>
  <c r="P19" i="91"/>
  <c r="P19" i="92"/>
  <c r="P19" i="93"/>
  <c r="P19" i="94"/>
  <c r="P19" i="95"/>
  <c r="P19" i="96"/>
  <c r="P19" i="97"/>
  <c r="P19" i="98"/>
  <c r="P19" i="99"/>
  <c r="P19" i="100"/>
  <c r="P19" i="101"/>
  <c r="P19" i="102"/>
  <c r="P19" i="103"/>
  <c r="P19" i="104"/>
  <c r="P19" i="105"/>
  <c r="P19" i="106"/>
  <c r="P19" i="107"/>
  <c r="P19" i="108"/>
  <c r="P19" i="109"/>
  <c r="P19" i="110"/>
  <c r="P19" i="111"/>
  <c r="P19" i="69"/>
  <c r="P14" i="70"/>
  <c r="P15" i="70"/>
  <c r="P14" i="71"/>
  <c r="P15" i="71"/>
  <c r="P14" i="72"/>
  <c r="P15" i="72"/>
  <c r="P14" i="73"/>
  <c r="P15" i="73"/>
  <c r="P14" i="74"/>
  <c r="P15" i="74"/>
  <c r="P14" i="75"/>
  <c r="P15" i="75"/>
  <c r="P14" i="76"/>
  <c r="P15" i="76"/>
  <c r="P14" i="77"/>
  <c r="P15" i="77"/>
  <c r="P14" i="78"/>
  <c r="P15" i="78"/>
  <c r="P14" i="79"/>
  <c r="P15" i="79"/>
  <c r="P14" i="80"/>
  <c r="P15" i="80"/>
  <c r="P14" i="81"/>
  <c r="P15" i="81"/>
  <c r="P14" i="82"/>
  <c r="P15" i="82"/>
  <c r="P14" i="83"/>
  <c r="P15" i="83"/>
  <c r="P14" i="84"/>
  <c r="P15" i="84"/>
  <c r="P14" i="85"/>
  <c r="P15" i="85"/>
  <c r="P14" i="86"/>
  <c r="P15" i="86"/>
  <c r="P14" i="87"/>
  <c r="P15" i="87"/>
  <c r="P14" i="88"/>
  <c r="P15" i="88"/>
  <c r="P14" i="89"/>
  <c r="P15" i="89"/>
  <c r="P14" i="90"/>
  <c r="P15" i="90"/>
  <c r="P14" i="91"/>
  <c r="P15" i="91"/>
  <c r="P14" i="92"/>
  <c r="P15" i="92"/>
  <c r="P14" i="93"/>
  <c r="P15" i="93"/>
  <c r="P14" i="94"/>
  <c r="P15" i="94"/>
  <c r="P14" i="95"/>
  <c r="P15" i="95"/>
  <c r="P14" i="96"/>
  <c r="P15" i="96"/>
  <c r="P14" i="97"/>
  <c r="P15" i="97"/>
  <c r="P14" i="98"/>
  <c r="P15" i="98"/>
  <c r="P14" i="99"/>
  <c r="P15" i="99"/>
  <c r="P14" i="100"/>
  <c r="P15" i="100"/>
  <c r="P14" i="101"/>
  <c r="P15" i="101"/>
  <c r="P14" i="102"/>
  <c r="P15" i="102"/>
  <c r="P14" i="103"/>
  <c r="P15" i="103"/>
  <c r="P14" i="104"/>
  <c r="P15" i="104"/>
  <c r="P14" i="105"/>
  <c r="P15" i="105"/>
  <c r="P14" i="106"/>
  <c r="P15" i="106"/>
  <c r="P14" i="107"/>
  <c r="P15" i="107"/>
  <c r="P14" i="108"/>
  <c r="P15" i="108"/>
  <c r="P14" i="109"/>
  <c r="P15" i="109"/>
  <c r="P14" i="110"/>
  <c r="P15" i="110"/>
  <c r="P14" i="111"/>
  <c r="P15" i="111"/>
  <c r="P14" i="69"/>
  <c r="P15" i="69"/>
  <c r="P13" i="70"/>
  <c r="P13" i="71"/>
  <c r="P13" i="72"/>
  <c r="P13" i="73"/>
  <c r="P13" i="74"/>
  <c r="P13" i="75"/>
  <c r="P13" i="76"/>
  <c r="P13" i="77"/>
  <c r="P13" i="78"/>
  <c r="P13" i="79"/>
  <c r="P13" i="80"/>
  <c r="P13" i="81"/>
  <c r="P13" i="82"/>
  <c r="P13" i="83"/>
  <c r="P13" i="84"/>
  <c r="P13" i="85"/>
  <c r="P13" i="86"/>
  <c r="P13" i="87"/>
  <c r="P13" i="88"/>
  <c r="P13" i="89"/>
  <c r="P13" i="90"/>
  <c r="P13" i="91"/>
  <c r="P13" i="92"/>
  <c r="P13" i="93"/>
  <c r="P13" i="94"/>
  <c r="P13" i="95"/>
  <c r="P13" i="96"/>
  <c r="P13" i="97"/>
  <c r="P13" i="98"/>
  <c r="P13" i="99"/>
  <c r="P13" i="100"/>
  <c r="P13" i="101"/>
  <c r="P13" i="102"/>
  <c r="P13" i="103"/>
  <c r="P13" i="104"/>
  <c r="P13" i="105"/>
  <c r="P13" i="106"/>
  <c r="P13" i="107"/>
  <c r="P13" i="108"/>
  <c r="P13" i="109"/>
  <c r="P13" i="110"/>
  <c r="P13" i="111"/>
  <c r="P13" i="69"/>
  <c r="P9" i="70"/>
  <c r="P10" i="70"/>
  <c r="P9" i="71"/>
  <c r="P10" i="71"/>
  <c r="P9" i="72"/>
  <c r="P10" i="72"/>
  <c r="P9" i="73"/>
  <c r="P10" i="73"/>
  <c r="P9" i="74"/>
  <c r="P10" i="74"/>
  <c r="P9" i="75"/>
  <c r="P10" i="75"/>
  <c r="P9" i="76"/>
  <c r="P10" i="76"/>
  <c r="P9" i="77"/>
  <c r="P10" i="77"/>
  <c r="P9" i="78"/>
  <c r="P10" i="78"/>
  <c r="P9" i="79"/>
  <c r="P10" i="79"/>
  <c r="P9" i="80"/>
  <c r="P10" i="80"/>
  <c r="P9" i="81"/>
  <c r="P10" i="81"/>
  <c r="P9" i="82"/>
  <c r="P10" i="82"/>
  <c r="P9" i="83"/>
  <c r="P10" i="83"/>
  <c r="P9" i="84"/>
  <c r="P10" i="84"/>
  <c r="P9" i="85"/>
  <c r="P10" i="85"/>
  <c r="P9" i="86"/>
  <c r="P10" i="86"/>
  <c r="P9" i="87"/>
  <c r="P10" i="87"/>
  <c r="P9" i="88"/>
  <c r="P10" i="88"/>
  <c r="P9" i="89"/>
  <c r="P10" i="89"/>
  <c r="P9" i="90"/>
  <c r="P10" i="90"/>
  <c r="P9" i="91"/>
  <c r="P10" i="91"/>
  <c r="P9" i="92"/>
  <c r="P10" i="92"/>
  <c r="P9" i="93"/>
  <c r="P10" i="93"/>
  <c r="P9" i="94"/>
  <c r="P10" i="94"/>
  <c r="P9" i="95"/>
  <c r="P10" i="95"/>
  <c r="P9" i="96"/>
  <c r="P10" i="96"/>
  <c r="P9" i="97"/>
  <c r="P10" i="97"/>
  <c r="P9" i="98"/>
  <c r="P10" i="98"/>
  <c r="P9" i="99"/>
  <c r="P10" i="99"/>
  <c r="P9" i="100"/>
  <c r="P10" i="100"/>
  <c r="P9" i="101"/>
  <c r="P10" i="101"/>
  <c r="P9" i="102"/>
  <c r="P10" i="102"/>
  <c r="P9" i="103"/>
  <c r="P10" i="103"/>
  <c r="P9" i="104"/>
  <c r="P10" i="104"/>
  <c r="P9" i="105"/>
  <c r="P10" i="105"/>
  <c r="P9" i="106"/>
  <c r="P10" i="106"/>
  <c r="P9" i="107"/>
  <c r="P10" i="107"/>
  <c r="P9" i="108"/>
  <c r="P10" i="108"/>
  <c r="P9" i="109"/>
  <c r="P10" i="109"/>
  <c r="P9" i="110"/>
  <c r="P10" i="110"/>
  <c r="P9" i="111"/>
  <c r="P10" i="111"/>
  <c r="P9" i="69"/>
  <c r="P10" i="69"/>
  <c r="P8" i="70"/>
  <c r="P8" i="71"/>
  <c r="P8" i="72"/>
  <c r="P8" i="73"/>
  <c r="P8" i="74"/>
  <c r="P8" i="75"/>
  <c r="P8" i="76"/>
  <c r="P8" i="77"/>
  <c r="P8" i="78"/>
  <c r="P8" i="79"/>
  <c r="P8" i="80"/>
  <c r="P8" i="81"/>
  <c r="P8" i="82"/>
  <c r="P8" i="83"/>
  <c r="P8" i="84"/>
  <c r="P8" i="85"/>
  <c r="P8" i="86"/>
  <c r="P8" i="87"/>
  <c r="P8" i="88"/>
  <c r="P8" i="89"/>
  <c r="P8" i="90"/>
  <c r="P8" i="91"/>
  <c r="P8" i="92"/>
  <c r="P8" i="93"/>
  <c r="P8" i="94"/>
  <c r="P8" i="95"/>
  <c r="P8" i="96"/>
  <c r="P8" i="97"/>
  <c r="P8" i="98"/>
  <c r="P8" i="99"/>
  <c r="P8" i="100"/>
  <c r="P8" i="101"/>
  <c r="P8" i="102"/>
  <c r="P8" i="103"/>
  <c r="P8" i="104"/>
  <c r="P8" i="105"/>
  <c r="P8" i="106"/>
  <c r="P8" i="107"/>
  <c r="P8" i="108"/>
  <c r="P8" i="109"/>
  <c r="P8" i="110"/>
  <c r="P8" i="111"/>
  <c r="P8" i="69"/>
  <c r="P71" i="33"/>
  <c r="P72" i="33"/>
  <c r="P73" i="33"/>
  <c r="P74" i="33"/>
  <c r="P75" i="33"/>
  <c r="P76" i="33"/>
  <c r="P77" i="33"/>
  <c r="P78" i="33"/>
  <c r="P79" i="33"/>
  <c r="P71" i="34"/>
  <c r="P72" i="34"/>
  <c r="P73" i="34"/>
  <c r="P74" i="34"/>
  <c r="P75" i="34"/>
  <c r="P76" i="34"/>
  <c r="P77" i="34"/>
  <c r="P78" i="34"/>
  <c r="P79" i="34"/>
  <c r="P71" i="35"/>
  <c r="P72" i="35"/>
  <c r="P73" i="35"/>
  <c r="P74" i="35"/>
  <c r="P75" i="35"/>
  <c r="P76" i="35"/>
  <c r="P77" i="35"/>
  <c r="P78" i="35"/>
  <c r="P79" i="35"/>
  <c r="P71" i="36"/>
  <c r="P72" i="36"/>
  <c r="P73" i="36"/>
  <c r="P74" i="36"/>
  <c r="P75" i="36"/>
  <c r="P76" i="36"/>
  <c r="P77" i="36"/>
  <c r="P78" i="36"/>
  <c r="P79" i="36"/>
  <c r="P71" i="37"/>
  <c r="P72" i="37"/>
  <c r="P73" i="37"/>
  <c r="P74" i="37"/>
  <c r="P75" i="37"/>
  <c r="P76" i="37"/>
  <c r="P77" i="37"/>
  <c r="P78" i="37"/>
  <c r="P79" i="37"/>
  <c r="P71" i="38"/>
  <c r="P72" i="38"/>
  <c r="P73" i="38"/>
  <c r="P74" i="38"/>
  <c r="P75" i="38"/>
  <c r="P76" i="38"/>
  <c r="P77" i="38"/>
  <c r="P78" i="38"/>
  <c r="P79" i="38"/>
  <c r="P71" i="39"/>
  <c r="P72" i="39"/>
  <c r="P73" i="39"/>
  <c r="P74" i="39"/>
  <c r="P75" i="39"/>
  <c r="P76" i="39"/>
  <c r="P77" i="39"/>
  <c r="P78" i="39"/>
  <c r="P79" i="39"/>
  <c r="P71" i="40"/>
  <c r="P72" i="40"/>
  <c r="P73" i="40"/>
  <c r="P74" i="40"/>
  <c r="P75" i="40"/>
  <c r="P76" i="40"/>
  <c r="P77" i="40"/>
  <c r="P78" i="40"/>
  <c r="P79" i="40"/>
  <c r="P71" i="41"/>
  <c r="P72" i="41"/>
  <c r="P73" i="41"/>
  <c r="P74" i="41"/>
  <c r="P75" i="41"/>
  <c r="P76" i="41"/>
  <c r="P77" i="41"/>
  <c r="P78" i="41"/>
  <c r="P79" i="41"/>
  <c r="P71" i="42"/>
  <c r="P72" i="42"/>
  <c r="P73" i="42"/>
  <c r="P74" i="42"/>
  <c r="P75" i="42"/>
  <c r="P76" i="42"/>
  <c r="P77" i="42"/>
  <c r="P78" i="42"/>
  <c r="P79" i="42"/>
  <c r="P71" i="43"/>
  <c r="P72" i="43"/>
  <c r="P73" i="43"/>
  <c r="P74" i="43"/>
  <c r="P75" i="43"/>
  <c r="P76" i="43"/>
  <c r="P77" i="43"/>
  <c r="P78" i="43"/>
  <c r="P79" i="43"/>
  <c r="P71" i="44"/>
  <c r="P72" i="44"/>
  <c r="P73" i="44"/>
  <c r="P74" i="44"/>
  <c r="P75" i="44"/>
  <c r="P76" i="44"/>
  <c r="P77" i="44"/>
  <c r="P78" i="44"/>
  <c r="P79" i="44"/>
  <c r="P71" i="45"/>
  <c r="P72" i="45"/>
  <c r="P73" i="45"/>
  <c r="P74" i="45"/>
  <c r="P75" i="45"/>
  <c r="P76" i="45"/>
  <c r="P77" i="45"/>
  <c r="P78" i="45"/>
  <c r="P79" i="45"/>
  <c r="P71" i="46"/>
  <c r="P72" i="46"/>
  <c r="P73" i="46"/>
  <c r="P74" i="46"/>
  <c r="P75" i="46"/>
  <c r="P76" i="46"/>
  <c r="P77" i="46"/>
  <c r="P78" i="46"/>
  <c r="P79" i="46"/>
  <c r="P71" i="47"/>
  <c r="P72" i="47"/>
  <c r="P73" i="47"/>
  <c r="P74" i="47"/>
  <c r="P75" i="47"/>
  <c r="P76" i="47"/>
  <c r="P77" i="47"/>
  <c r="P78" i="47"/>
  <c r="P79" i="47"/>
  <c r="P71" i="48"/>
  <c r="P72" i="48"/>
  <c r="P73" i="48"/>
  <c r="P74" i="48"/>
  <c r="P75" i="48"/>
  <c r="P76" i="48"/>
  <c r="P77" i="48"/>
  <c r="P78" i="48"/>
  <c r="P79" i="48"/>
  <c r="P71" i="49"/>
  <c r="P72" i="49"/>
  <c r="P73" i="49"/>
  <c r="P74" i="49"/>
  <c r="P75" i="49"/>
  <c r="P76" i="49"/>
  <c r="P77" i="49"/>
  <c r="P78" i="49"/>
  <c r="P79" i="49"/>
  <c r="P71" i="50"/>
  <c r="P72" i="50"/>
  <c r="P73" i="50"/>
  <c r="P74" i="50"/>
  <c r="P75" i="50"/>
  <c r="P76" i="50"/>
  <c r="P77" i="50"/>
  <c r="P78" i="50"/>
  <c r="P79" i="50"/>
  <c r="P71" i="51"/>
  <c r="P72" i="51"/>
  <c r="P73" i="51"/>
  <c r="P74" i="51"/>
  <c r="P75" i="51"/>
  <c r="P76" i="51"/>
  <c r="P77" i="51"/>
  <c r="P78" i="51"/>
  <c r="P79" i="51"/>
  <c r="P71" i="52"/>
  <c r="P72" i="52"/>
  <c r="P73" i="52"/>
  <c r="P74" i="52"/>
  <c r="P75" i="52"/>
  <c r="P76" i="52"/>
  <c r="P77" i="52"/>
  <c r="P78" i="52"/>
  <c r="P79" i="52"/>
  <c r="P71" i="53"/>
  <c r="P72" i="53"/>
  <c r="P73" i="53"/>
  <c r="P74" i="53"/>
  <c r="P75" i="53"/>
  <c r="P76" i="53"/>
  <c r="P77" i="53"/>
  <c r="P78" i="53"/>
  <c r="P79" i="53"/>
  <c r="P71" i="54"/>
  <c r="P72" i="54"/>
  <c r="P73" i="54"/>
  <c r="P74" i="54"/>
  <c r="P75" i="54"/>
  <c r="P76" i="54"/>
  <c r="P77" i="54"/>
  <c r="P78" i="54"/>
  <c r="P79" i="54"/>
  <c r="P71" i="55"/>
  <c r="P72" i="55"/>
  <c r="P73" i="55"/>
  <c r="P74" i="55"/>
  <c r="P75" i="55"/>
  <c r="P76" i="55"/>
  <c r="P77" i="55"/>
  <c r="P78" i="55"/>
  <c r="P79" i="55"/>
  <c r="P71" i="56"/>
  <c r="P72" i="56"/>
  <c r="P73" i="56"/>
  <c r="P74" i="56"/>
  <c r="P75" i="56"/>
  <c r="P76" i="56"/>
  <c r="P77" i="56"/>
  <c r="P78" i="56"/>
  <c r="P79" i="56"/>
  <c r="P71" i="57"/>
  <c r="P72" i="57"/>
  <c r="P73" i="57"/>
  <c r="P74" i="57"/>
  <c r="P75" i="57"/>
  <c r="P76" i="57"/>
  <c r="P77" i="57"/>
  <c r="P78" i="57"/>
  <c r="P79" i="57"/>
  <c r="P71" i="58"/>
  <c r="P72" i="58"/>
  <c r="P73" i="58"/>
  <c r="P74" i="58"/>
  <c r="P75" i="58"/>
  <c r="P76" i="58"/>
  <c r="P77" i="58"/>
  <c r="P78" i="58"/>
  <c r="P79" i="58"/>
  <c r="P71" i="59"/>
  <c r="P72" i="59"/>
  <c r="P73" i="59"/>
  <c r="P74" i="59"/>
  <c r="P75" i="59"/>
  <c r="P76" i="59"/>
  <c r="P77" i="59"/>
  <c r="P78" i="59"/>
  <c r="P79" i="59"/>
  <c r="P71" i="60"/>
  <c r="P72" i="60"/>
  <c r="P73" i="60"/>
  <c r="P74" i="60"/>
  <c r="P75" i="60"/>
  <c r="P76" i="60"/>
  <c r="P77" i="60"/>
  <c r="P78" i="60"/>
  <c r="P79" i="60"/>
  <c r="P71" i="61"/>
  <c r="P72" i="61"/>
  <c r="P73" i="61"/>
  <c r="P74" i="61"/>
  <c r="P75" i="61"/>
  <c r="P76" i="61"/>
  <c r="P77" i="61"/>
  <c r="P78" i="61"/>
  <c r="P79" i="61"/>
  <c r="P71" i="62"/>
  <c r="P72" i="62"/>
  <c r="P73" i="62"/>
  <c r="P74" i="62"/>
  <c r="P75" i="62"/>
  <c r="P76" i="62"/>
  <c r="P77" i="62"/>
  <c r="P78" i="62"/>
  <c r="P79" i="62"/>
  <c r="P71" i="63"/>
  <c r="P72" i="63"/>
  <c r="P73" i="63"/>
  <c r="P74" i="63"/>
  <c r="P75" i="63"/>
  <c r="P76" i="63"/>
  <c r="P77" i="63"/>
  <c r="P78" i="63"/>
  <c r="P79" i="63"/>
  <c r="P71" i="64"/>
  <c r="P72" i="64"/>
  <c r="P73" i="64"/>
  <c r="P74" i="64"/>
  <c r="P75" i="64"/>
  <c r="P76" i="64"/>
  <c r="P77" i="64"/>
  <c r="P78" i="64"/>
  <c r="P79" i="64"/>
  <c r="P71" i="65"/>
  <c r="P72" i="65"/>
  <c r="P73" i="65"/>
  <c r="P74" i="65"/>
  <c r="P75" i="65"/>
  <c r="P76" i="65"/>
  <c r="P77" i="65"/>
  <c r="P78" i="65"/>
  <c r="P79" i="65"/>
  <c r="P71" i="66"/>
  <c r="P72" i="66"/>
  <c r="P73" i="66"/>
  <c r="P74" i="66"/>
  <c r="P75" i="66"/>
  <c r="P76" i="66"/>
  <c r="P77" i="66"/>
  <c r="P78" i="66"/>
  <c r="P79" i="66"/>
  <c r="P71" i="67"/>
  <c r="P72" i="67"/>
  <c r="P73" i="67"/>
  <c r="P74" i="67"/>
  <c r="P75" i="67"/>
  <c r="P76" i="67"/>
  <c r="P77" i="67"/>
  <c r="P78" i="67"/>
  <c r="P79" i="67"/>
  <c r="P71" i="68"/>
  <c r="P72" i="68"/>
  <c r="P73" i="68"/>
  <c r="P74" i="68"/>
  <c r="P75" i="68"/>
  <c r="P76" i="68"/>
  <c r="P77" i="68"/>
  <c r="P78" i="68"/>
  <c r="P79" i="68"/>
  <c r="P71" i="32"/>
  <c r="P72" i="32"/>
  <c r="P73" i="32"/>
  <c r="P74" i="32"/>
  <c r="P75" i="32"/>
  <c r="P76" i="32"/>
  <c r="P77" i="32"/>
  <c r="P78" i="32"/>
  <c r="P79" i="32"/>
  <c r="P70" i="33"/>
  <c r="P70" i="34"/>
  <c r="P70" i="35"/>
  <c r="P70" i="36"/>
  <c r="P70" i="37"/>
  <c r="P70" i="38"/>
  <c r="P70" i="39"/>
  <c r="P70" i="40"/>
  <c r="P70" i="41"/>
  <c r="P70" i="42"/>
  <c r="P70" i="43"/>
  <c r="P70" i="44"/>
  <c r="P70" i="45"/>
  <c r="P70" i="46"/>
  <c r="P70" i="47"/>
  <c r="P70" i="48"/>
  <c r="P70" i="49"/>
  <c r="P70" i="50"/>
  <c r="P70" i="51"/>
  <c r="P70" i="52"/>
  <c r="P70" i="53"/>
  <c r="P70" i="54"/>
  <c r="P70" i="55"/>
  <c r="P70" i="56"/>
  <c r="P70" i="57"/>
  <c r="P70" i="58"/>
  <c r="P70" i="59"/>
  <c r="P70" i="60"/>
  <c r="P70" i="61"/>
  <c r="P70" i="62"/>
  <c r="P70" i="63"/>
  <c r="P70" i="64"/>
  <c r="P70" i="65"/>
  <c r="P70" i="66"/>
  <c r="P70" i="67"/>
  <c r="P70" i="68"/>
  <c r="P70" i="32"/>
  <c r="P59" i="33"/>
  <c r="P60" i="33"/>
  <c r="P61" i="33"/>
  <c r="P62" i="33"/>
  <c r="P63" i="33"/>
  <c r="P64" i="33"/>
  <c r="P65" i="33"/>
  <c r="P66" i="33"/>
  <c r="P67" i="33"/>
  <c r="P59" i="34"/>
  <c r="P60" i="34"/>
  <c r="P61" i="34"/>
  <c r="P62" i="34"/>
  <c r="P63" i="34"/>
  <c r="P64" i="34"/>
  <c r="P65" i="34"/>
  <c r="P66" i="34"/>
  <c r="P67" i="34"/>
  <c r="P59" i="35"/>
  <c r="P60" i="35"/>
  <c r="P61" i="35"/>
  <c r="P62" i="35"/>
  <c r="P63" i="35"/>
  <c r="P64" i="35"/>
  <c r="P65" i="35"/>
  <c r="P66" i="35"/>
  <c r="P67" i="35"/>
  <c r="P59" i="36"/>
  <c r="P60" i="36"/>
  <c r="P61" i="36"/>
  <c r="P62" i="36"/>
  <c r="P63" i="36"/>
  <c r="P64" i="36"/>
  <c r="P65" i="36"/>
  <c r="P66" i="36"/>
  <c r="P67" i="36"/>
  <c r="P59" i="37"/>
  <c r="P60" i="37"/>
  <c r="P61" i="37"/>
  <c r="P62" i="37"/>
  <c r="P63" i="37"/>
  <c r="P64" i="37"/>
  <c r="P65" i="37"/>
  <c r="P66" i="37"/>
  <c r="P67" i="37"/>
  <c r="P59" i="38"/>
  <c r="P60" i="38"/>
  <c r="P61" i="38"/>
  <c r="P62" i="38"/>
  <c r="P63" i="38"/>
  <c r="P64" i="38"/>
  <c r="P65" i="38"/>
  <c r="P66" i="38"/>
  <c r="P67" i="38"/>
  <c r="P59" i="39"/>
  <c r="P60" i="39"/>
  <c r="P61" i="39"/>
  <c r="P62" i="39"/>
  <c r="P63" i="39"/>
  <c r="P64" i="39"/>
  <c r="P65" i="39"/>
  <c r="P66" i="39"/>
  <c r="P67" i="39"/>
  <c r="P59" i="40"/>
  <c r="P60" i="40"/>
  <c r="P61" i="40"/>
  <c r="P62" i="40"/>
  <c r="P63" i="40"/>
  <c r="P64" i="40"/>
  <c r="P65" i="40"/>
  <c r="P66" i="40"/>
  <c r="P67" i="40"/>
  <c r="P59" i="41"/>
  <c r="P60" i="41"/>
  <c r="P61" i="41"/>
  <c r="P62" i="41"/>
  <c r="P63" i="41"/>
  <c r="P64" i="41"/>
  <c r="P65" i="41"/>
  <c r="P66" i="41"/>
  <c r="P67" i="41"/>
  <c r="P59" i="42"/>
  <c r="P60" i="42"/>
  <c r="P61" i="42"/>
  <c r="P62" i="42"/>
  <c r="P63" i="42"/>
  <c r="P64" i="42"/>
  <c r="P65" i="42"/>
  <c r="P66" i="42"/>
  <c r="P67" i="42"/>
  <c r="P59" i="43"/>
  <c r="P60" i="43"/>
  <c r="P61" i="43"/>
  <c r="P62" i="43"/>
  <c r="P63" i="43"/>
  <c r="P64" i="43"/>
  <c r="P65" i="43"/>
  <c r="P66" i="43"/>
  <c r="P67" i="43"/>
  <c r="P59" i="44"/>
  <c r="P60" i="44"/>
  <c r="P61" i="44"/>
  <c r="P62" i="44"/>
  <c r="P63" i="44"/>
  <c r="P64" i="44"/>
  <c r="P65" i="44"/>
  <c r="P66" i="44"/>
  <c r="P67" i="44"/>
  <c r="P59" i="45"/>
  <c r="P60" i="45"/>
  <c r="P61" i="45"/>
  <c r="P62" i="45"/>
  <c r="P63" i="45"/>
  <c r="P64" i="45"/>
  <c r="P65" i="45"/>
  <c r="P66" i="45"/>
  <c r="P67" i="45"/>
  <c r="P59" i="46"/>
  <c r="P60" i="46"/>
  <c r="P61" i="46"/>
  <c r="P62" i="46"/>
  <c r="P63" i="46"/>
  <c r="P64" i="46"/>
  <c r="P65" i="46"/>
  <c r="P66" i="46"/>
  <c r="P67" i="46"/>
  <c r="P59" i="47"/>
  <c r="P60" i="47"/>
  <c r="P61" i="47"/>
  <c r="P62" i="47"/>
  <c r="P63" i="47"/>
  <c r="P64" i="47"/>
  <c r="P65" i="47"/>
  <c r="P66" i="47"/>
  <c r="P67" i="47"/>
  <c r="P59" i="48"/>
  <c r="P60" i="48"/>
  <c r="P61" i="48"/>
  <c r="P62" i="48"/>
  <c r="P63" i="48"/>
  <c r="P64" i="48"/>
  <c r="P65" i="48"/>
  <c r="P66" i="48"/>
  <c r="P67" i="48"/>
  <c r="P59" i="49"/>
  <c r="P60" i="49"/>
  <c r="P61" i="49"/>
  <c r="P62" i="49"/>
  <c r="P63" i="49"/>
  <c r="P64" i="49"/>
  <c r="P65" i="49"/>
  <c r="P66" i="49"/>
  <c r="P67" i="49"/>
  <c r="P59" i="50"/>
  <c r="P60" i="50"/>
  <c r="P61" i="50"/>
  <c r="P62" i="50"/>
  <c r="P63" i="50"/>
  <c r="P64" i="50"/>
  <c r="P65" i="50"/>
  <c r="P66" i="50"/>
  <c r="P67" i="50"/>
  <c r="P59" i="51"/>
  <c r="P60" i="51"/>
  <c r="P61" i="51"/>
  <c r="P62" i="51"/>
  <c r="P63" i="51"/>
  <c r="P64" i="51"/>
  <c r="P65" i="51"/>
  <c r="P66" i="51"/>
  <c r="P67" i="51"/>
  <c r="P59" i="52"/>
  <c r="P60" i="52"/>
  <c r="P61" i="52"/>
  <c r="P62" i="52"/>
  <c r="P63" i="52"/>
  <c r="P64" i="52"/>
  <c r="P65" i="52"/>
  <c r="P66" i="52"/>
  <c r="P67" i="52"/>
  <c r="P59" i="53"/>
  <c r="P60" i="53"/>
  <c r="P61" i="53"/>
  <c r="P62" i="53"/>
  <c r="P63" i="53"/>
  <c r="P64" i="53"/>
  <c r="P65" i="53"/>
  <c r="P66" i="53"/>
  <c r="P67" i="53"/>
  <c r="P59" i="54"/>
  <c r="P60" i="54"/>
  <c r="P61" i="54"/>
  <c r="P62" i="54"/>
  <c r="P63" i="54"/>
  <c r="P64" i="54"/>
  <c r="P65" i="54"/>
  <c r="P66" i="54"/>
  <c r="P67" i="54"/>
  <c r="P59" i="55"/>
  <c r="P60" i="55"/>
  <c r="P61" i="55"/>
  <c r="P62" i="55"/>
  <c r="P63" i="55"/>
  <c r="P64" i="55"/>
  <c r="P65" i="55"/>
  <c r="P66" i="55"/>
  <c r="P67" i="55"/>
  <c r="P59" i="56"/>
  <c r="P60" i="56"/>
  <c r="P61" i="56"/>
  <c r="P62" i="56"/>
  <c r="P63" i="56"/>
  <c r="P64" i="56"/>
  <c r="P65" i="56"/>
  <c r="P66" i="56"/>
  <c r="P67" i="56"/>
  <c r="P59" i="57"/>
  <c r="P60" i="57"/>
  <c r="P61" i="57"/>
  <c r="P62" i="57"/>
  <c r="P63" i="57"/>
  <c r="P64" i="57"/>
  <c r="P65" i="57"/>
  <c r="P66" i="57"/>
  <c r="P67" i="57"/>
  <c r="P59" i="58"/>
  <c r="P60" i="58"/>
  <c r="P61" i="58"/>
  <c r="P62" i="58"/>
  <c r="P63" i="58"/>
  <c r="P64" i="58"/>
  <c r="P65" i="58"/>
  <c r="P66" i="58"/>
  <c r="P67" i="58"/>
  <c r="P59" i="59"/>
  <c r="P60" i="59"/>
  <c r="P61" i="59"/>
  <c r="P62" i="59"/>
  <c r="P63" i="59"/>
  <c r="P64" i="59"/>
  <c r="P65" i="59"/>
  <c r="P66" i="59"/>
  <c r="P67" i="59"/>
  <c r="P59" i="60"/>
  <c r="P60" i="60"/>
  <c r="P61" i="60"/>
  <c r="P62" i="60"/>
  <c r="P63" i="60"/>
  <c r="P64" i="60"/>
  <c r="P65" i="60"/>
  <c r="P66" i="60"/>
  <c r="P67" i="60"/>
  <c r="P59" i="61"/>
  <c r="P60" i="61"/>
  <c r="P61" i="61"/>
  <c r="P62" i="61"/>
  <c r="P63" i="61"/>
  <c r="P64" i="61"/>
  <c r="P65" i="61"/>
  <c r="P66" i="61"/>
  <c r="P67" i="61"/>
  <c r="P59" i="62"/>
  <c r="P60" i="62"/>
  <c r="P61" i="62"/>
  <c r="P62" i="62"/>
  <c r="P63" i="62"/>
  <c r="P64" i="62"/>
  <c r="P65" i="62"/>
  <c r="P66" i="62"/>
  <c r="P67" i="62"/>
  <c r="P59" i="63"/>
  <c r="P60" i="63"/>
  <c r="P61" i="63"/>
  <c r="P62" i="63"/>
  <c r="P63" i="63"/>
  <c r="P64" i="63"/>
  <c r="P65" i="63"/>
  <c r="P66" i="63"/>
  <c r="P67" i="63"/>
  <c r="P59" i="64"/>
  <c r="P60" i="64"/>
  <c r="P61" i="64"/>
  <c r="P62" i="64"/>
  <c r="P63" i="64"/>
  <c r="P64" i="64"/>
  <c r="P65" i="64"/>
  <c r="P66" i="64"/>
  <c r="P67" i="64"/>
  <c r="P59" i="65"/>
  <c r="P60" i="65"/>
  <c r="P61" i="65"/>
  <c r="P62" i="65"/>
  <c r="P63" i="65"/>
  <c r="P64" i="65"/>
  <c r="P65" i="65"/>
  <c r="P66" i="65"/>
  <c r="P67" i="65"/>
  <c r="P59" i="66"/>
  <c r="P60" i="66"/>
  <c r="P61" i="66"/>
  <c r="P62" i="66"/>
  <c r="P63" i="66"/>
  <c r="P64" i="66"/>
  <c r="P65" i="66"/>
  <c r="P66" i="66"/>
  <c r="P67" i="66"/>
  <c r="P59" i="67"/>
  <c r="P60" i="67"/>
  <c r="P61" i="67"/>
  <c r="P62" i="67"/>
  <c r="P63" i="67"/>
  <c r="P64" i="67"/>
  <c r="P65" i="67"/>
  <c r="P66" i="67"/>
  <c r="P67" i="67"/>
  <c r="P59" i="68"/>
  <c r="P60" i="68"/>
  <c r="P61" i="68"/>
  <c r="P62" i="68"/>
  <c r="P63" i="68"/>
  <c r="P64" i="68"/>
  <c r="P65" i="68"/>
  <c r="P66" i="68"/>
  <c r="P67" i="68"/>
  <c r="P59" i="32"/>
  <c r="P60" i="32"/>
  <c r="P61" i="32"/>
  <c r="P62" i="32"/>
  <c r="P63" i="32"/>
  <c r="P64" i="32"/>
  <c r="P65" i="32"/>
  <c r="P66" i="32"/>
  <c r="P67" i="32"/>
  <c r="P58" i="33"/>
  <c r="P58" i="34"/>
  <c r="P58" i="35"/>
  <c r="P58" i="36"/>
  <c r="P58" i="37"/>
  <c r="P58" i="38"/>
  <c r="P58" i="39"/>
  <c r="P58" i="40"/>
  <c r="P58" i="41"/>
  <c r="P58" i="42"/>
  <c r="P58" i="43"/>
  <c r="P58" i="44"/>
  <c r="P58" i="45"/>
  <c r="P58" i="46"/>
  <c r="P58" i="47"/>
  <c r="P58" i="48"/>
  <c r="P58" i="49"/>
  <c r="P58" i="50"/>
  <c r="P58" i="51"/>
  <c r="P58" i="52"/>
  <c r="P58" i="53"/>
  <c r="P58" i="54"/>
  <c r="P58" i="55"/>
  <c r="P58" i="56"/>
  <c r="P58" i="57"/>
  <c r="P58" i="58"/>
  <c r="P58" i="59"/>
  <c r="P58" i="60"/>
  <c r="P58" i="61"/>
  <c r="P58" i="62"/>
  <c r="P58" i="63"/>
  <c r="P58" i="64"/>
  <c r="P58" i="65"/>
  <c r="P58" i="66"/>
  <c r="P58" i="67"/>
  <c r="P58" i="68"/>
  <c r="P58" i="32"/>
  <c r="P52" i="33"/>
  <c r="P53" i="33"/>
  <c r="P54" i="33"/>
  <c r="P52" i="34"/>
  <c r="P53" i="34"/>
  <c r="P54" i="34"/>
  <c r="P52" i="35"/>
  <c r="P53" i="35"/>
  <c r="P54" i="35"/>
  <c r="P52" i="36"/>
  <c r="P53" i="36"/>
  <c r="P54" i="36"/>
  <c r="P52" i="37"/>
  <c r="P53" i="37"/>
  <c r="P54" i="37"/>
  <c r="P52" i="38"/>
  <c r="P53" i="38"/>
  <c r="P54" i="38"/>
  <c r="P52" i="39"/>
  <c r="P53" i="39"/>
  <c r="P54" i="39"/>
  <c r="P52" i="40"/>
  <c r="P53" i="40"/>
  <c r="P54" i="40"/>
  <c r="P52" i="41"/>
  <c r="P53" i="41"/>
  <c r="P54" i="41"/>
  <c r="P52" i="42"/>
  <c r="P53" i="42"/>
  <c r="P54" i="42"/>
  <c r="P52" i="43"/>
  <c r="P53" i="43"/>
  <c r="P54" i="43"/>
  <c r="P52" i="44"/>
  <c r="P53" i="44"/>
  <c r="P54" i="44"/>
  <c r="P52" i="45"/>
  <c r="P53" i="45"/>
  <c r="P54" i="45"/>
  <c r="P52" i="46"/>
  <c r="P53" i="46"/>
  <c r="P54" i="46"/>
  <c r="P52" i="47"/>
  <c r="P53" i="47"/>
  <c r="P54" i="47"/>
  <c r="P52" i="48"/>
  <c r="P53" i="48"/>
  <c r="P54" i="48"/>
  <c r="P52" i="49"/>
  <c r="P53" i="49"/>
  <c r="P54" i="49"/>
  <c r="P52" i="50"/>
  <c r="P53" i="50"/>
  <c r="P54" i="50"/>
  <c r="P52" i="51"/>
  <c r="P53" i="51"/>
  <c r="P54" i="51"/>
  <c r="P52" i="52"/>
  <c r="P53" i="52"/>
  <c r="P54" i="52"/>
  <c r="P52" i="53"/>
  <c r="P53" i="53"/>
  <c r="P54" i="53"/>
  <c r="P52" i="54"/>
  <c r="P53" i="54"/>
  <c r="P54" i="54"/>
  <c r="P52" i="55"/>
  <c r="P53" i="55"/>
  <c r="P54" i="55"/>
  <c r="P52" i="56"/>
  <c r="P53" i="56"/>
  <c r="P54" i="56"/>
  <c r="P52" i="57"/>
  <c r="P53" i="57"/>
  <c r="P54" i="57"/>
  <c r="P52" i="58"/>
  <c r="P53" i="58"/>
  <c r="P54" i="58"/>
  <c r="P52" i="59"/>
  <c r="P53" i="59"/>
  <c r="P54" i="59"/>
  <c r="P52" i="60"/>
  <c r="P53" i="60"/>
  <c r="P54" i="60"/>
  <c r="P52" i="61"/>
  <c r="P53" i="61"/>
  <c r="P54" i="61"/>
  <c r="P52" i="62"/>
  <c r="P53" i="62"/>
  <c r="P54" i="62"/>
  <c r="P52" i="63"/>
  <c r="P53" i="63"/>
  <c r="P54" i="63"/>
  <c r="P52" i="64"/>
  <c r="P53" i="64"/>
  <c r="P54" i="64"/>
  <c r="P52" i="65"/>
  <c r="P53" i="65"/>
  <c r="P54" i="65"/>
  <c r="P52" i="66"/>
  <c r="P53" i="66"/>
  <c r="P54" i="66"/>
  <c r="P52" i="67"/>
  <c r="P53" i="67"/>
  <c r="P54" i="67"/>
  <c r="P52" i="68"/>
  <c r="P53" i="68"/>
  <c r="P54" i="68"/>
  <c r="P52" i="32"/>
  <c r="P53" i="32"/>
  <c r="P54" i="32"/>
  <c r="P51" i="33"/>
  <c r="P51" i="34"/>
  <c r="P51" i="35"/>
  <c r="P51" i="36"/>
  <c r="P51" i="37"/>
  <c r="P51" i="38"/>
  <c r="P51" i="39"/>
  <c r="P51" i="40"/>
  <c r="P51" i="41"/>
  <c r="P51" i="42"/>
  <c r="P51" i="43"/>
  <c r="P51" i="44"/>
  <c r="P51" i="45"/>
  <c r="P51" i="46"/>
  <c r="P51" i="47"/>
  <c r="P51" i="48"/>
  <c r="P51" i="49"/>
  <c r="P51" i="50"/>
  <c r="P51" i="51"/>
  <c r="P51" i="52"/>
  <c r="P51" i="53"/>
  <c r="P51" i="54"/>
  <c r="P51" i="55"/>
  <c r="P51" i="56"/>
  <c r="P51" i="57"/>
  <c r="P51" i="58"/>
  <c r="P51" i="59"/>
  <c r="P51" i="60"/>
  <c r="P51" i="61"/>
  <c r="P51" i="62"/>
  <c r="P51" i="63"/>
  <c r="P51" i="64"/>
  <c r="P51" i="65"/>
  <c r="P51" i="66"/>
  <c r="P51" i="67"/>
  <c r="P51" i="68"/>
  <c r="P51" i="32"/>
  <c r="P46" i="33"/>
  <c r="P47" i="33"/>
  <c r="P48" i="33"/>
  <c r="P46" i="34"/>
  <c r="P47" i="34"/>
  <c r="P48" i="34"/>
  <c r="P46" i="35"/>
  <c r="P47" i="35"/>
  <c r="P48" i="35"/>
  <c r="P46" i="36"/>
  <c r="P47" i="36"/>
  <c r="P48" i="36"/>
  <c r="P46" i="37"/>
  <c r="P47" i="37"/>
  <c r="P48" i="37"/>
  <c r="P46" i="38"/>
  <c r="P47" i="38"/>
  <c r="P48" i="38"/>
  <c r="P46" i="39"/>
  <c r="P47" i="39"/>
  <c r="P48" i="39"/>
  <c r="P46" i="40"/>
  <c r="P47" i="40"/>
  <c r="P48" i="40"/>
  <c r="P46" i="41"/>
  <c r="P47" i="41"/>
  <c r="P48" i="41"/>
  <c r="P46" i="42"/>
  <c r="P47" i="42"/>
  <c r="P48" i="42"/>
  <c r="P46" i="43"/>
  <c r="P47" i="43"/>
  <c r="P48" i="43"/>
  <c r="P46" i="44"/>
  <c r="P47" i="44"/>
  <c r="P48" i="44"/>
  <c r="P46" i="45"/>
  <c r="P47" i="45"/>
  <c r="P48" i="45"/>
  <c r="P46" i="46"/>
  <c r="P47" i="46"/>
  <c r="P48" i="46"/>
  <c r="P46" i="47"/>
  <c r="P47" i="47"/>
  <c r="P48" i="47"/>
  <c r="P46" i="48"/>
  <c r="P47" i="48"/>
  <c r="P48" i="48"/>
  <c r="P46" i="49"/>
  <c r="P47" i="49"/>
  <c r="P48" i="49"/>
  <c r="P46" i="50"/>
  <c r="P47" i="50"/>
  <c r="P48" i="50"/>
  <c r="P46" i="51"/>
  <c r="P47" i="51"/>
  <c r="P48" i="51"/>
  <c r="P46" i="52"/>
  <c r="P47" i="52"/>
  <c r="P48" i="52"/>
  <c r="P46" i="53"/>
  <c r="P47" i="53"/>
  <c r="P48" i="53"/>
  <c r="P46" i="54"/>
  <c r="P47" i="54"/>
  <c r="P48" i="54"/>
  <c r="P46" i="55"/>
  <c r="P47" i="55"/>
  <c r="P48" i="55"/>
  <c r="P46" i="56"/>
  <c r="P47" i="56"/>
  <c r="P48" i="56"/>
  <c r="P46" i="57"/>
  <c r="P47" i="57"/>
  <c r="P48" i="57"/>
  <c r="P46" i="58"/>
  <c r="P47" i="58"/>
  <c r="P48" i="58"/>
  <c r="P46" i="59"/>
  <c r="P47" i="59"/>
  <c r="P48" i="59"/>
  <c r="P46" i="60"/>
  <c r="P47" i="60"/>
  <c r="P48" i="60"/>
  <c r="P46" i="61"/>
  <c r="P47" i="61"/>
  <c r="P48" i="61"/>
  <c r="P46" i="62"/>
  <c r="P47" i="62"/>
  <c r="P48" i="62"/>
  <c r="P46" i="63"/>
  <c r="P47" i="63"/>
  <c r="P48" i="63"/>
  <c r="P46" i="64"/>
  <c r="P47" i="64"/>
  <c r="P48" i="64"/>
  <c r="P46" i="65"/>
  <c r="P47" i="65"/>
  <c r="P48" i="65"/>
  <c r="P46" i="66"/>
  <c r="P47" i="66"/>
  <c r="P48" i="66"/>
  <c r="P46" i="67"/>
  <c r="P47" i="67"/>
  <c r="P48" i="67"/>
  <c r="P46" i="68"/>
  <c r="P47" i="68"/>
  <c r="P48" i="68"/>
  <c r="P46" i="32"/>
  <c r="P47" i="32"/>
  <c r="P48" i="32"/>
  <c r="P45" i="33"/>
  <c r="P45" i="34"/>
  <c r="P45" i="35"/>
  <c r="P45" i="36"/>
  <c r="P45" i="37"/>
  <c r="P45" i="38"/>
  <c r="P45" i="39"/>
  <c r="P45" i="40"/>
  <c r="P45" i="41"/>
  <c r="P45" i="42"/>
  <c r="P45" i="43"/>
  <c r="P45" i="44"/>
  <c r="P45" i="45"/>
  <c r="P45" i="46"/>
  <c r="P45" i="47"/>
  <c r="P45" i="48"/>
  <c r="P45" i="49"/>
  <c r="P45" i="50"/>
  <c r="P45" i="51"/>
  <c r="P45" i="52"/>
  <c r="P45" i="53"/>
  <c r="P45" i="54"/>
  <c r="P45" i="55"/>
  <c r="P45" i="56"/>
  <c r="P45" i="57"/>
  <c r="P45" i="58"/>
  <c r="P45" i="59"/>
  <c r="P45" i="60"/>
  <c r="P45" i="61"/>
  <c r="P45" i="62"/>
  <c r="P45" i="63"/>
  <c r="P45" i="64"/>
  <c r="P45" i="65"/>
  <c r="P45" i="66"/>
  <c r="P45" i="67"/>
  <c r="P45" i="68"/>
  <c r="P45" i="32"/>
  <c r="P39" i="33"/>
  <c r="P40" i="33"/>
  <c r="P41" i="33"/>
  <c r="P39" i="34"/>
  <c r="P40" i="34"/>
  <c r="P41" i="34"/>
  <c r="P39" i="35"/>
  <c r="P40" i="35"/>
  <c r="P41" i="35"/>
  <c r="P39" i="36"/>
  <c r="P40" i="36"/>
  <c r="P41" i="36"/>
  <c r="P39" i="37"/>
  <c r="P40" i="37"/>
  <c r="P41" i="37"/>
  <c r="P39" i="38"/>
  <c r="P40" i="38"/>
  <c r="P41" i="38"/>
  <c r="P39" i="39"/>
  <c r="P40" i="39"/>
  <c r="P41" i="39"/>
  <c r="P39" i="40"/>
  <c r="P40" i="40"/>
  <c r="P41" i="40"/>
  <c r="P39" i="41"/>
  <c r="P40" i="41"/>
  <c r="P41" i="41"/>
  <c r="P39" i="42"/>
  <c r="P40" i="42"/>
  <c r="P41" i="42"/>
  <c r="P39" i="43"/>
  <c r="P40" i="43"/>
  <c r="P41" i="43"/>
  <c r="P39" i="44"/>
  <c r="P40" i="44"/>
  <c r="P41" i="44"/>
  <c r="P39" i="45"/>
  <c r="P40" i="45"/>
  <c r="P41" i="45"/>
  <c r="P39" i="46"/>
  <c r="P40" i="46"/>
  <c r="P41" i="46"/>
  <c r="P39" i="47"/>
  <c r="P40" i="47"/>
  <c r="P41" i="47"/>
  <c r="P39" i="48"/>
  <c r="P40" i="48"/>
  <c r="P41" i="48"/>
  <c r="P39" i="49"/>
  <c r="P40" i="49"/>
  <c r="P41" i="49"/>
  <c r="P39" i="50"/>
  <c r="P40" i="50"/>
  <c r="P41" i="50"/>
  <c r="P39" i="51"/>
  <c r="P40" i="51"/>
  <c r="P41" i="51"/>
  <c r="P39" i="52"/>
  <c r="P40" i="52"/>
  <c r="P41" i="52"/>
  <c r="P39" i="53"/>
  <c r="P40" i="53"/>
  <c r="P41" i="53"/>
  <c r="P39" i="54"/>
  <c r="P40" i="54"/>
  <c r="P41" i="54"/>
  <c r="P39" i="55"/>
  <c r="P40" i="55"/>
  <c r="P41" i="55"/>
  <c r="P39" i="56"/>
  <c r="P40" i="56"/>
  <c r="P41" i="56"/>
  <c r="P39" i="57"/>
  <c r="P40" i="57"/>
  <c r="P41" i="57"/>
  <c r="P39" i="58"/>
  <c r="P40" i="58"/>
  <c r="P41" i="58"/>
  <c r="P39" i="59"/>
  <c r="P40" i="59"/>
  <c r="P41" i="59"/>
  <c r="P39" i="60"/>
  <c r="P40" i="60"/>
  <c r="P41" i="60"/>
  <c r="P39" i="61"/>
  <c r="P40" i="61"/>
  <c r="P41" i="61"/>
  <c r="P39" i="62"/>
  <c r="P40" i="62"/>
  <c r="P41" i="62"/>
  <c r="P39" i="63"/>
  <c r="P40" i="63"/>
  <c r="P41" i="63"/>
  <c r="P39" i="64"/>
  <c r="P40" i="64"/>
  <c r="P41" i="64"/>
  <c r="P39" i="65"/>
  <c r="P40" i="65"/>
  <c r="P41" i="65"/>
  <c r="P39" i="66"/>
  <c r="P40" i="66"/>
  <c r="P41" i="66"/>
  <c r="P39" i="67"/>
  <c r="P40" i="67"/>
  <c r="P41" i="67"/>
  <c r="P39" i="68"/>
  <c r="P40" i="68"/>
  <c r="P41" i="68"/>
  <c r="P39" i="32"/>
  <c r="P40" i="32"/>
  <c r="P41" i="32"/>
  <c r="P38" i="33"/>
  <c r="P38" i="34"/>
  <c r="P38" i="35"/>
  <c r="P38" i="36"/>
  <c r="P38" i="37"/>
  <c r="P38" i="38"/>
  <c r="P38" i="39"/>
  <c r="P38" i="40"/>
  <c r="P38" i="41"/>
  <c r="P38" i="42"/>
  <c r="P38" i="43"/>
  <c r="P38" i="44"/>
  <c r="P38" i="45"/>
  <c r="P38" i="46"/>
  <c r="P38" i="47"/>
  <c r="P38" i="48"/>
  <c r="P38" i="49"/>
  <c r="P38" i="50"/>
  <c r="P38" i="51"/>
  <c r="P38" i="52"/>
  <c r="P38" i="53"/>
  <c r="P38" i="54"/>
  <c r="P38" i="55"/>
  <c r="P38" i="56"/>
  <c r="P38" i="57"/>
  <c r="P38" i="58"/>
  <c r="P38" i="59"/>
  <c r="P38" i="60"/>
  <c r="P38" i="61"/>
  <c r="P38" i="62"/>
  <c r="P38" i="63"/>
  <c r="P38" i="64"/>
  <c r="P38" i="65"/>
  <c r="P38" i="66"/>
  <c r="P38" i="67"/>
  <c r="P38" i="68"/>
  <c r="P38" i="32"/>
  <c r="P33" i="33"/>
  <c r="P34" i="33"/>
  <c r="P35" i="33"/>
  <c r="P33" i="34"/>
  <c r="P34" i="34"/>
  <c r="P35" i="34"/>
  <c r="P33" i="35"/>
  <c r="P34" i="35"/>
  <c r="P35" i="35"/>
  <c r="P33" i="36"/>
  <c r="P34" i="36"/>
  <c r="P35" i="36"/>
  <c r="P33" i="37"/>
  <c r="P34" i="37"/>
  <c r="P35" i="37"/>
  <c r="P33" i="38"/>
  <c r="P34" i="38"/>
  <c r="P35" i="38"/>
  <c r="P33" i="39"/>
  <c r="P34" i="39"/>
  <c r="P35" i="39"/>
  <c r="P33" i="40"/>
  <c r="P34" i="40"/>
  <c r="P35" i="40"/>
  <c r="P33" i="41"/>
  <c r="P34" i="41"/>
  <c r="P35" i="41"/>
  <c r="P33" i="42"/>
  <c r="P34" i="42"/>
  <c r="P35" i="42"/>
  <c r="P33" i="43"/>
  <c r="P34" i="43"/>
  <c r="P35" i="43"/>
  <c r="P33" i="44"/>
  <c r="P34" i="44"/>
  <c r="P35" i="44"/>
  <c r="P33" i="45"/>
  <c r="P34" i="45"/>
  <c r="P35" i="45"/>
  <c r="P33" i="46"/>
  <c r="P34" i="46"/>
  <c r="P35" i="46"/>
  <c r="P33" i="47"/>
  <c r="P34" i="47"/>
  <c r="P35" i="47"/>
  <c r="P33" i="48"/>
  <c r="P34" i="48"/>
  <c r="P35" i="48"/>
  <c r="P33" i="49"/>
  <c r="P34" i="49"/>
  <c r="P35" i="49"/>
  <c r="P33" i="50"/>
  <c r="P34" i="50"/>
  <c r="P35" i="50"/>
  <c r="P33" i="51"/>
  <c r="P34" i="51"/>
  <c r="P35" i="51"/>
  <c r="P33" i="52"/>
  <c r="P34" i="52"/>
  <c r="P35" i="52"/>
  <c r="P33" i="53"/>
  <c r="P34" i="53"/>
  <c r="P35" i="53"/>
  <c r="P33" i="54"/>
  <c r="P34" i="54"/>
  <c r="P35" i="54"/>
  <c r="P33" i="55"/>
  <c r="P34" i="55"/>
  <c r="P35" i="55"/>
  <c r="P33" i="56"/>
  <c r="P34" i="56"/>
  <c r="P35" i="56"/>
  <c r="P33" i="57"/>
  <c r="P34" i="57"/>
  <c r="P35" i="57"/>
  <c r="P33" i="58"/>
  <c r="P34" i="58"/>
  <c r="P35" i="58"/>
  <c r="P33" i="59"/>
  <c r="P34" i="59"/>
  <c r="P35" i="59"/>
  <c r="P33" i="60"/>
  <c r="P34" i="60"/>
  <c r="P35" i="60"/>
  <c r="P33" i="61"/>
  <c r="P34" i="61"/>
  <c r="P35" i="61"/>
  <c r="P33" i="62"/>
  <c r="P34" i="62"/>
  <c r="P35" i="62"/>
  <c r="P33" i="63"/>
  <c r="P34" i="63"/>
  <c r="P35" i="63"/>
  <c r="P33" i="64"/>
  <c r="P34" i="64"/>
  <c r="P35" i="64"/>
  <c r="P33" i="65"/>
  <c r="P34" i="65"/>
  <c r="P35" i="65"/>
  <c r="P33" i="66"/>
  <c r="P34" i="66"/>
  <c r="P35" i="66"/>
  <c r="P33" i="67"/>
  <c r="P34" i="67"/>
  <c r="P35" i="67"/>
  <c r="P33" i="68"/>
  <c r="P34" i="68"/>
  <c r="P35" i="68"/>
  <c r="P33" i="32"/>
  <c r="P34" i="32"/>
  <c r="P35" i="32"/>
  <c r="P32" i="33"/>
  <c r="P32" i="34"/>
  <c r="P32" i="35"/>
  <c r="P32" i="36"/>
  <c r="P32" i="37"/>
  <c r="P32" i="38"/>
  <c r="P32" i="39"/>
  <c r="P32" i="40"/>
  <c r="P32" i="41"/>
  <c r="P32" i="42"/>
  <c r="P32" i="43"/>
  <c r="P32" i="44"/>
  <c r="P32" i="45"/>
  <c r="P32" i="46"/>
  <c r="P32" i="47"/>
  <c r="P32" i="48"/>
  <c r="P32" i="49"/>
  <c r="P32" i="50"/>
  <c r="P32" i="51"/>
  <c r="P32" i="52"/>
  <c r="P32" i="53"/>
  <c r="P32" i="54"/>
  <c r="P32" i="55"/>
  <c r="P32" i="56"/>
  <c r="P32" i="57"/>
  <c r="P32" i="58"/>
  <c r="P32" i="59"/>
  <c r="P32" i="60"/>
  <c r="P32" i="61"/>
  <c r="P32" i="62"/>
  <c r="P32" i="63"/>
  <c r="P32" i="64"/>
  <c r="P32" i="65"/>
  <c r="P32" i="66"/>
  <c r="P32" i="67"/>
  <c r="P32" i="68"/>
  <c r="P32" i="32"/>
  <c r="P26" i="33"/>
  <c r="P27" i="33"/>
  <c r="P28" i="33"/>
  <c r="P26" i="34"/>
  <c r="P27" i="34"/>
  <c r="P28" i="34"/>
  <c r="P26" i="35"/>
  <c r="P27" i="35"/>
  <c r="P28" i="35"/>
  <c r="P26" i="36"/>
  <c r="P27" i="36"/>
  <c r="P28" i="36"/>
  <c r="P26" i="37"/>
  <c r="P27" i="37"/>
  <c r="P28" i="37"/>
  <c r="P26" i="38"/>
  <c r="P27" i="38"/>
  <c r="P28" i="38"/>
  <c r="P26" i="39"/>
  <c r="P27" i="39"/>
  <c r="P28" i="39"/>
  <c r="P26" i="40"/>
  <c r="P27" i="40"/>
  <c r="P28" i="40"/>
  <c r="P26" i="41"/>
  <c r="P27" i="41"/>
  <c r="P28" i="41"/>
  <c r="P26" i="42"/>
  <c r="P27" i="42"/>
  <c r="P28" i="42"/>
  <c r="P26" i="43"/>
  <c r="P27" i="43"/>
  <c r="P28" i="43"/>
  <c r="P26" i="44"/>
  <c r="P27" i="44"/>
  <c r="P28" i="44"/>
  <c r="P26" i="45"/>
  <c r="P27" i="45"/>
  <c r="P28" i="45"/>
  <c r="P26" i="46"/>
  <c r="P27" i="46"/>
  <c r="P28" i="46"/>
  <c r="P26" i="47"/>
  <c r="P27" i="47"/>
  <c r="P28" i="47"/>
  <c r="P26" i="48"/>
  <c r="P27" i="48"/>
  <c r="P28" i="48"/>
  <c r="P26" i="49"/>
  <c r="P27" i="49"/>
  <c r="P28" i="49"/>
  <c r="P26" i="50"/>
  <c r="P27" i="50"/>
  <c r="P28" i="50"/>
  <c r="P26" i="51"/>
  <c r="P27" i="51"/>
  <c r="P28" i="51"/>
  <c r="P26" i="52"/>
  <c r="P27" i="52"/>
  <c r="P28" i="52"/>
  <c r="P26" i="53"/>
  <c r="P27" i="53"/>
  <c r="P28" i="53"/>
  <c r="P26" i="54"/>
  <c r="P27" i="54"/>
  <c r="P28" i="54"/>
  <c r="P26" i="55"/>
  <c r="P27" i="55"/>
  <c r="P28" i="55"/>
  <c r="P26" i="56"/>
  <c r="P27" i="56"/>
  <c r="P28" i="56"/>
  <c r="P26" i="57"/>
  <c r="P27" i="57"/>
  <c r="P28" i="57"/>
  <c r="P26" i="58"/>
  <c r="P27" i="58"/>
  <c r="P28" i="58"/>
  <c r="P26" i="59"/>
  <c r="P27" i="59"/>
  <c r="P28" i="59"/>
  <c r="P26" i="60"/>
  <c r="P27" i="60"/>
  <c r="P28" i="60"/>
  <c r="P26" i="61"/>
  <c r="P27" i="61"/>
  <c r="P28" i="61"/>
  <c r="P26" i="62"/>
  <c r="P27" i="62"/>
  <c r="P28" i="62"/>
  <c r="P26" i="63"/>
  <c r="P27" i="63"/>
  <c r="P28" i="63"/>
  <c r="P26" i="64"/>
  <c r="P27" i="64"/>
  <c r="P28" i="64"/>
  <c r="P26" i="65"/>
  <c r="P27" i="65"/>
  <c r="P28" i="65"/>
  <c r="P26" i="66"/>
  <c r="P27" i="66"/>
  <c r="P28" i="66"/>
  <c r="P26" i="67"/>
  <c r="P27" i="67"/>
  <c r="P28" i="67"/>
  <c r="P26" i="68"/>
  <c r="P27" i="68"/>
  <c r="P28" i="68"/>
  <c r="P26" i="32"/>
  <c r="P27" i="32"/>
  <c r="P28" i="32"/>
  <c r="P25" i="33"/>
  <c r="P25" i="34"/>
  <c r="P25" i="35"/>
  <c r="P25" i="36"/>
  <c r="P25" i="37"/>
  <c r="P25" i="38"/>
  <c r="P25" i="39"/>
  <c r="P25" i="40"/>
  <c r="P25" i="41"/>
  <c r="P25" i="42"/>
  <c r="P25" i="43"/>
  <c r="P25" i="44"/>
  <c r="P25" i="45"/>
  <c r="P25" i="46"/>
  <c r="P25" i="47"/>
  <c r="P25" i="48"/>
  <c r="P25" i="49"/>
  <c r="P25" i="50"/>
  <c r="P25" i="51"/>
  <c r="P25" i="52"/>
  <c r="P25" i="53"/>
  <c r="P25" i="54"/>
  <c r="P25" i="55"/>
  <c r="P25" i="56"/>
  <c r="P25" i="57"/>
  <c r="P25" i="58"/>
  <c r="P25" i="59"/>
  <c r="P25" i="60"/>
  <c r="P25" i="61"/>
  <c r="P25" i="62"/>
  <c r="P25" i="63"/>
  <c r="P25" i="64"/>
  <c r="P25" i="65"/>
  <c r="P25" i="66"/>
  <c r="P25" i="67"/>
  <c r="P25" i="68"/>
  <c r="P25" i="32"/>
  <c r="P20" i="33"/>
  <c r="P21" i="33"/>
  <c r="P22" i="33"/>
  <c r="P20" i="34"/>
  <c r="P21" i="34"/>
  <c r="P22" i="34"/>
  <c r="P20" i="35"/>
  <c r="P21" i="35"/>
  <c r="P22" i="35"/>
  <c r="P20" i="36"/>
  <c r="P21" i="36"/>
  <c r="P22" i="36"/>
  <c r="P20" i="37"/>
  <c r="P21" i="37"/>
  <c r="P22" i="37"/>
  <c r="P20" i="38"/>
  <c r="P21" i="38"/>
  <c r="P22" i="38"/>
  <c r="P20" i="39"/>
  <c r="P21" i="39"/>
  <c r="P22" i="39"/>
  <c r="P20" i="40"/>
  <c r="P21" i="40"/>
  <c r="P22" i="40"/>
  <c r="P20" i="41"/>
  <c r="P21" i="41"/>
  <c r="P22" i="41"/>
  <c r="P20" i="42"/>
  <c r="P21" i="42"/>
  <c r="P22" i="42"/>
  <c r="P20" i="43"/>
  <c r="P21" i="43"/>
  <c r="P22" i="43"/>
  <c r="P20" i="44"/>
  <c r="P21" i="44"/>
  <c r="P22" i="44"/>
  <c r="P20" i="45"/>
  <c r="P21" i="45"/>
  <c r="P22" i="45"/>
  <c r="P20" i="46"/>
  <c r="P21" i="46"/>
  <c r="P22" i="46"/>
  <c r="P20" i="47"/>
  <c r="P21" i="47"/>
  <c r="P22" i="47"/>
  <c r="P20" i="48"/>
  <c r="P21" i="48"/>
  <c r="P22" i="48"/>
  <c r="P20" i="49"/>
  <c r="P21" i="49"/>
  <c r="P22" i="49"/>
  <c r="P20" i="50"/>
  <c r="P21" i="50"/>
  <c r="P22" i="50"/>
  <c r="P20" i="51"/>
  <c r="P21" i="51"/>
  <c r="P22" i="51"/>
  <c r="P20" i="52"/>
  <c r="P21" i="52"/>
  <c r="P22" i="52"/>
  <c r="P20" i="53"/>
  <c r="P21" i="53"/>
  <c r="P22" i="53"/>
  <c r="P20" i="54"/>
  <c r="P21" i="54"/>
  <c r="P22" i="54"/>
  <c r="P20" i="55"/>
  <c r="P21" i="55"/>
  <c r="P22" i="55"/>
  <c r="P20" i="56"/>
  <c r="P21" i="56"/>
  <c r="P22" i="56"/>
  <c r="P20" i="57"/>
  <c r="P21" i="57"/>
  <c r="P22" i="57"/>
  <c r="P20" i="58"/>
  <c r="P21" i="58"/>
  <c r="P22" i="58"/>
  <c r="P20" i="59"/>
  <c r="P21" i="59"/>
  <c r="P22" i="59"/>
  <c r="P20" i="60"/>
  <c r="P21" i="60"/>
  <c r="P22" i="60"/>
  <c r="P20" i="61"/>
  <c r="P21" i="61"/>
  <c r="P22" i="61"/>
  <c r="P20" i="62"/>
  <c r="P21" i="62"/>
  <c r="P22" i="62"/>
  <c r="P20" i="63"/>
  <c r="P21" i="63"/>
  <c r="P22" i="63"/>
  <c r="P20" i="64"/>
  <c r="P21" i="64"/>
  <c r="P22" i="64"/>
  <c r="P20" i="65"/>
  <c r="P21" i="65"/>
  <c r="P22" i="65"/>
  <c r="P20" i="66"/>
  <c r="P21" i="66"/>
  <c r="P22" i="66"/>
  <c r="P20" i="67"/>
  <c r="P21" i="67"/>
  <c r="P22" i="67"/>
  <c r="P20" i="68"/>
  <c r="P21" i="68"/>
  <c r="P22" i="68"/>
  <c r="P20" i="32"/>
  <c r="P21" i="32"/>
  <c r="P22" i="32"/>
  <c r="P19" i="33"/>
  <c r="P19" i="34"/>
  <c r="P19" i="35"/>
  <c r="P19" i="36"/>
  <c r="P19" i="37"/>
  <c r="P19" i="38"/>
  <c r="P19" i="39"/>
  <c r="P19" i="40"/>
  <c r="P19" i="41"/>
  <c r="P19" i="42"/>
  <c r="P19" i="43"/>
  <c r="P19" i="44"/>
  <c r="P19" i="45"/>
  <c r="P19" i="46"/>
  <c r="P19" i="47"/>
  <c r="P19" i="48"/>
  <c r="P19" i="49"/>
  <c r="P19" i="50"/>
  <c r="P19" i="51"/>
  <c r="P19" i="52"/>
  <c r="P19" i="53"/>
  <c r="P19" i="54"/>
  <c r="P19" i="55"/>
  <c r="P19" i="56"/>
  <c r="P19" i="57"/>
  <c r="P19" i="58"/>
  <c r="P19" i="59"/>
  <c r="P19" i="60"/>
  <c r="P19" i="61"/>
  <c r="P19" i="62"/>
  <c r="P19" i="63"/>
  <c r="P19" i="64"/>
  <c r="P19" i="65"/>
  <c r="P19" i="66"/>
  <c r="P19" i="67"/>
  <c r="P19" i="68"/>
  <c r="P19" i="32"/>
  <c r="P14" i="33"/>
  <c r="P15" i="33"/>
  <c r="P14" i="34"/>
  <c r="P15" i="34"/>
  <c r="P14" i="35"/>
  <c r="P15" i="35"/>
  <c r="P14" i="36"/>
  <c r="P15" i="36"/>
  <c r="P14" i="37"/>
  <c r="P15" i="37"/>
  <c r="P14" i="38"/>
  <c r="P15" i="38"/>
  <c r="P14" i="39"/>
  <c r="P15" i="39"/>
  <c r="P14" i="40"/>
  <c r="P15" i="40"/>
  <c r="P14" i="41"/>
  <c r="P15" i="41"/>
  <c r="P14" i="42"/>
  <c r="P15" i="42"/>
  <c r="P14" i="43"/>
  <c r="P15" i="43"/>
  <c r="P14" i="44"/>
  <c r="P15" i="44"/>
  <c r="P14" i="45"/>
  <c r="P15" i="45"/>
  <c r="P14" i="46"/>
  <c r="P15" i="46"/>
  <c r="P14" i="47"/>
  <c r="P15" i="47"/>
  <c r="P14" i="48"/>
  <c r="P15" i="48"/>
  <c r="P14" i="49"/>
  <c r="P15" i="49"/>
  <c r="P14" i="50"/>
  <c r="P15" i="50"/>
  <c r="P14" i="51"/>
  <c r="P15" i="51"/>
  <c r="P14" i="52"/>
  <c r="P15" i="52"/>
  <c r="P14" i="53"/>
  <c r="P15" i="53"/>
  <c r="P14" i="54"/>
  <c r="P15" i="54"/>
  <c r="P14" i="55"/>
  <c r="P15" i="55"/>
  <c r="P14" i="56"/>
  <c r="P15" i="56"/>
  <c r="P14" i="57"/>
  <c r="P15" i="57"/>
  <c r="P14" i="58"/>
  <c r="P15" i="58"/>
  <c r="P14" i="59"/>
  <c r="P15" i="59"/>
  <c r="P14" i="60"/>
  <c r="P15" i="60"/>
  <c r="P14" i="61"/>
  <c r="P15" i="61"/>
  <c r="P14" i="62"/>
  <c r="P15" i="62"/>
  <c r="P14" i="63"/>
  <c r="P15" i="63"/>
  <c r="P14" i="64"/>
  <c r="P15" i="64"/>
  <c r="P14" i="65"/>
  <c r="P15" i="65"/>
  <c r="P14" i="66"/>
  <c r="P15" i="66"/>
  <c r="P14" i="67"/>
  <c r="P15" i="67"/>
  <c r="P14" i="68"/>
  <c r="P15" i="68"/>
  <c r="P14" i="32"/>
  <c r="P15" i="32"/>
  <c r="P13" i="33"/>
  <c r="P13" i="34"/>
  <c r="P13" i="35"/>
  <c r="P13" i="36"/>
  <c r="P13" i="37"/>
  <c r="P13" i="38"/>
  <c r="P13" i="39"/>
  <c r="P13" i="40"/>
  <c r="P13" i="41"/>
  <c r="P13" i="42"/>
  <c r="P13" i="43"/>
  <c r="P13" i="44"/>
  <c r="P13" i="45"/>
  <c r="P13" i="46"/>
  <c r="P13" i="47"/>
  <c r="P13" i="48"/>
  <c r="P13" i="49"/>
  <c r="P13" i="50"/>
  <c r="P13" i="51"/>
  <c r="P13" i="52"/>
  <c r="P13" i="53"/>
  <c r="P13" i="54"/>
  <c r="P13" i="55"/>
  <c r="P13" i="56"/>
  <c r="P13" i="57"/>
  <c r="P13" i="58"/>
  <c r="P13" i="59"/>
  <c r="P13" i="60"/>
  <c r="P13" i="61"/>
  <c r="P13" i="62"/>
  <c r="P13" i="63"/>
  <c r="P13" i="64"/>
  <c r="P13" i="65"/>
  <c r="P13" i="66"/>
  <c r="P13" i="67"/>
  <c r="P13" i="68"/>
  <c r="P13" i="32"/>
  <c r="P9" i="33"/>
  <c r="P10" i="33"/>
  <c r="P9" i="34"/>
  <c r="P10" i="34"/>
  <c r="P9" i="35"/>
  <c r="P10" i="35"/>
  <c r="P9" i="36"/>
  <c r="P10" i="36"/>
  <c r="P9" i="37"/>
  <c r="P10" i="37"/>
  <c r="P9" i="38"/>
  <c r="P10" i="38"/>
  <c r="P9" i="39"/>
  <c r="P10" i="39"/>
  <c r="P9" i="40"/>
  <c r="P10" i="40"/>
  <c r="P9" i="41"/>
  <c r="P10" i="41"/>
  <c r="P9" i="42"/>
  <c r="P10" i="42"/>
  <c r="P9" i="43"/>
  <c r="P10" i="43"/>
  <c r="P9" i="44"/>
  <c r="P10" i="44"/>
  <c r="P9" i="45"/>
  <c r="P10" i="45"/>
  <c r="P9" i="46"/>
  <c r="P10" i="46"/>
  <c r="P9" i="47"/>
  <c r="P10" i="47"/>
  <c r="P9" i="48"/>
  <c r="P10" i="48"/>
  <c r="P9" i="49"/>
  <c r="P10" i="49"/>
  <c r="P9" i="50"/>
  <c r="P10" i="50"/>
  <c r="P9" i="51"/>
  <c r="P10" i="51"/>
  <c r="P9" i="52"/>
  <c r="P10" i="52"/>
  <c r="P9" i="53"/>
  <c r="P10" i="53"/>
  <c r="P9" i="54"/>
  <c r="P10" i="54"/>
  <c r="P9" i="55"/>
  <c r="P10" i="55"/>
  <c r="P9" i="56"/>
  <c r="P10" i="56"/>
  <c r="P9" i="57"/>
  <c r="P10" i="57"/>
  <c r="P9" i="58"/>
  <c r="P10" i="58"/>
  <c r="P9" i="59"/>
  <c r="P10" i="59"/>
  <c r="P9" i="60"/>
  <c r="P10" i="60"/>
  <c r="P9" i="61"/>
  <c r="P10" i="61"/>
  <c r="P9" i="62"/>
  <c r="P10" i="62"/>
  <c r="P9" i="63"/>
  <c r="P10" i="63"/>
  <c r="P9" i="64"/>
  <c r="P10" i="64"/>
  <c r="P9" i="65"/>
  <c r="P10" i="65"/>
  <c r="P9" i="66"/>
  <c r="P10" i="66"/>
  <c r="P9" i="67"/>
  <c r="P10" i="67"/>
  <c r="P9" i="68"/>
  <c r="P10" i="68"/>
  <c r="P9" i="32"/>
  <c r="P10" i="32"/>
  <c r="P8" i="33"/>
  <c r="P8" i="34"/>
  <c r="P8" i="35"/>
  <c r="P8" i="36"/>
  <c r="P8" i="37"/>
  <c r="P8" i="38"/>
  <c r="P8" i="39"/>
  <c r="P8" i="40"/>
  <c r="P8" i="41"/>
  <c r="P8" i="42"/>
  <c r="P8" i="43"/>
  <c r="P8" i="44"/>
  <c r="P8" i="45"/>
  <c r="P8" i="46"/>
  <c r="P8" i="47"/>
  <c r="P8" i="48"/>
  <c r="P8" i="49"/>
  <c r="P8" i="50"/>
  <c r="P8" i="51"/>
  <c r="P8" i="52"/>
  <c r="P8" i="53"/>
  <c r="P8" i="54"/>
  <c r="P8" i="55"/>
  <c r="P8" i="56"/>
  <c r="P8" i="57"/>
  <c r="P8" i="58"/>
  <c r="P8" i="59"/>
  <c r="P8" i="60"/>
  <c r="P8" i="61"/>
  <c r="P8" i="62"/>
  <c r="P8" i="63"/>
  <c r="P8" i="64"/>
  <c r="P8" i="65"/>
  <c r="P8" i="66"/>
  <c r="P8" i="67"/>
  <c r="P8" i="68"/>
  <c r="P8" i="32"/>
  <c r="P71" i="18"/>
  <c r="P72" i="18"/>
  <c r="P73" i="18"/>
  <c r="P74" i="18"/>
  <c r="P75" i="18"/>
  <c r="P76" i="18"/>
  <c r="P77" i="18"/>
  <c r="P78" i="18"/>
  <c r="P79" i="18"/>
  <c r="P71" i="19"/>
  <c r="P72" i="19"/>
  <c r="P73" i="19"/>
  <c r="P74" i="19"/>
  <c r="P75" i="19"/>
  <c r="P76" i="19"/>
  <c r="P77" i="19"/>
  <c r="P78" i="19"/>
  <c r="P79" i="19"/>
  <c r="P71" i="20"/>
  <c r="P72" i="20"/>
  <c r="P73" i="20"/>
  <c r="P74" i="20"/>
  <c r="P75" i="20"/>
  <c r="P76" i="20"/>
  <c r="P77" i="20"/>
  <c r="P78" i="20"/>
  <c r="P79" i="20"/>
  <c r="P71" i="21"/>
  <c r="P72" i="21"/>
  <c r="P73" i="21"/>
  <c r="P74" i="21"/>
  <c r="P75" i="21"/>
  <c r="P76" i="21"/>
  <c r="P77" i="21"/>
  <c r="P78" i="21"/>
  <c r="P79" i="21"/>
  <c r="P71" i="22"/>
  <c r="P72" i="22"/>
  <c r="P73" i="22"/>
  <c r="P74" i="22"/>
  <c r="P75" i="22"/>
  <c r="P76" i="22"/>
  <c r="P77" i="22"/>
  <c r="P78" i="22"/>
  <c r="P79" i="22"/>
  <c r="P71" i="23"/>
  <c r="P72" i="23"/>
  <c r="P73" i="23"/>
  <c r="P74" i="23"/>
  <c r="P75" i="23"/>
  <c r="P76" i="23"/>
  <c r="P77" i="23"/>
  <c r="P78" i="23"/>
  <c r="P79" i="23"/>
  <c r="P71" i="24"/>
  <c r="P72" i="24"/>
  <c r="P73" i="24"/>
  <c r="P74" i="24"/>
  <c r="P75" i="24"/>
  <c r="P76" i="24"/>
  <c r="P77" i="24"/>
  <c r="P78" i="24"/>
  <c r="P79" i="24"/>
  <c r="P71" i="25"/>
  <c r="P72" i="25"/>
  <c r="P73" i="25"/>
  <c r="P74" i="25"/>
  <c r="P75" i="25"/>
  <c r="P76" i="25"/>
  <c r="P77" i="25"/>
  <c r="P78" i="25"/>
  <c r="P79" i="25"/>
  <c r="P71" i="26"/>
  <c r="P72" i="26"/>
  <c r="P73" i="26"/>
  <c r="P74" i="26"/>
  <c r="P75" i="26"/>
  <c r="P76" i="26"/>
  <c r="P77" i="26"/>
  <c r="P78" i="26"/>
  <c r="P79" i="26"/>
  <c r="P71" i="27"/>
  <c r="P72" i="27"/>
  <c r="P73" i="27"/>
  <c r="P74" i="27"/>
  <c r="P75" i="27"/>
  <c r="P76" i="27"/>
  <c r="P77" i="27"/>
  <c r="P78" i="27"/>
  <c r="P79" i="27"/>
  <c r="P71" i="28"/>
  <c r="P72" i="28"/>
  <c r="P73" i="28"/>
  <c r="P74" i="28"/>
  <c r="P75" i="28"/>
  <c r="P76" i="28"/>
  <c r="P77" i="28"/>
  <c r="P78" i="28"/>
  <c r="P79" i="28"/>
  <c r="P71" i="29"/>
  <c r="P72" i="29"/>
  <c r="P73" i="29"/>
  <c r="P74" i="29"/>
  <c r="P75" i="29"/>
  <c r="P76" i="29"/>
  <c r="P77" i="29"/>
  <c r="P78" i="29"/>
  <c r="P79" i="29"/>
  <c r="P71" i="30"/>
  <c r="P72" i="30"/>
  <c r="P73" i="30"/>
  <c r="P74" i="30"/>
  <c r="P75" i="30"/>
  <c r="P76" i="30"/>
  <c r="P77" i="30"/>
  <c r="P78" i="30"/>
  <c r="P79" i="30"/>
  <c r="P71" i="31"/>
  <c r="P72" i="31"/>
  <c r="P73" i="31"/>
  <c r="P74" i="31"/>
  <c r="P75" i="31"/>
  <c r="P76" i="31"/>
  <c r="P77" i="31"/>
  <c r="P78" i="31"/>
  <c r="P79" i="31"/>
  <c r="P71" i="17"/>
  <c r="P72" i="17"/>
  <c r="P73" i="17"/>
  <c r="P74" i="17"/>
  <c r="P75" i="17"/>
  <c r="P76" i="17"/>
  <c r="P77" i="17"/>
  <c r="P78" i="17"/>
  <c r="P79" i="17"/>
  <c r="P70" i="18"/>
  <c r="P70" i="19"/>
  <c r="P70" i="20"/>
  <c r="P70" i="21"/>
  <c r="P70" i="22"/>
  <c r="P70" i="23"/>
  <c r="P70" i="24"/>
  <c r="P70" i="25"/>
  <c r="P70" i="26"/>
  <c r="P70" i="27"/>
  <c r="P70" i="28"/>
  <c r="P70" i="29"/>
  <c r="P70" i="30"/>
  <c r="P70" i="31"/>
  <c r="P70" i="17"/>
  <c r="P59" i="18"/>
  <c r="P60" i="18"/>
  <c r="P61" i="18"/>
  <c r="P62" i="18"/>
  <c r="P63" i="18"/>
  <c r="P64" i="18"/>
  <c r="P65" i="18"/>
  <c r="P66" i="18"/>
  <c r="P67" i="18"/>
  <c r="P59" i="19"/>
  <c r="P60" i="19"/>
  <c r="P61" i="19"/>
  <c r="P62" i="19"/>
  <c r="P63" i="19"/>
  <c r="P64" i="19"/>
  <c r="P65" i="19"/>
  <c r="P66" i="19"/>
  <c r="P67" i="19"/>
  <c r="P59" i="20"/>
  <c r="P60" i="20"/>
  <c r="P61" i="20"/>
  <c r="P62" i="20"/>
  <c r="P63" i="20"/>
  <c r="P64" i="20"/>
  <c r="P65" i="20"/>
  <c r="P66" i="20"/>
  <c r="P67" i="20"/>
  <c r="P59" i="21"/>
  <c r="P60" i="21"/>
  <c r="P61" i="21"/>
  <c r="P62" i="21"/>
  <c r="P63" i="21"/>
  <c r="P64" i="21"/>
  <c r="P65" i="21"/>
  <c r="P66" i="21"/>
  <c r="P67" i="21"/>
  <c r="P59" i="22"/>
  <c r="P60" i="22"/>
  <c r="P61" i="22"/>
  <c r="P62" i="22"/>
  <c r="P63" i="22"/>
  <c r="P64" i="22"/>
  <c r="P65" i="22"/>
  <c r="P66" i="22"/>
  <c r="P67" i="22"/>
  <c r="P59" i="23"/>
  <c r="P60" i="23"/>
  <c r="P61" i="23"/>
  <c r="P62" i="23"/>
  <c r="P63" i="23"/>
  <c r="P64" i="23"/>
  <c r="P65" i="23"/>
  <c r="P66" i="23"/>
  <c r="P67" i="23"/>
  <c r="P59" i="24"/>
  <c r="P60" i="24"/>
  <c r="P61" i="24"/>
  <c r="P62" i="24"/>
  <c r="P63" i="24"/>
  <c r="P64" i="24"/>
  <c r="P65" i="24"/>
  <c r="P66" i="24"/>
  <c r="P67" i="24"/>
  <c r="P59" i="25"/>
  <c r="P60" i="25"/>
  <c r="P61" i="25"/>
  <c r="P62" i="25"/>
  <c r="P63" i="25"/>
  <c r="P64" i="25"/>
  <c r="P65" i="25"/>
  <c r="P66" i="25"/>
  <c r="P67" i="25"/>
  <c r="P59" i="26"/>
  <c r="P60" i="26"/>
  <c r="P61" i="26"/>
  <c r="P62" i="26"/>
  <c r="P63" i="26"/>
  <c r="P64" i="26"/>
  <c r="P65" i="26"/>
  <c r="P66" i="26"/>
  <c r="P67" i="26"/>
  <c r="P59" i="27"/>
  <c r="P60" i="27"/>
  <c r="P61" i="27"/>
  <c r="P62" i="27"/>
  <c r="P63" i="27"/>
  <c r="P64" i="27"/>
  <c r="P65" i="27"/>
  <c r="P66" i="27"/>
  <c r="P67" i="27"/>
  <c r="P59" i="28"/>
  <c r="P60" i="28"/>
  <c r="P61" i="28"/>
  <c r="P62" i="28"/>
  <c r="P63" i="28"/>
  <c r="P64" i="28"/>
  <c r="P65" i="28"/>
  <c r="P66" i="28"/>
  <c r="P67" i="28"/>
  <c r="P59" i="29"/>
  <c r="P60" i="29"/>
  <c r="P61" i="29"/>
  <c r="P62" i="29"/>
  <c r="P63" i="29"/>
  <c r="P64" i="29"/>
  <c r="P65" i="29"/>
  <c r="P66" i="29"/>
  <c r="P67" i="29"/>
  <c r="P59" i="30"/>
  <c r="P60" i="30"/>
  <c r="P61" i="30"/>
  <c r="P62" i="30"/>
  <c r="P63" i="30"/>
  <c r="P64" i="30"/>
  <c r="P65" i="30"/>
  <c r="P66" i="30"/>
  <c r="P67" i="30"/>
  <c r="P59" i="31"/>
  <c r="P60" i="31"/>
  <c r="P61" i="31"/>
  <c r="P62" i="31"/>
  <c r="P63" i="31"/>
  <c r="P64" i="31"/>
  <c r="P65" i="31"/>
  <c r="P66" i="31"/>
  <c r="P67" i="31"/>
  <c r="P59" i="17"/>
  <c r="P60" i="17"/>
  <c r="P61" i="17"/>
  <c r="P62" i="17"/>
  <c r="P63" i="17"/>
  <c r="P64" i="17"/>
  <c r="P65" i="17"/>
  <c r="P66" i="17"/>
  <c r="P67" i="17"/>
  <c r="P58" i="18"/>
  <c r="P58" i="19"/>
  <c r="P58" i="20"/>
  <c r="P58" i="21"/>
  <c r="P58" i="22"/>
  <c r="P58" i="23"/>
  <c r="P58" i="24"/>
  <c r="P58" i="25"/>
  <c r="P58" i="26"/>
  <c r="P58" i="27"/>
  <c r="P58" i="28"/>
  <c r="P58" i="29"/>
  <c r="P58" i="30"/>
  <c r="P58" i="31"/>
  <c r="P58" i="17"/>
  <c r="P52" i="18"/>
  <c r="P53" i="18"/>
  <c r="P54" i="18"/>
  <c r="P52" i="19"/>
  <c r="P53" i="19"/>
  <c r="P54" i="19"/>
  <c r="P52" i="20"/>
  <c r="P53" i="20"/>
  <c r="P54" i="20"/>
  <c r="P52" i="21"/>
  <c r="P53" i="21"/>
  <c r="P54" i="21"/>
  <c r="P52" i="22"/>
  <c r="P53" i="22"/>
  <c r="P54" i="22"/>
  <c r="P52" i="23"/>
  <c r="P53" i="23"/>
  <c r="P54" i="23"/>
  <c r="P52" i="24"/>
  <c r="P53" i="24"/>
  <c r="P54" i="24"/>
  <c r="P52" i="25"/>
  <c r="P53" i="25"/>
  <c r="P54" i="25"/>
  <c r="P52" i="26"/>
  <c r="P53" i="26"/>
  <c r="P54" i="26"/>
  <c r="P52" i="27"/>
  <c r="P53" i="27"/>
  <c r="P54" i="27"/>
  <c r="P52" i="28"/>
  <c r="P53" i="28"/>
  <c r="P54" i="28"/>
  <c r="P52" i="29"/>
  <c r="P53" i="29"/>
  <c r="P54" i="29"/>
  <c r="P52" i="30"/>
  <c r="P53" i="30"/>
  <c r="P54" i="30"/>
  <c r="P52" i="31"/>
  <c r="P53" i="31"/>
  <c r="P54" i="31"/>
  <c r="P52" i="17"/>
  <c r="P53" i="17"/>
  <c r="P54" i="17"/>
  <c r="P51" i="18"/>
  <c r="P51" i="19"/>
  <c r="P51" i="20"/>
  <c r="P51" i="21"/>
  <c r="P51" i="22"/>
  <c r="P51" i="23"/>
  <c r="P51" i="24"/>
  <c r="P51" i="25"/>
  <c r="P51" i="26"/>
  <c r="P51" i="27"/>
  <c r="P51" i="28"/>
  <c r="P51" i="29"/>
  <c r="P51" i="30"/>
  <c r="P51" i="31"/>
  <c r="P51" i="17"/>
  <c r="P46" i="18"/>
  <c r="P47" i="18"/>
  <c r="P48" i="18"/>
  <c r="P46" i="19"/>
  <c r="P47" i="19"/>
  <c r="P48" i="19"/>
  <c r="P46" i="20"/>
  <c r="P47" i="20"/>
  <c r="P48" i="20"/>
  <c r="P46" i="21"/>
  <c r="P47" i="21"/>
  <c r="P48" i="21"/>
  <c r="P46" i="22"/>
  <c r="P47" i="22"/>
  <c r="P48" i="22"/>
  <c r="P46" i="23"/>
  <c r="P47" i="23"/>
  <c r="P48" i="23"/>
  <c r="P46" i="24"/>
  <c r="P47" i="24"/>
  <c r="P48" i="24"/>
  <c r="P46" i="25"/>
  <c r="P47" i="25"/>
  <c r="P48" i="25"/>
  <c r="P46" i="26"/>
  <c r="P47" i="26"/>
  <c r="P48" i="26"/>
  <c r="P46" i="27"/>
  <c r="P47" i="27"/>
  <c r="P48" i="27"/>
  <c r="P46" i="28"/>
  <c r="P47" i="28"/>
  <c r="P48" i="28"/>
  <c r="P46" i="29"/>
  <c r="P47" i="29"/>
  <c r="P48" i="29"/>
  <c r="P46" i="30"/>
  <c r="P47" i="30"/>
  <c r="P48" i="30"/>
  <c r="P46" i="31"/>
  <c r="P47" i="31"/>
  <c r="P48" i="31"/>
  <c r="P46" i="17"/>
  <c r="P47" i="17"/>
  <c r="P48" i="17"/>
  <c r="P45" i="18"/>
  <c r="P45" i="19"/>
  <c r="P45" i="20"/>
  <c r="P45" i="21"/>
  <c r="P45" i="22"/>
  <c r="P45" i="23"/>
  <c r="P45" i="24"/>
  <c r="P45" i="25"/>
  <c r="P45" i="26"/>
  <c r="P45" i="27"/>
  <c r="P45" i="28"/>
  <c r="P45" i="29"/>
  <c r="P45" i="30"/>
  <c r="P45" i="31"/>
  <c r="P45" i="17"/>
  <c r="P39" i="18"/>
  <c r="P40" i="18"/>
  <c r="P41" i="18"/>
  <c r="P39" i="19"/>
  <c r="P40" i="19"/>
  <c r="P41" i="19"/>
  <c r="P39" i="20"/>
  <c r="P40" i="20"/>
  <c r="P41" i="20"/>
  <c r="P39" i="21"/>
  <c r="P40" i="21"/>
  <c r="P41" i="21"/>
  <c r="P39" i="22"/>
  <c r="P40" i="22"/>
  <c r="P41" i="22"/>
  <c r="P39" i="23"/>
  <c r="P40" i="23"/>
  <c r="P41" i="23"/>
  <c r="P39" i="24"/>
  <c r="P40" i="24"/>
  <c r="P41" i="24"/>
  <c r="P39" i="25"/>
  <c r="P40" i="25"/>
  <c r="P41" i="25"/>
  <c r="P39" i="26"/>
  <c r="P40" i="26"/>
  <c r="P41" i="26"/>
  <c r="P39" i="27"/>
  <c r="P40" i="27"/>
  <c r="P41" i="27"/>
  <c r="P39" i="28"/>
  <c r="P40" i="28"/>
  <c r="P41" i="28"/>
  <c r="P39" i="29"/>
  <c r="P40" i="29"/>
  <c r="P41" i="29"/>
  <c r="P39" i="30"/>
  <c r="P40" i="30"/>
  <c r="P41" i="30"/>
  <c r="P39" i="31"/>
  <c r="P40" i="31"/>
  <c r="P41" i="31"/>
  <c r="P39" i="17"/>
  <c r="P40" i="17"/>
  <c r="P41" i="17"/>
  <c r="P38" i="18"/>
  <c r="P38" i="19"/>
  <c r="P38" i="20"/>
  <c r="P38" i="21"/>
  <c r="P38" i="22"/>
  <c r="P38" i="23"/>
  <c r="P38" i="24"/>
  <c r="P38" i="25"/>
  <c r="P38" i="26"/>
  <c r="P38" i="27"/>
  <c r="P38" i="28"/>
  <c r="P38" i="29"/>
  <c r="P38" i="30"/>
  <c r="P38" i="31"/>
  <c r="P38" i="17"/>
  <c r="P33" i="18"/>
  <c r="P34" i="18"/>
  <c r="P35" i="18"/>
  <c r="P33" i="19"/>
  <c r="P34" i="19"/>
  <c r="P35" i="19"/>
  <c r="P33" i="20"/>
  <c r="P34" i="20"/>
  <c r="P35" i="20"/>
  <c r="P33" i="21"/>
  <c r="P34" i="21"/>
  <c r="P35" i="21"/>
  <c r="P33" i="22"/>
  <c r="P34" i="22"/>
  <c r="P35" i="22"/>
  <c r="P33" i="23"/>
  <c r="P34" i="23"/>
  <c r="P35" i="23"/>
  <c r="P33" i="24"/>
  <c r="P34" i="24"/>
  <c r="P35" i="24"/>
  <c r="P33" i="25"/>
  <c r="P34" i="25"/>
  <c r="P35" i="25"/>
  <c r="P33" i="26"/>
  <c r="P34" i="26"/>
  <c r="P35" i="26"/>
  <c r="P33" i="27"/>
  <c r="P34" i="27"/>
  <c r="P35" i="27"/>
  <c r="P33" i="28"/>
  <c r="P34" i="28"/>
  <c r="P35" i="28"/>
  <c r="P33" i="29"/>
  <c r="P34" i="29"/>
  <c r="P35" i="29"/>
  <c r="P33" i="30"/>
  <c r="P34" i="30"/>
  <c r="P35" i="30"/>
  <c r="P33" i="31"/>
  <c r="P34" i="31"/>
  <c r="P35" i="31"/>
  <c r="P33" i="17"/>
  <c r="P34" i="17"/>
  <c r="P35" i="17"/>
  <c r="P32" i="18"/>
  <c r="P32" i="19"/>
  <c r="P32" i="20"/>
  <c r="P32" i="21"/>
  <c r="P32" i="22"/>
  <c r="P32" i="23"/>
  <c r="P32" i="24"/>
  <c r="P32" i="25"/>
  <c r="P32" i="26"/>
  <c r="P32" i="27"/>
  <c r="P32" i="28"/>
  <c r="P32" i="29"/>
  <c r="P32" i="30"/>
  <c r="P32" i="31"/>
  <c r="P32" i="17"/>
  <c r="P26" i="18"/>
  <c r="P27" i="18"/>
  <c r="P28" i="18"/>
  <c r="P26" i="19"/>
  <c r="P27" i="19"/>
  <c r="P28" i="19"/>
  <c r="P26" i="20"/>
  <c r="P27" i="20"/>
  <c r="P28" i="20"/>
  <c r="P26" i="21"/>
  <c r="P27" i="21"/>
  <c r="P28" i="21"/>
  <c r="P26" i="22"/>
  <c r="P27" i="22"/>
  <c r="P28" i="22"/>
  <c r="P26" i="23"/>
  <c r="P27" i="23"/>
  <c r="P28" i="23"/>
  <c r="P26" i="24"/>
  <c r="P27" i="24"/>
  <c r="P28" i="24"/>
  <c r="P26" i="25"/>
  <c r="P27" i="25"/>
  <c r="P28" i="25"/>
  <c r="P26" i="26"/>
  <c r="P27" i="26"/>
  <c r="P28" i="26"/>
  <c r="P26" i="27"/>
  <c r="P27" i="27"/>
  <c r="P28" i="27"/>
  <c r="P26" i="28"/>
  <c r="P27" i="28"/>
  <c r="P28" i="28"/>
  <c r="P26" i="29"/>
  <c r="P27" i="29"/>
  <c r="P28" i="29"/>
  <c r="P26" i="30"/>
  <c r="P27" i="30"/>
  <c r="P28" i="30"/>
  <c r="P26" i="31"/>
  <c r="P27" i="31"/>
  <c r="P28" i="31"/>
  <c r="P26" i="17"/>
  <c r="P27" i="17"/>
  <c r="P28" i="17"/>
  <c r="P25" i="18"/>
  <c r="P25" i="19"/>
  <c r="P25" i="20"/>
  <c r="P25" i="21"/>
  <c r="P25" i="22"/>
  <c r="P25" i="23"/>
  <c r="P25" i="24"/>
  <c r="P25" i="25"/>
  <c r="P25" i="26"/>
  <c r="P25" i="27"/>
  <c r="P25" i="28"/>
  <c r="P25" i="29"/>
  <c r="P25" i="30"/>
  <c r="P25" i="31"/>
  <c r="P25" i="17"/>
  <c r="P20" i="18"/>
  <c r="P21" i="18"/>
  <c r="P22" i="18"/>
  <c r="P20" i="19"/>
  <c r="P21" i="19"/>
  <c r="P22" i="19"/>
  <c r="P20" i="20"/>
  <c r="P21" i="20"/>
  <c r="P22" i="20"/>
  <c r="P20" i="21"/>
  <c r="P21" i="21"/>
  <c r="P22" i="21"/>
  <c r="P20" i="22"/>
  <c r="P21" i="22"/>
  <c r="P22" i="22"/>
  <c r="P20" i="23"/>
  <c r="P21" i="23"/>
  <c r="P22" i="23"/>
  <c r="P20" i="24"/>
  <c r="P21" i="24"/>
  <c r="P22" i="24"/>
  <c r="P20" i="25"/>
  <c r="P21" i="25"/>
  <c r="P22" i="25"/>
  <c r="P20" i="26"/>
  <c r="P21" i="26"/>
  <c r="P22" i="26"/>
  <c r="P20" i="27"/>
  <c r="P21" i="27"/>
  <c r="P22" i="27"/>
  <c r="P20" i="28"/>
  <c r="P21" i="28"/>
  <c r="P22" i="28"/>
  <c r="P20" i="29"/>
  <c r="P21" i="29"/>
  <c r="P22" i="29"/>
  <c r="P20" i="30"/>
  <c r="P21" i="30"/>
  <c r="P22" i="30"/>
  <c r="P20" i="31"/>
  <c r="P21" i="31"/>
  <c r="P22" i="31"/>
  <c r="P20" i="17"/>
  <c r="P21" i="17"/>
  <c r="P22" i="17"/>
  <c r="P19" i="18"/>
  <c r="P19" i="19"/>
  <c r="P19" i="20"/>
  <c r="P19" i="21"/>
  <c r="P19" i="22"/>
  <c r="P19" i="23"/>
  <c r="P19" i="24"/>
  <c r="P19" i="25"/>
  <c r="P19" i="26"/>
  <c r="P19" i="27"/>
  <c r="P19" i="28"/>
  <c r="P19" i="29"/>
  <c r="P19" i="30"/>
  <c r="P19" i="31"/>
  <c r="P19" i="17"/>
  <c r="P14" i="18"/>
  <c r="P15" i="18"/>
  <c r="P14" i="19"/>
  <c r="P15" i="19"/>
  <c r="P14" i="20"/>
  <c r="P15" i="20"/>
  <c r="P14" i="21"/>
  <c r="P15" i="21"/>
  <c r="P14" i="22"/>
  <c r="P15" i="22"/>
  <c r="P14" i="23"/>
  <c r="P15" i="23"/>
  <c r="P14" i="24"/>
  <c r="P15" i="24"/>
  <c r="P14" i="25"/>
  <c r="P15" i="25"/>
  <c r="P14" i="26"/>
  <c r="P15" i="26"/>
  <c r="P14" i="27"/>
  <c r="P15" i="27"/>
  <c r="P14" i="28"/>
  <c r="P15" i="28"/>
  <c r="P14" i="29"/>
  <c r="P15" i="29"/>
  <c r="P14" i="30"/>
  <c r="P15" i="30"/>
  <c r="P14" i="31"/>
  <c r="P15" i="31"/>
  <c r="P14" i="17"/>
  <c r="P15" i="17"/>
  <c r="P13" i="18"/>
  <c r="P13" i="19"/>
  <c r="P13" i="20"/>
  <c r="P13" i="21"/>
  <c r="P13" i="22"/>
  <c r="P13" i="23"/>
  <c r="P13" i="24"/>
  <c r="P13" i="25"/>
  <c r="P13" i="26"/>
  <c r="P13" i="27"/>
  <c r="P13" i="28"/>
  <c r="P13" i="29"/>
  <c r="P13" i="30"/>
  <c r="P13" i="31"/>
  <c r="P13" i="17"/>
  <c r="P9" i="18"/>
  <c r="P10" i="18"/>
  <c r="P9" i="19"/>
  <c r="P10" i="19"/>
  <c r="P9" i="20"/>
  <c r="P10" i="20"/>
  <c r="P9" i="21"/>
  <c r="P10" i="21"/>
  <c r="P9" i="22"/>
  <c r="P10" i="22"/>
  <c r="P9" i="23"/>
  <c r="P10" i="23"/>
  <c r="P9" i="24"/>
  <c r="P10" i="24"/>
  <c r="P9" i="25"/>
  <c r="P10" i="25"/>
  <c r="P9" i="26"/>
  <c r="P10" i="26"/>
  <c r="P9" i="27"/>
  <c r="P10" i="27"/>
  <c r="P9" i="28"/>
  <c r="P10" i="28"/>
  <c r="P9" i="29"/>
  <c r="P10" i="29"/>
  <c r="P9" i="30"/>
  <c r="P10" i="30"/>
  <c r="P9" i="31"/>
  <c r="P10" i="31"/>
  <c r="P9" i="17"/>
  <c r="P10" i="17"/>
  <c r="P8" i="18"/>
  <c r="P8" i="19"/>
  <c r="P8" i="20"/>
  <c r="P8" i="21"/>
  <c r="P8" i="22"/>
  <c r="P8" i="23"/>
  <c r="P8" i="24"/>
  <c r="P8" i="25"/>
  <c r="P8" i="26"/>
  <c r="P8" i="27"/>
  <c r="P8" i="28"/>
  <c r="P8" i="29"/>
  <c r="P8" i="30"/>
  <c r="P8" i="31"/>
  <c r="P8" i="17"/>
  <c r="S71" i="16"/>
  <c r="S72" i="16"/>
  <c r="S73" i="16"/>
  <c r="S74" i="16"/>
  <c r="S75" i="16"/>
  <c r="S76" i="16"/>
  <c r="S77" i="16"/>
  <c r="S78" i="16"/>
  <c r="S79" i="16"/>
  <c r="S70" i="16"/>
  <c r="S59" i="16"/>
  <c r="S60" i="16"/>
  <c r="S61" i="16"/>
  <c r="S62" i="16"/>
  <c r="S63" i="16"/>
  <c r="S64" i="16"/>
  <c r="S65" i="16"/>
  <c r="S66" i="16"/>
  <c r="S67" i="16"/>
  <c r="S58" i="16"/>
  <c r="S52" i="16"/>
  <c r="S53" i="16"/>
  <c r="S54" i="16"/>
  <c r="S51" i="16"/>
  <c r="S46" i="16"/>
  <c r="S47" i="16"/>
  <c r="S48" i="16"/>
  <c r="S45" i="16"/>
  <c r="S39" i="16"/>
  <c r="S40" i="16"/>
  <c r="S41" i="16"/>
  <c r="S38" i="16"/>
  <c r="S33" i="16"/>
  <c r="S34" i="16"/>
  <c r="S35" i="16"/>
  <c r="S32" i="16"/>
  <c r="S26" i="16"/>
  <c r="S27" i="16"/>
  <c r="S28" i="16"/>
  <c r="S25" i="16"/>
  <c r="S20" i="16"/>
  <c r="S21" i="16"/>
  <c r="S22" i="16"/>
  <c r="S19" i="16"/>
  <c r="S14" i="16"/>
  <c r="S15" i="16"/>
  <c r="S13" i="16"/>
  <c r="S9" i="16"/>
  <c r="S10" i="16"/>
  <c r="S8" i="16"/>
  <c r="R71" i="16"/>
  <c r="R72" i="16"/>
  <c r="R73" i="16"/>
  <c r="R74" i="16"/>
  <c r="R75" i="16"/>
  <c r="R76" i="16"/>
  <c r="R77" i="16"/>
  <c r="R78" i="16"/>
  <c r="R79" i="16"/>
  <c r="R70" i="16"/>
  <c r="R59" i="16"/>
  <c r="R60" i="16"/>
  <c r="R61" i="16"/>
  <c r="R62" i="16"/>
  <c r="R63" i="16"/>
  <c r="R64" i="16"/>
  <c r="R65" i="16"/>
  <c r="R66" i="16"/>
  <c r="R67" i="16"/>
  <c r="R58" i="16"/>
  <c r="R52" i="16"/>
  <c r="R53" i="16"/>
  <c r="R54" i="16"/>
  <c r="R51" i="16"/>
  <c r="R46" i="16"/>
  <c r="R47" i="16"/>
  <c r="R48" i="16"/>
  <c r="R45" i="16"/>
  <c r="R39" i="16"/>
  <c r="R40" i="16"/>
  <c r="R41" i="16"/>
  <c r="R38" i="16"/>
  <c r="R33" i="16"/>
  <c r="R34" i="16"/>
  <c r="R35" i="16"/>
  <c r="R32" i="16"/>
  <c r="R26" i="16"/>
  <c r="R27" i="16"/>
  <c r="R28" i="16"/>
  <c r="R25" i="16"/>
  <c r="R20" i="16"/>
  <c r="R21" i="16"/>
  <c r="R22" i="16"/>
  <c r="R19" i="16"/>
  <c r="R14" i="16"/>
  <c r="R15" i="16"/>
  <c r="R13" i="16"/>
  <c r="R9" i="16"/>
  <c r="R10" i="16"/>
  <c r="R8" i="16"/>
  <c r="Q71" i="16"/>
  <c r="Q72" i="16"/>
  <c r="Q73" i="16"/>
  <c r="Q74" i="16"/>
  <c r="Q75" i="16"/>
  <c r="Q76" i="16"/>
  <c r="Q77" i="16"/>
  <c r="Q78" i="16"/>
  <c r="Q79" i="16"/>
  <c r="Q70" i="16"/>
  <c r="Q59" i="16"/>
  <c r="Q60" i="16"/>
  <c r="Q61" i="16"/>
  <c r="Q62" i="16"/>
  <c r="Q63" i="16"/>
  <c r="Q64" i="16"/>
  <c r="Q65" i="16"/>
  <c r="Q66" i="16"/>
  <c r="Q67" i="16"/>
  <c r="Q58" i="16"/>
  <c r="Q52" i="16"/>
  <c r="Q53" i="16"/>
  <c r="Q54" i="16"/>
  <c r="Q51" i="16"/>
  <c r="Q46" i="16"/>
  <c r="Q47" i="16"/>
  <c r="Q48" i="16"/>
  <c r="Q45" i="16"/>
  <c r="Q39" i="16"/>
  <c r="Q40" i="16"/>
  <c r="Q41" i="16"/>
  <c r="Q38" i="16"/>
  <c r="Q33" i="16"/>
  <c r="Q34" i="16"/>
  <c r="Q35" i="16"/>
  <c r="Q32" i="16"/>
  <c r="Q26" i="16"/>
  <c r="Q27" i="16"/>
  <c r="Q28" i="16"/>
  <c r="Q25" i="16"/>
  <c r="Q20" i="16"/>
  <c r="Q21" i="16"/>
  <c r="Q22" i="16"/>
  <c r="Q19" i="16"/>
  <c r="Q14" i="16"/>
  <c r="Q15" i="16"/>
  <c r="Q13" i="16"/>
  <c r="Q9" i="16"/>
  <c r="Q10" i="16"/>
  <c r="Q8" i="16"/>
  <c r="BW50" i="115"/>
  <c r="BN50" i="115"/>
  <c r="BW48" i="115"/>
  <c r="BN48" i="115"/>
  <c r="BW47" i="115"/>
  <c r="BW22" i="115" s="1"/>
  <c r="BN47" i="115"/>
  <c r="BN22" i="115" s="1"/>
  <c r="BW45" i="115"/>
  <c r="BN45" i="115"/>
  <c r="BW44" i="115"/>
  <c r="BN44" i="115"/>
  <c r="BW43" i="115"/>
  <c r="BN43" i="115"/>
  <c r="BW41" i="115"/>
  <c r="BN41" i="115"/>
  <c r="BN16" i="115" s="1"/>
  <c r="BW40" i="115"/>
  <c r="BN40" i="115"/>
  <c r="BW38" i="115"/>
  <c r="BN38" i="115"/>
  <c r="BW36" i="115"/>
  <c r="BW51" i="115" s="1"/>
  <c r="BN36" i="115"/>
  <c r="BN51" i="115" s="1"/>
  <c r="BW25" i="115"/>
  <c r="BV25" i="115"/>
  <c r="BU25" i="115"/>
  <c r="BN25" i="115"/>
  <c r="BL25" i="115"/>
  <c r="BM25" i="115" s="1"/>
  <c r="BW23" i="115"/>
  <c r="BR23" i="115"/>
  <c r="BQ23" i="115"/>
  <c r="BV23" i="115" s="1"/>
  <c r="BN23" i="115"/>
  <c r="BI23" i="115"/>
  <c r="BM23" i="115" s="1"/>
  <c r="BH23" i="115"/>
  <c r="BU22" i="115"/>
  <c r="BT22" i="115"/>
  <c r="BS22" i="115"/>
  <c r="BR22" i="115"/>
  <c r="BQ22" i="115"/>
  <c r="BV22" i="115" s="1"/>
  <c r="BL22" i="115"/>
  <c r="BK22" i="115"/>
  <c r="BJ22" i="115"/>
  <c r="BI22" i="115"/>
  <c r="BH22" i="115"/>
  <c r="BM22" i="115" s="1"/>
  <c r="BU21" i="115"/>
  <c r="BT21" i="115"/>
  <c r="BS21" i="115"/>
  <c r="BR21" i="115"/>
  <c r="BQ21" i="115"/>
  <c r="BV21" i="115" s="1"/>
  <c r="BM21" i="115"/>
  <c r="BL21" i="115"/>
  <c r="BK21" i="115"/>
  <c r="BJ21" i="115"/>
  <c r="BI21" i="115"/>
  <c r="BH21" i="115"/>
  <c r="BW20" i="115"/>
  <c r="BV20" i="115"/>
  <c r="BU20" i="115"/>
  <c r="BT20" i="115"/>
  <c r="BS20" i="115"/>
  <c r="BR20" i="115"/>
  <c r="BQ20" i="115"/>
  <c r="BN20" i="115"/>
  <c r="BL20" i="115"/>
  <c r="BK20" i="115"/>
  <c r="BM20" i="115" s="1"/>
  <c r="BJ20" i="115"/>
  <c r="BI20" i="115"/>
  <c r="BH20" i="115"/>
  <c r="BW19" i="115"/>
  <c r="BU19" i="115"/>
  <c r="BT19" i="115"/>
  <c r="BS19" i="115"/>
  <c r="BR19" i="115"/>
  <c r="BQ19" i="115"/>
  <c r="BV19" i="115" s="1"/>
  <c r="BN19" i="115"/>
  <c r="BL19" i="115"/>
  <c r="BK19" i="115"/>
  <c r="BJ19" i="115"/>
  <c r="BI19" i="115"/>
  <c r="BH19" i="115"/>
  <c r="BM19" i="115" s="1"/>
  <c r="BW18" i="115"/>
  <c r="BU18" i="115"/>
  <c r="BT18" i="115"/>
  <c r="BS18" i="115"/>
  <c r="BR18" i="115"/>
  <c r="BQ18" i="115"/>
  <c r="BV18" i="115" s="1"/>
  <c r="BN18" i="115"/>
  <c r="BL18" i="115"/>
  <c r="BK18" i="115"/>
  <c r="BJ18" i="115"/>
  <c r="BI18" i="115"/>
  <c r="BH18" i="115"/>
  <c r="BM18" i="115" s="1"/>
  <c r="BW16" i="115"/>
  <c r="BV16" i="115"/>
  <c r="BM16" i="115"/>
  <c r="BW15" i="115"/>
  <c r="BU15" i="115"/>
  <c r="BT15" i="115"/>
  <c r="BS15" i="115"/>
  <c r="BR15" i="115"/>
  <c r="BQ15" i="115"/>
  <c r="BV15" i="115" s="1"/>
  <c r="BN15" i="115"/>
  <c r="BL15" i="115"/>
  <c r="BK15" i="115"/>
  <c r="BJ15" i="115"/>
  <c r="BI15" i="115"/>
  <c r="BH15" i="115"/>
  <c r="BM15" i="115" s="1"/>
  <c r="BW13" i="115"/>
  <c r="BU13" i="115"/>
  <c r="BT13" i="115"/>
  <c r="BS13" i="115"/>
  <c r="BR13" i="115"/>
  <c r="BQ13" i="115"/>
  <c r="BV13" i="115" s="1"/>
  <c r="BN13" i="115"/>
  <c r="BL13" i="115"/>
  <c r="BK13" i="115"/>
  <c r="BJ13" i="115"/>
  <c r="BI13" i="115"/>
  <c r="BH13" i="115"/>
  <c r="BM13" i="115" s="1"/>
  <c r="BW11" i="115"/>
  <c r="BV11" i="115"/>
  <c r="BN11" i="115"/>
  <c r="BM11" i="115"/>
  <c r="BD50" i="115"/>
  <c r="AU50" i="115"/>
  <c r="AU25" i="115" s="1"/>
  <c r="BD48" i="115"/>
  <c r="AU48" i="115"/>
  <c r="AU23" i="115" s="1"/>
  <c r="BD47" i="115"/>
  <c r="BD22" i="115" s="1"/>
  <c r="AU47" i="115"/>
  <c r="BD45" i="115"/>
  <c r="AU45" i="115"/>
  <c r="BD44" i="115"/>
  <c r="AU44" i="115"/>
  <c r="BD43" i="115"/>
  <c r="AU43" i="115"/>
  <c r="AU18" i="115" s="1"/>
  <c r="BD41" i="115"/>
  <c r="BD16" i="115" s="1"/>
  <c r="AU41" i="115"/>
  <c r="BD40" i="115"/>
  <c r="BD51" i="115" s="1"/>
  <c r="AU40" i="115"/>
  <c r="BD38" i="115"/>
  <c r="AU38" i="115"/>
  <c r="AU13" i="115" s="1"/>
  <c r="BD36" i="115"/>
  <c r="AU36" i="115"/>
  <c r="AU51" i="115" s="1"/>
  <c r="BD25" i="115"/>
  <c r="BB25" i="115"/>
  <c r="BC25" i="115" s="1"/>
  <c r="AS25" i="115"/>
  <c r="AT25" i="115" s="1"/>
  <c r="BD23" i="115"/>
  <c r="AY23" i="115"/>
  <c r="BC23" i="115" s="1"/>
  <c r="AX23" i="115"/>
  <c r="AP23" i="115"/>
  <c r="AO23" i="115"/>
  <c r="AT23" i="115" s="1"/>
  <c r="BB22" i="115"/>
  <c r="BC22" i="115" s="1"/>
  <c r="BA22" i="115"/>
  <c r="AZ22" i="115"/>
  <c r="AY22" i="115"/>
  <c r="AX22" i="115"/>
  <c r="AU22" i="115"/>
  <c r="AS22" i="115"/>
  <c r="AR22" i="115"/>
  <c r="AQ22" i="115"/>
  <c r="AP22" i="115"/>
  <c r="AO22" i="115"/>
  <c r="AT22" i="115" s="1"/>
  <c r="BB21" i="115"/>
  <c r="BA21" i="115"/>
  <c r="AZ21" i="115"/>
  <c r="AY21" i="115"/>
  <c r="BC21" i="115" s="1"/>
  <c r="AX21" i="115"/>
  <c r="AS21" i="115"/>
  <c r="AR21" i="115"/>
  <c r="AQ21" i="115"/>
  <c r="AP21" i="115"/>
  <c r="AO21" i="115"/>
  <c r="AT21" i="115" s="1"/>
  <c r="BD20" i="115"/>
  <c r="BB20" i="115"/>
  <c r="BA20" i="115"/>
  <c r="AZ20" i="115"/>
  <c r="AY20" i="115"/>
  <c r="BC20" i="115" s="1"/>
  <c r="AX20" i="115"/>
  <c r="AU20" i="115"/>
  <c r="AT20" i="115"/>
  <c r="AS20" i="115"/>
  <c r="AR20" i="115"/>
  <c r="AQ20" i="115"/>
  <c r="AP20" i="115"/>
  <c r="AO20" i="115"/>
  <c r="BD19" i="115"/>
  <c r="BB19" i="115"/>
  <c r="BC19" i="115" s="1"/>
  <c r="BA19" i="115"/>
  <c r="AZ19" i="115"/>
  <c r="AY19" i="115"/>
  <c r="AX19" i="115"/>
  <c r="AU19" i="115"/>
  <c r="AS19" i="115"/>
  <c r="AR19" i="115"/>
  <c r="AQ19" i="115"/>
  <c r="AP19" i="115"/>
  <c r="AO19" i="115"/>
  <c r="AT19" i="115" s="1"/>
  <c r="BD18" i="115"/>
  <c r="BB18" i="115"/>
  <c r="BA18" i="115"/>
  <c r="AZ18" i="115"/>
  <c r="AY18" i="115"/>
  <c r="AX18" i="115"/>
  <c r="BC18" i="115" s="1"/>
  <c r="AS18" i="115"/>
  <c r="AR18" i="115"/>
  <c r="AQ18" i="115"/>
  <c r="AP18" i="115"/>
  <c r="AT18" i="115" s="1"/>
  <c r="AO18" i="115"/>
  <c r="BC16" i="115"/>
  <c r="AU16" i="115"/>
  <c r="AT16" i="115"/>
  <c r="BB15" i="115"/>
  <c r="BC15" i="115" s="1"/>
  <c r="BA15" i="115"/>
  <c r="AZ15" i="115"/>
  <c r="AY15" i="115"/>
  <c r="AX15" i="115"/>
  <c r="AU15" i="115"/>
  <c r="AS15" i="115"/>
  <c r="AR15" i="115"/>
  <c r="AQ15" i="115"/>
  <c r="AP15" i="115"/>
  <c r="AO15" i="115"/>
  <c r="AT15" i="115" s="1"/>
  <c r="BD13" i="115"/>
  <c r="BB13" i="115"/>
  <c r="BA13" i="115"/>
  <c r="AZ13" i="115"/>
  <c r="AY13" i="115"/>
  <c r="AX13" i="115"/>
  <c r="BC13" i="115" s="1"/>
  <c r="AS13" i="115"/>
  <c r="AR13" i="115"/>
  <c r="AQ13" i="115"/>
  <c r="AP13" i="115"/>
  <c r="AT13" i="115" s="1"/>
  <c r="AO13" i="115"/>
  <c r="BD11" i="115"/>
  <c r="BC11" i="115"/>
  <c r="AT11" i="115"/>
  <c r="AK50" i="115"/>
  <c r="AB50" i="115"/>
  <c r="AK48" i="115"/>
  <c r="AB48" i="115"/>
  <c r="AK47" i="115"/>
  <c r="AK22" i="115" s="1"/>
  <c r="AB47" i="115"/>
  <c r="AK45" i="115"/>
  <c r="AB45" i="115"/>
  <c r="AB20" i="115" s="1"/>
  <c r="AK44" i="115"/>
  <c r="AB44" i="115"/>
  <c r="AK43" i="115"/>
  <c r="AB43" i="115"/>
  <c r="AK41" i="115"/>
  <c r="AB41" i="115"/>
  <c r="AK40" i="115"/>
  <c r="AB40" i="115"/>
  <c r="AB51" i="115" s="1"/>
  <c r="AK38" i="115"/>
  <c r="AB38" i="115"/>
  <c r="AK36" i="115"/>
  <c r="AK51" i="115" s="1"/>
  <c r="AB36" i="115"/>
  <c r="AK25" i="115"/>
  <c r="AI25" i="115"/>
  <c r="AJ25" i="115"/>
  <c r="AB25" i="115"/>
  <c r="AA25" i="115"/>
  <c r="Z25" i="115"/>
  <c r="AK23" i="115"/>
  <c r="AF23" i="115"/>
  <c r="AE23" i="115"/>
  <c r="AJ23" i="115" s="1"/>
  <c r="AB23" i="115"/>
  <c r="W23" i="115"/>
  <c r="V23" i="115"/>
  <c r="AA23" i="115" s="1"/>
  <c r="AI22" i="115"/>
  <c r="AH22" i="115"/>
  <c r="AG22" i="115"/>
  <c r="AF22" i="115"/>
  <c r="AE22" i="115"/>
  <c r="AJ22" i="115" s="1"/>
  <c r="AB22" i="115"/>
  <c r="Z22" i="115"/>
  <c r="Y22" i="115"/>
  <c r="X22" i="115"/>
  <c r="W22" i="115"/>
  <c r="AA22" i="115" s="1"/>
  <c r="V22" i="115"/>
  <c r="AI21" i="115"/>
  <c r="AH21" i="115"/>
  <c r="AG21" i="115"/>
  <c r="AJ21" i="115" s="1"/>
  <c r="AF21" i="115"/>
  <c r="AE21" i="115"/>
  <c r="AA21" i="115"/>
  <c r="Z21" i="115"/>
  <c r="Y21" i="115"/>
  <c r="X21" i="115"/>
  <c r="W21" i="115"/>
  <c r="V21" i="115"/>
  <c r="AK20" i="115"/>
  <c r="AI20" i="115"/>
  <c r="AH20" i="115"/>
  <c r="AG20" i="115"/>
  <c r="AF20" i="115"/>
  <c r="AE20" i="115"/>
  <c r="AJ20" i="115" s="1"/>
  <c r="Z20" i="115"/>
  <c r="Y20" i="115"/>
  <c r="X20" i="115"/>
  <c r="W20" i="115"/>
  <c r="V20" i="115"/>
  <c r="AA20" i="115" s="1"/>
  <c r="AK19" i="115"/>
  <c r="AI19" i="115"/>
  <c r="AH19" i="115"/>
  <c r="AG19" i="115"/>
  <c r="AF19" i="115"/>
  <c r="AE19" i="115"/>
  <c r="AJ19" i="115" s="1"/>
  <c r="AB19" i="115"/>
  <c r="Z19" i="115"/>
  <c r="Y19" i="115"/>
  <c r="X19" i="115"/>
  <c r="W19" i="115"/>
  <c r="AA19" i="115" s="1"/>
  <c r="V19" i="115"/>
  <c r="AK18" i="115"/>
  <c r="AI18" i="115"/>
  <c r="AH18" i="115"/>
  <c r="AG18" i="115"/>
  <c r="AF18" i="115"/>
  <c r="AE18" i="115"/>
  <c r="AJ18" i="115" s="1"/>
  <c r="AB18" i="115"/>
  <c r="Z18" i="115"/>
  <c r="Y18" i="115"/>
  <c r="X18" i="115"/>
  <c r="AA18" i="115" s="1"/>
  <c r="W18" i="115"/>
  <c r="V18" i="115"/>
  <c r="AK16" i="115"/>
  <c r="AJ16" i="115"/>
  <c r="AB16" i="115"/>
  <c r="AA16" i="115"/>
  <c r="AK15" i="115"/>
  <c r="AI15" i="115"/>
  <c r="AH15" i="115"/>
  <c r="AG15" i="115"/>
  <c r="AF15" i="115"/>
  <c r="AE15" i="115"/>
  <c r="AJ15" i="115" s="1"/>
  <c r="Z15" i="115"/>
  <c r="Y15" i="115"/>
  <c r="X15" i="115"/>
  <c r="W15" i="115"/>
  <c r="V15" i="115"/>
  <c r="AA15" i="115" s="1"/>
  <c r="AK13" i="115"/>
  <c r="AI13" i="115"/>
  <c r="AH13" i="115"/>
  <c r="AG13" i="115"/>
  <c r="AF13" i="115"/>
  <c r="AE13" i="115"/>
  <c r="AJ13" i="115" s="1"/>
  <c r="AB13" i="115"/>
  <c r="Z13" i="115"/>
  <c r="Y13" i="115"/>
  <c r="X13" i="115"/>
  <c r="W13" i="115"/>
  <c r="AA13" i="115" s="1"/>
  <c r="V13" i="115"/>
  <c r="AK11" i="115"/>
  <c r="AJ11" i="115"/>
  <c r="AB11" i="115"/>
  <c r="AA11" i="115"/>
  <c r="N130" i="127"/>
  <c r="E36" i="125"/>
  <c r="R36" i="125"/>
  <c r="AD36" i="125"/>
  <c r="Z36" i="125"/>
  <c r="AL36" i="125"/>
  <c r="M36" i="125"/>
  <c r="M111" i="125"/>
  <c r="M110" i="125"/>
  <c r="M109" i="125"/>
  <c r="M108" i="125"/>
  <c r="AK106" i="125"/>
  <c r="AJ106" i="125"/>
  <c r="AI106" i="125"/>
  <c r="AH106" i="125"/>
  <c r="AG106" i="125"/>
  <c r="AF106" i="125"/>
  <c r="AE106" i="125"/>
  <c r="AD106" i="125"/>
  <c r="AC106" i="125"/>
  <c r="AB106" i="125"/>
  <c r="C106" i="125" s="1"/>
  <c r="AA106" i="125"/>
  <c r="Y106" i="125"/>
  <c r="X106" i="125"/>
  <c r="W106" i="125"/>
  <c r="J106" i="125" s="1"/>
  <c r="V106" i="125"/>
  <c r="U106" i="125"/>
  <c r="T106" i="125"/>
  <c r="S106" i="125"/>
  <c r="R106" i="125"/>
  <c r="E106" i="125" s="1"/>
  <c r="Q106" i="125"/>
  <c r="P106" i="125"/>
  <c r="O106" i="125"/>
  <c r="B106" i="125" s="1"/>
  <c r="H106" i="125"/>
  <c r="N104" i="125"/>
  <c r="N103" i="125"/>
  <c r="N102" i="125"/>
  <c r="N101" i="125"/>
  <c r="N100" i="125"/>
  <c r="N99" i="125"/>
  <c r="N98" i="125"/>
  <c r="N97" i="125"/>
  <c r="N96" i="125"/>
  <c r="N95" i="125"/>
  <c r="N94" i="125"/>
  <c r="E94" i="125"/>
  <c r="N93" i="125"/>
  <c r="N92" i="125"/>
  <c r="N91" i="125"/>
  <c r="N90" i="125"/>
  <c r="N89" i="125"/>
  <c r="N88" i="125"/>
  <c r="N87" i="125"/>
  <c r="N86" i="125"/>
  <c r="N85" i="125"/>
  <c r="N84" i="125"/>
  <c r="N83" i="125"/>
  <c r="N82" i="125"/>
  <c r="N81" i="125"/>
  <c r="N80" i="125"/>
  <c r="N79" i="125"/>
  <c r="N78" i="125"/>
  <c r="N77" i="125"/>
  <c r="N76" i="125"/>
  <c r="N75" i="125"/>
  <c r="N74" i="125"/>
  <c r="N73" i="125"/>
  <c r="N72" i="125"/>
  <c r="N71" i="125"/>
  <c r="E71" i="125"/>
  <c r="N70" i="125"/>
  <c r="N69" i="125"/>
  <c r="N68" i="125"/>
  <c r="N67" i="125"/>
  <c r="N66" i="125"/>
  <c r="N65" i="125"/>
  <c r="N64" i="125"/>
  <c r="N63" i="125"/>
  <c r="N62" i="125"/>
  <c r="N61" i="125"/>
  <c r="N60" i="125"/>
  <c r="N59" i="125"/>
  <c r="N58" i="125"/>
  <c r="N57" i="125"/>
  <c r="N56" i="125"/>
  <c r="N55" i="125"/>
  <c r="N54" i="125"/>
  <c r="N53" i="125"/>
  <c r="N52" i="125"/>
  <c r="N51" i="125"/>
  <c r="N50" i="125"/>
  <c r="N49" i="125"/>
  <c r="N48" i="125"/>
  <c r="N47" i="125"/>
  <c r="N46" i="125"/>
  <c r="N45" i="125"/>
  <c r="N44" i="125"/>
  <c r="N43" i="125"/>
  <c r="N42" i="125"/>
  <c r="N41" i="125"/>
  <c r="N40" i="125"/>
  <c r="N39" i="125"/>
  <c r="N38" i="125"/>
  <c r="N37" i="125"/>
  <c r="N36" i="125"/>
  <c r="N35" i="125"/>
  <c r="N34" i="125"/>
  <c r="N33" i="125"/>
  <c r="N32" i="125"/>
  <c r="N31" i="125"/>
  <c r="N30" i="125"/>
  <c r="N29" i="125"/>
  <c r="N28" i="125"/>
  <c r="N27" i="125"/>
  <c r="N26" i="125"/>
  <c r="N25" i="125"/>
  <c r="N24" i="125"/>
  <c r="N23" i="125"/>
  <c r="N22" i="125"/>
  <c r="N21" i="125"/>
  <c r="N20" i="125"/>
  <c r="N19" i="125"/>
  <c r="N18" i="125"/>
  <c r="N17" i="125"/>
  <c r="N16" i="125"/>
  <c r="N15" i="125"/>
  <c r="N14" i="125"/>
  <c r="N13" i="125"/>
  <c r="N12" i="125"/>
  <c r="N11" i="125"/>
  <c r="N10" i="125"/>
  <c r="N9" i="125"/>
  <c r="N8" i="125"/>
  <c r="N7" i="125"/>
  <c r="N6" i="125"/>
  <c r="R50" i="115"/>
  <c r="R48" i="115"/>
  <c r="R47" i="115"/>
  <c r="R45" i="115"/>
  <c r="R44" i="115"/>
  <c r="R43" i="115"/>
  <c r="R41" i="115"/>
  <c r="R40" i="115"/>
  <c r="R51" i="115" s="1"/>
  <c r="R38" i="115"/>
  <c r="R36" i="115"/>
  <c r="I50" i="115"/>
  <c r="I48" i="115"/>
  <c r="I47" i="115"/>
  <c r="I45" i="115"/>
  <c r="I44" i="115"/>
  <c r="I43" i="115"/>
  <c r="I41" i="115"/>
  <c r="I40" i="115"/>
  <c r="I38" i="115"/>
  <c r="I36" i="115"/>
  <c r="AK105" i="7"/>
  <c r="AJ105" i="7"/>
  <c r="AI105" i="7"/>
  <c r="AH105" i="7"/>
  <c r="AG105" i="7"/>
  <c r="AF105" i="7"/>
  <c r="AE105" i="7"/>
  <c r="AD105" i="7"/>
  <c r="AC105" i="7"/>
  <c r="AB105" i="7"/>
  <c r="AA105" i="7"/>
  <c r="Y105" i="7"/>
  <c r="L105" i="7" s="1"/>
  <c r="X105" i="7"/>
  <c r="W105" i="7"/>
  <c r="V105" i="7"/>
  <c r="I105" i="7" s="1"/>
  <c r="U105" i="7"/>
  <c r="H105" i="7" s="1"/>
  <c r="T105" i="7"/>
  <c r="G105" i="7" s="1"/>
  <c r="S105" i="7"/>
  <c r="F105" i="7" s="1"/>
  <c r="R105" i="7"/>
  <c r="Q105" i="7"/>
  <c r="D105" i="7" s="1"/>
  <c r="P105" i="7"/>
  <c r="O105" i="7"/>
  <c r="BD15" i="115" l="1"/>
  <c r="AU11" i="115"/>
  <c r="AB15" i="115"/>
  <c r="R18" i="115"/>
  <c r="T4" i="125" s="1"/>
  <c r="T36" i="125" s="1"/>
  <c r="R16" i="115"/>
  <c r="S4" i="125" s="1"/>
  <c r="S36" i="125" s="1"/>
  <c r="R19" i="115"/>
  <c r="U4" i="125" s="1"/>
  <c r="U36" i="125" s="1"/>
  <c r="R23" i="115"/>
  <c r="X4" i="125" s="1"/>
  <c r="X36" i="125" s="1"/>
  <c r="R25" i="115"/>
  <c r="Y4" i="125" s="1"/>
  <c r="R11" i="115"/>
  <c r="O4" i="125" s="1"/>
  <c r="O36" i="125" s="1"/>
  <c r="R20" i="115"/>
  <c r="V4" i="125" s="1"/>
  <c r="V36" i="125" s="1"/>
  <c r="R22" i="115"/>
  <c r="W4" i="125" s="1"/>
  <c r="W36" i="125" s="1"/>
  <c r="B105" i="7"/>
  <c r="M105" i="7" s="1"/>
  <c r="J105" i="7"/>
  <c r="K106" i="125"/>
  <c r="R15" i="115"/>
  <c r="Q4" i="125" s="1"/>
  <c r="Q36" i="125" s="1"/>
  <c r="C105" i="7"/>
  <c r="K105" i="7"/>
  <c r="I51" i="115"/>
  <c r="I18" i="115" s="1"/>
  <c r="AF4" i="125" s="1"/>
  <c r="AF36" i="125" s="1"/>
  <c r="E105" i="7"/>
  <c r="AL105" i="7"/>
  <c r="AD71" i="125"/>
  <c r="R71" i="125" s="1"/>
  <c r="AD94" i="125"/>
  <c r="R94" i="125" s="1"/>
  <c r="Z106" i="125"/>
  <c r="G106" i="125"/>
  <c r="I106" i="125"/>
  <c r="D106" i="125"/>
  <c r="L106" i="125"/>
  <c r="AL106" i="125"/>
  <c r="F106" i="125"/>
  <c r="R13" i="115"/>
  <c r="P4" i="125" s="1"/>
  <c r="P36" i="125" s="1"/>
  <c r="I13" i="115"/>
  <c r="AB4" i="125" s="1"/>
  <c r="AB36" i="125" s="1"/>
  <c r="Z105" i="7"/>
  <c r="Y36" i="125" l="1"/>
  <c r="I22" i="115"/>
  <c r="AI4" i="125" s="1"/>
  <c r="AI36" i="125" s="1"/>
  <c r="I15" i="115"/>
  <c r="AC4" i="125" s="1"/>
  <c r="AC36" i="125" s="1"/>
  <c r="J36" i="125"/>
  <c r="I25" i="115"/>
  <c r="AK4" i="125" s="1"/>
  <c r="I11" i="115"/>
  <c r="AA4" i="125" s="1"/>
  <c r="AA36" i="125" s="1"/>
  <c r="B36" i="125" s="1"/>
  <c r="I20" i="115"/>
  <c r="AH4" i="125" s="1"/>
  <c r="AH36" i="125" s="1"/>
  <c r="I36" i="125" s="1"/>
  <c r="D36" i="125"/>
  <c r="C36" i="125"/>
  <c r="I23" i="115"/>
  <c r="AJ4" i="125" s="1"/>
  <c r="AJ36" i="125" s="1"/>
  <c r="K36" i="125" s="1"/>
  <c r="I16" i="115"/>
  <c r="AE4" i="125" s="1"/>
  <c r="AE36" i="125" s="1"/>
  <c r="F36" i="125" s="1"/>
  <c r="I19" i="115"/>
  <c r="AG4" i="125" s="1"/>
  <c r="AG36" i="125" s="1"/>
  <c r="H36" i="125" s="1"/>
  <c r="G36" i="125"/>
  <c r="M106" i="125"/>
  <c r="N142" i="124"/>
  <c r="S125" i="123"/>
  <c r="S124" i="123"/>
  <c r="S123" i="123"/>
  <c r="S122" i="123"/>
  <c r="S121" i="123"/>
  <c r="S120" i="123"/>
  <c r="S119" i="123"/>
  <c r="S118" i="123"/>
  <c r="S117" i="123"/>
  <c r="S116" i="123"/>
  <c r="S115" i="123"/>
  <c r="S114" i="123"/>
  <c r="S113" i="123"/>
  <c r="S112" i="123"/>
  <c r="S111" i="123"/>
  <c r="S108" i="123"/>
  <c r="S107" i="123"/>
  <c r="S106" i="123"/>
  <c r="S105" i="123"/>
  <c r="S104" i="123"/>
  <c r="S103" i="123"/>
  <c r="S102" i="123"/>
  <c r="S101" i="123"/>
  <c r="S100" i="123"/>
  <c r="S99" i="123"/>
  <c r="S98" i="123"/>
  <c r="S97" i="123"/>
  <c r="S96" i="123"/>
  <c r="S95" i="123"/>
  <c r="S94" i="123"/>
  <c r="S90" i="123"/>
  <c r="S89" i="123"/>
  <c r="S88" i="123"/>
  <c r="S87" i="123"/>
  <c r="S86" i="123"/>
  <c r="S85" i="123"/>
  <c r="S84" i="123"/>
  <c r="S83" i="123"/>
  <c r="S82" i="123"/>
  <c r="S79" i="123"/>
  <c r="S78" i="123"/>
  <c r="S77" i="123"/>
  <c r="S76" i="123"/>
  <c r="S75" i="123"/>
  <c r="S74" i="123"/>
  <c r="S73" i="123"/>
  <c r="S72" i="123"/>
  <c r="S71" i="123"/>
  <c r="S67" i="123"/>
  <c r="S66" i="123"/>
  <c r="S65" i="123"/>
  <c r="S64" i="123"/>
  <c r="S63" i="123"/>
  <c r="S62" i="123"/>
  <c r="S61" i="123"/>
  <c r="S60" i="123"/>
  <c r="S59" i="123"/>
  <c r="S56" i="123"/>
  <c r="S55" i="123"/>
  <c r="S54" i="123"/>
  <c r="S53" i="123"/>
  <c r="S52" i="123"/>
  <c r="S51" i="123"/>
  <c r="S50" i="123"/>
  <c r="S49" i="123"/>
  <c r="S48" i="123"/>
  <c r="S44" i="123"/>
  <c r="S43" i="123"/>
  <c r="S42" i="123"/>
  <c r="S41" i="123"/>
  <c r="S40" i="123"/>
  <c r="S39" i="123"/>
  <c r="S38" i="123"/>
  <c r="S37" i="123"/>
  <c r="S36" i="123"/>
  <c r="S33" i="123"/>
  <c r="S32" i="123"/>
  <c r="S31" i="123"/>
  <c r="S30" i="123"/>
  <c r="S29" i="123"/>
  <c r="S28" i="123"/>
  <c r="S27" i="123"/>
  <c r="S26" i="123"/>
  <c r="S25" i="123"/>
  <c r="S21" i="123"/>
  <c r="S20" i="123"/>
  <c r="S19" i="123"/>
  <c r="S18" i="123"/>
  <c r="S17" i="123"/>
  <c r="S16" i="123"/>
  <c r="S15" i="123"/>
  <c r="S14" i="123"/>
  <c r="S11" i="123"/>
  <c r="S10" i="123"/>
  <c r="S9" i="123"/>
  <c r="S8" i="123"/>
  <c r="S7" i="123"/>
  <c r="S6" i="123"/>
  <c r="S5" i="123"/>
  <c r="S4" i="123"/>
  <c r="Q2" i="123"/>
  <c r="Q1" i="123"/>
  <c r="S125" i="122"/>
  <c r="S124" i="122"/>
  <c r="S123" i="122"/>
  <c r="S122" i="122"/>
  <c r="S121" i="122"/>
  <c r="S120" i="122"/>
  <c r="S119" i="122"/>
  <c r="S118" i="122"/>
  <c r="S117" i="122"/>
  <c r="S116" i="122"/>
  <c r="S115" i="122"/>
  <c r="S114" i="122"/>
  <c r="S113" i="122"/>
  <c r="S112" i="122"/>
  <c r="S111" i="122"/>
  <c r="S108" i="122"/>
  <c r="S107" i="122"/>
  <c r="S106" i="122"/>
  <c r="S105" i="122"/>
  <c r="S104" i="122"/>
  <c r="S103" i="122"/>
  <c r="S102" i="122"/>
  <c r="S101" i="122"/>
  <c r="S100" i="122"/>
  <c r="S99" i="122"/>
  <c r="S98" i="122"/>
  <c r="S97" i="122"/>
  <c r="S96" i="122"/>
  <c r="S95" i="122"/>
  <c r="S94" i="122"/>
  <c r="S90" i="122"/>
  <c r="S89" i="122"/>
  <c r="S88" i="122"/>
  <c r="S87" i="122"/>
  <c r="S86" i="122"/>
  <c r="S85" i="122"/>
  <c r="S84" i="122"/>
  <c r="S83" i="122"/>
  <c r="S82" i="122"/>
  <c r="S79" i="122"/>
  <c r="S78" i="122"/>
  <c r="S77" i="122"/>
  <c r="S76" i="122"/>
  <c r="S75" i="122"/>
  <c r="S74" i="122"/>
  <c r="S73" i="122"/>
  <c r="S72" i="122"/>
  <c r="S71" i="122"/>
  <c r="S67" i="122"/>
  <c r="S66" i="122"/>
  <c r="S65" i="122"/>
  <c r="S64" i="122"/>
  <c r="S63" i="122"/>
  <c r="S62" i="122"/>
  <c r="S61" i="122"/>
  <c r="S60" i="122"/>
  <c r="S59" i="122"/>
  <c r="S56" i="122"/>
  <c r="S55" i="122"/>
  <c r="S54" i="122"/>
  <c r="S53" i="122"/>
  <c r="S52" i="122"/>
  <c r="S51" i="122"/>
  <c r="S50" i="122"/>
  <c r="S49" i="122"/>
  <c r="S48" i="122"/>
  <c r="S44" i="122"/>
  <c r="S43" i="122"/>
  <c r="S42" i="122"/>
  <c r="S41" i="122"/>
  <c r="S40" i="122"/>
  <c r="S39" i="122"/>
  <c r="S38" i="122"/>
  <c r="S37" i="122"/>
  <c r="S36" i="122"/>
  <c r="S33" i="122"/>
  <c r="S32" i="122"/>
  <c r="S31" i="122"/>
  <c r="S30" i="122"/>
  <c r="S29" i="122"/>
  <c r="S28" i="122"/>
  <c r="S27" i="122"/>
  <c r="S26" i="122"/>
  <c r="S25" i="122"/>
  <c r="S21" i="122"/>
  <c r="S20" i="122"/>
  <c r="S19" i="122"/>
  <c r="S18" i="122"/>
  <c r="S17" i="122"/>
  <c r="S16" i="122"/>
  <c r="S15" i="122"/>
  <c r="S14" i="122"/>
  <c r="S11" i="122"/>
  <c r="S10" i="122"/>
  <c r="S9" i="122"/>
  <c r="S8" i="122"/>
  <c r="V7" i="122"/>
  <c r="S7" i="122"/>
  <c r="V6" i="122"/>
  <c r="S6" i="122"/>
  <c r="V5" i="122"/>
  <c r="Q44" i="122" s="1"/>
  <c r="O44" i="122" s="1"/>
  <c r="S5" i="122"/>
  <c r="V4" i="122"/>
  <c r="S4" i="122"/>
  <c r="Q2" i="122"/>
  <c r="Q1" i="122"/>
  <c r="S125" i="121"/>
  <c r="S124" i="121"/>
  <c r="S123" i="121"/>
  <c r="S122" i="121"/>
  <c r="S121" i="121"/>
  <c r="S120" i="121"/>
  <c r="S119" i="121"/>
  <c r="S118" i="121"/>
  <c r="S117" i="121"/>
  <c r="S116" i="121"/>
  <c r="S115" i="121"/>
  <c r="S114" i="121"/>
  <c r="S113" i="121"/>
  <c r="S112" i="121"/>
  <c r="S111" i="121"/>
  <c r="S108" i="121"/>
  <c r="S107" i="121"/>
  <c r="S106" i="121"/>
  <c r="S105" i="121"/>
  <c r="S104" i="121"/>
  <c r="S103" i="121"/>
  <c r="S102" i="121"/>
  <c r="S101" i="121"/>
  <c r="S100" i="121"/>
  <c r="S99" i="121"/>
  <c r="S98" i="121"/>
  <c r="S97" i="121"/>
  <c r="S96" i="121"/>
  <c r="S95" i="121"/>
  <c r="S94" i="121"/>
  <c r="S90" i="121"/>
  <c r="S89" i="121"/>
  <c r="S88" i="121"/>
  <c r="S87" i="121"/>
  <c r="S86" i="121"/>
  <c r="S85" i="121"/>
  <c r="S84" i="121"/>
  <c r="S83" i="121"/>
  <c r="S82" i="121"/>
  <c r="S79" i="121"/>
  <c r="S78" i="121"/>
  <c r="S77" i="121"/>
  <c r="S76" i="121"/>
  <c r="S75" i="121"/>
  <c r="S74" i="121"/>
  <c r="S73" i="121"/>
  <c r="S72" i="121"/>
  <c r="S71" i="121"/>
  <c r="S67" i="121"/>
  <c r="S66" i="121"/>
  <c r="S65" i="121"/>
  <c r="S64" i="121"/>
  <c r="S63" i="121"/>
  <c r="S62" i="121"/>
  <c r="S61" i="121"/>
  <c r="S60" i="121"/>
  <c r="S59" i="121"/>
  <c r="S56" i="121"/>
  <c r="S55" i="121"/>
  <c r="S54" i="121"/>
  <c r="S53" i="121"/>
  <c r="S52" i="121"/>
  <c r="S51" i="121"/>
  <c r="S50" i="121"/>
  <c r="S49" i="121"/>
  <c r="S48" i="121"/>
  <c r="S44" i="121"/>
  <c r="S43" i="121"/>
  <c r="S42" i="121"/>
  <c r="S41" i="121"/>
  <c r="S40" i="121"/>
  <c r="S39" i="121"/>
  <c r="S38" i="121"/>
  <c r="S37" i="121"/>
  <c r="S36" i="121"/>
  <c r="S33" i="121"/>
  <c r="S32" i="121"/>
  <c r="S31" i="121"/>
  <c r="S30" i="121"/>
  <c r="S29" i="121"/>
  <c r="S28" i="121"/>
  <c r="S27" i="121"/>
  <c r="S26" i="121"/>
  <c r="S25" i="121"/>
  <c r="S21" i="121"/>
  <c r="S20" i="121"/>
  <c r="S19" i="121"/>
  <c r="S18" i="121"/>
  <c r="S17" i="121"/>
  <c r="S16" i="121"/>
  <c r="S15" i="121"/>
  <c r="S14" i="121"/>
  <c r="S11" i="121"/>
  <c r="S10" i="121"/>
  <c r="S9" i="121"/>
  <c r="S8" i="121"/>
  <c r="V7" i="121"/>
  <c r="S7" i="121"/>
  <c r="V6" i="121"/>
  <c r="Q97" i="121" s="1"/>
  <c r="S6" i="121"/>
  <c r="V5" i="121"/>
  <c r="Q44" i="121" s="1"/>
  <c r="N44" i="121" s="1"/>
  <c r="S5" i="121"/>
  <c r="Q5" i="121" s="1"/>
  <c r="O5" i="121" s="1"/>
  <c r="V4" i="121"/>
  <c r="S4" i="121"/>
  <c r="Q4" i="121" s="1"/>
  <c r="M4" i="121" s="1"/>
  <c r="Q2" i="121"/>
  <c r="Q1" i="121"/>
  <c r="S125" i="120"/>
  <c r="S124" i="120"/>
  <c r="S123" i="120"/>
  <c r="S122" i="120"/>
  <c r="S121" i="120"/>
  <c r="S120" i="120"/>
  <c r="S119" i="120"/>
  <c r="S118" i="120"/>
  <c r="S117" i="120"/>
  <c r="S116" i="120"/>
  <c r="S115" i="120"/>
  <c r="S114" i="120"/>
  <c r="S113" i="120"/>
  <c r="S112" i="120"/>
  <c r="S111" i="120"/>
  <c r="S108" i="120"/>
  <c r="S107" i="120"/>
  <c r="S106" i="120"/>
  <c r="S105" i="120"/>
  <c r="S104" i="120"/>
  <c r="S103" i="120"/>
  <c r="S102" i="120"/>
  <c r="S101" i="120"/>
  <c r="S100" i="120"/>
  <c r="S99" i="120"/>
  <c r="S98" i="120"/>
  <c r="S97" i="120"/>
  <c r="S96" i="120"/>
  <c r="S95" i="120"/>
  <c r="S94" i="120"/>
  <c r="S90" i="120"/>
  <c r="S89" i="120"/>
  <c r="S88" i="120"/>
  <c r="S87" i="120"/>
  <c r="S86" i="120"/>
  <c r="S85" i="120"/>
  <c r="S84" i="120"/>
  <c r="S83" i="120"/>
  <c r="S82" i="120"/>
  <c r="S79" i="120"/>
  <c r="S78" i="120"/>
  <c r="S77" i="120"/>
  <c r="S76" i="120"/>
  <c r="S75" i="120"/>
  <c r="S74" i="120"/>
  <c r="S73" i="120"/>
  <c r="S72" i="120"/>
  <c r="S71" i="120"/>
  <c r="S67" i="120"/>
  <c r="S66" i="120"/>
  <c r="S65" i="120"/>
  <c r="S64" i="120"/>
  <c r="S63" i="120"/>
  <c r="S62" i="120"/>
  <c r="S61" i="120"/>
  <c r="S60" i="120"/>
  <c r="S59" i="120"/>
  <c r="S56" i="120"/>
  <c r="S55" i="120"/>
  <c r="S54" i="120"/>
  <c r="S53" i="120"/>
  <c r="S52" i="120"/>
  <c r="S51" i="120"/>
  <c r="S50" i="120"/>
  <c r="S49" i="120"/>
  <c r="S48" i="120"/>
  <c r="S44" i="120"/>
  <c r="S43" i="120"/>
  <c r="S42" i="120"/>
  <c r="S41" i="120"/>
  <c r="S40" i="120"/>
  <c r="S39" i="120"/>
  <c r="S38" i="120"/>
  <c r="S37" i="120"/>
  <c r="S36" i="120"/>
  <c r="S33" i="120"/>
  <c r="S32" i="120"/>
  <c r="S31" i="120"/>
  <c r="S30" i="120"/>
  <c r="S29" i="120"/>
  <c r="S28" i="120"/>
  <c r="S27" i="120"/>
  <c r="S26" i="120"/>
  <c r="S25" i="120"/>
  <c r="S21" i="120"/>
  <c r="S20" i="120"/>
  <c r="S19" i="120"/>
  <c r="S18" i="120"/>
  <c r="S17" i="120"/>
  <c r="S16" i="120"/>
  <c r="S15" i="120"/>
  <c r="S14" i="120"/>
  <c r="S11" i="120"/>
  <c r="S10" i="120"/>
  <c r="S9" i="120"/>
  <c r="S8" i="120"/>
  <c r="V7" i="120"/>
  <c r="Q84" i="120" s="1"/>
  <c r="S7" i="120"/>
  <c r="V6" i="120"/>
  <c r="S6" i="120"/>
  <c r="V5" i="120"/>
  <c r="Q44" i="120" s="1"/>
  <c r="S5" i="120"/>
  <c r="V4" i="120"/>
  <c r="S4" i="120"/>
  <c r="Q2" i="120"/>
  <c r="Q1" i="120"/>
  <c r="S125" i="119"/>
  <c r="S124" i="119"/>
  <c r="S123" i="119"/>
  <c r="S122" i="119"/>
  <c r="S121" i="119"/>
  <c r="S120" i="119"/>
  <c r="S119" i="119"/>
  <c r="S118" i="119"/>
  <c r="S117" i="119"/>
  <c r="S116" i="119"/>
  <c r="S115" i="119"/>
  <c r="S114" i="119"/>
  <c r="S113" i="119"/>
  <c r="S112" i="119"/>
  <c r="S111" i="119"/>
  <c r="S108" i="119"/>
  <c r="S107" i="119"/>
  <c r="S106" i="119"/>
  <c r="S105" i="119"/>
  <c r="S104" i="119"/>
  <c r="S103" i="119"/>
  <c r="S102" i="119"/>
  <c r="S101" i="119"/>
  <c r="S100" i="119"/>
  <c r="S99" i="119"/>
  <c r="S98" i="119"/>
  <c r="S97" i="119"/>
  <c r="S96" i="119"/>
  <c r="S95" i="119"/>
  <c r="S94" i="119"/>
  <c r="S90" i="119"/>
  <c r="S89" i="119"/>
  <c r="S88" i="119"/>
  <c r="S87" i="119"/>
  <c r="S86" i="119"/>
  <c r="S85" i="119"/>
  <c r="S84" i="119"/>
  <c r="S83" i="119"/>
  <c r="S82" i="119"/>
  <c r="S79" i="119"/>
  <c r="S78" i="119"/>
  <c r="S77" i="119"/>
  <c r="S76" i="119"/>
  <c r="S75" i="119"/>
  <c r="S74" i="119"/>
  <c r="S73" i="119"/>
  <c r="S72" i="119"/>
  <c r="S71" i="119"/>
  <c r="S67" i="119"/>
  <c r="S66" i="119"/>
  <c r="S65" i="119"/>
  <c r="S64" i="119"/>
  <c r="S63" i="119"/>
  <c r="S62" i="119"/>
  <c r="S61" i="119"/>
  <c r="S60" i="119"/>
  <c r="S59" i="119"/>
  <c r="S56" i="119"/>
  <c r="S55" i="119"/>
  <c r="S54" i="119"/>
  <c r="S53" i="119"/>
  <c r="S52" i="119"/>
  <c r="S51" i="119"/>
  <c r="S50" i="119"/>
  <c r="S49" i="119"/>
  <c r="S48" i="119"/>
  <c r="S44" i="119"/>
  <c r="S43" i="119"/>
  <c r="S42" i="119"/>
  <c r="S41" i="119"/>
  <c r="S40" i="119"/>
  <c r="S39" i="119"/>
  <c r="S38" i="119"/>
  <c r="S37" i="119"/>
  <c r="S36" i="119"/>
  <c r="S33" i="119"/>
  <c r="S32" i="119"/>
  <c r="S31" i="119"/>
  <c r="Q31" i="119" s="1"/>
  <c r="M31" i="119" s="1"/>
  <c r="S30" i="119"/>
  <c r="S29" i="119"/>
  <c r="S28" i="119"/>
  <c r="S27" i="119"/>
  <c r="S26" i="119"/>
  <c r="S25" i="119"/>
  <c r="S21" i="119"/>
  <c r="S20" i="119"/>
  <c r="S19" i="119"/>
  <c r="S18" i="119"/>
  <c r="S17" i="119"/>
  <c r="S16" i="119"/>
  <c r="S15" i="119"/>
  <c r="S14" i="119"/>
  <c r="S11" i="119"/>
  <c r="S10" i="119"/>
  <c r="S9" i="119"/>
  <c r="S8" i="119"/>
  <c r="V7" i="119"/>
  <c r="S7" i="119"/>
  <c r="V6" i="119"/>
  <c r="S6" i="119"/>
  <c r="V5" i="119"/>
  <c r="Q44" i="119" s="1"/>
  <c r="S5" i="119"/>
  <c r="V4" i="119"/>
  <c r="S4" i="119"/>
  <c r="Q2" i="119"/>
  <c r="Q1" i="119"/>
  <c r="M126" i="118"/>
  <c r="L126" i="118"/>
  <c r="J126" i="118"/>
  <c r="M125" i="118"/>
  <c r="L125" i="118"/>
  <c r="J125" i="118"/>
  <c r="M124" i="118"/>
  <c r="L124" i="118"/>
  <c r="J124" i="118"/>
  <c r="M123" i="118"/>
  <c r="L123" i="118"/>
  <c r="J123" i="118"/>
  <c r="M122" i="118"/>
  <c r="L122" i="118"/>
  <c r="J122" i="118"/>
  <c r="M121" i="118"/>
  <c r="L121" i="118"/>
  <c r="J121" i="118"/>
  <c r="M120" i="118"/>
  <c r="L120" i="118"/>
  <c r="J120" i="118"/>
  <c r="M119" i="118"/>
  <c r="L119" i="118"/>
  <c r="J119" i="118"/>
  <c r="M117" i="118"/>
  <c r="L117" i="118"/>
  <c r="J117" i="118"/>
  <c r="M116" i="118"/>
  <c r="L116" i="118"/>
  <c r="J116" i="118"/>
  <c r="M109" i="118"/>
  <c r="L109" i="118"/>
  <c r="J109" i="118"/>
  <c r="M108" i="118"/>
  <c r="L108" i="118"/>
  <c r="J108" i="118"/>
  <c r="M107" i="118"/>
  <c r="L107" i="118"/>
  <c r="J107" i="118"/>
  <c r="M106" i="118"/>
  <c r="L106" i="118"/>
  <c r="J106" i="118"/>
  <c r="M105" i="118"/>
  <c r="L105" i="118"/>
  <c r="J105" i="118"/>
  <c r="M104" i="118"/>
  <c r="L104" i="118"/>
  <c r="J104" i="118"/>
  <c r="M103" i="118"/>
  <c r="L103" i="118"/>
  <c r="J103" i="118"/>
  <c r="M102" i="118"/>
  <c r="L102" i="118"/>
  <c r="J102" i="118"/>
  <c r="M100" i="118"/>
  <c r="L100" i="118"/>
  <c r="J100" i="118"/>
  <c r="M99" i="118"/>
  <c r="L99" i="118"/>
  <c r="J99" i="118"/>
  <c r="M93" i="118"/>
  <c r="L93" i="118"/>
  <c r="J93" i="118"/>
  <c r="M92" i="118"/>
  <c r="L92" i="118"/>
  <c r="J92" i="118"/>
  <c r="M91" i="118"/>
  <c r="L91" i="118"/>
  <c r="J91" i="118"/>
  <c r="M89" i="118"/>
  <c r="L89" i="118"/>
  <c r="J89" i="118"/>
  <c r="M82" i="118"/>
  <c r="L82" i="118"/>
  <c r="J82" i="118"/>
  <c r="M81" i="118"/>
  <c r="L81" i="118"/>
  <c r="J81" i="118"/>
  <c r="M80" i="118"/>
  <c r="L80" i="118"/>
  <c r="J80" i="118"/>
  <c r="M78" i="118"/>
  <c r="L78" i="118"/>
  <c r="J78" i="118"/>
  <c r="M69" i="118"/>
  <c r="L69" i="118"/>
  <c r="J69" i="118"/>
  <c r="M68" i="118"/>
  <c r="L68" i="118"/>
  <c r="J68" i="118"/>
  <c r="M67" i="118"/>
  <c r="L67" i="118"/>
  <c r="J67" i="118"/>
  <c r="M66" i="118"/>
  <c r="L66" i="118"/>
  <c r="J66" i="118"/>
  <c r="M58" i="118"/>
  <c r="L58" i="118"/>
  <c r="J58" i="118"/>
  <c r="M57" i="118"/>
  <c r="L57" i="118"/>
  <c r="J57" i="118"/>
  <c r="M56" i="118"/>
  <c r="L56" i="118"/>
  <c r="J56" i="118"/>
  <c r="M55" i="118"/>
  <c r="L55" i="118"/>
  <c r="J55" i="118"/>
  <c r="M45" i="118"/>
  <c r="L45" i="118"/>
  <c r="J45" i="118"/>
  <c r="M44" i="118"/>
  <c r="L44" i="118"/>
  <c r="J44" i="118"/>
  <c r="M43" i="118"/>
  <c r="L43" i="118"/>
  <c r="J43" i="118"/>
  <c r="M34" i="118"/>
  <c r="L34" i="118"/>
  <c r="J34" i="118"/>
  <c r="M33" i="118"/>
  <c r="L33" i="118"/>
  <c r="J33" i="118"/>
  <c r="M32" i="118"/>
  <c r="L32" i="118"/>
  <c r="J32" i="118"/>
  <c r="M23" i="118"/>
  <c r="L23" i="118"/>
  <c r="J23" i="118"/>
  <c r="M22" i="118"/>
  <c r="L22" i="118"/>
  <c r="J22" i="118"/>
  <c r="M21" i="118"/>
  <c r="L21" i="118"/>
  <c r="J21" i="118"/>
  <c r="M13" i="118"/>
  <c r="L13" i="118"/>
  <c r="J13" i="118"/>
  <c r="M12" i="118"/>
  <c r="L12" i="118"/>
  <c r="J12" i="118"/>
  <c r="M11" i="118"/>
  <c r="L11" i="118"/>
  <c r="J11" i="118"/>
  <c r="P79" i="16"/>
  <c r="P75" i="16"/>
  <c r="P72" i="16"/>
  <c r="P71" i="16"/>
  <c r="P65" i="16"/>
  <c r="P63" i="16"/>
  <c r="P61" i="16"/>
  <c r="P54" i="16"/>
  <c r="P51" i="16"/>
  <c r="P48" i="16"/>
  <c r="P41" i="16"/>
  <c r="P32" i="16"/>
  <c r="P28" i="16"/>
  <c r="P26" i="16"/>
  <c r="P22" i="16"/>
  <c r="P19" i="16"/>
  <c r="P13" i="16"/>
  <c r="P10" i="16"/>
  <c r="P9" i="16"/>
  <c r="P25" i="115"/>
  <c r="O25" i="115"/>
  <c r="N25" i="115"/>
  <c r="P35" i="16" s="1"/>
  <c r="M25" i="115"/>
  <c r="P21" i="16" s="1"/>
  <c r="L25" i="115"/>
  <c r="Q25" i="115" s="1"/>
  <c r="H25" i="115"/>
  <c r="G25" i="115"/>
  <c r="F25" i="115"/>
  <c r="E25" i="115"/>
  <c r="D25" i="115"/>
  <c r="P27" i="16" s="1"/>
  <c r="C25" i="115"/>
  <c r="P15" i="16" s="1"/>
  <c r="P23" i="115"/>
  <c r="P67" i="16" s="1"/>
  <c r="O23" i="115"/>
  <c r="P47" i="16" s="1"/>
  <c r="N23" i="115"/>
  <c r="P34" i="16" s="1"/>
  <c r="M23" i="115"/>
  <c r="L23" i="115"/>
  <c r="G23" i="115"/>
  <c r="F23" i="115"/>
  <c r="P53" i="16" s="1"/>
  <c r="E23" i="115"/>
  <c r="P40" i="16" s="1"/>
  <c r="D23" i="115"/>
  <c r="C23" i="115"/>
  <c r="H23" i="115" s="1"/>
  <c r="P22" i="115"/>
  <c r="P66" i="16" s="1"/>
  <c r="O22" i="115"/>
  <c r="N22" i="115"/>
  <c r="M22" i="115"/>
  <c r="L22" i="115"/>
  <c r="G22" i="115"/>
  <c r="P78" i="16" s="1"/>
  <c r="F22" i="115"/>
  <c r="E22" i="115"/>
  <c r="D22" i="115"/>
  <c r="H22" i="115" s="1"/>
  <c r="C22" i="115"/>
  <c r="P21" i="115"/>
  <c r="O21" i="115"/>
  <c r="N21" i="115"/>
  <c r="M21" i="115"/>
  <c r="L21" i="115"/>
  <c r="G21" i="115"/>
  <c r="P77" i="16" s="1"/>
  <c r="F21" i="115"/>
  <c r="E21" i="115"/>
  <c r="D21" i="115"/>
  <c r="C21" i="115"/>
  <c r="P20" i="115"/>
  <c r="P64" i="16" s="1"/>
  <c r="O20" i="115"/>
  <c r="N20" i="115"/>
  <c r="M20" i="115"/>
  <c r="L20" i="115"/>
  <c r="G20" i="115"/>
  <c r="P76" i="16" s="1"/>
  <c r="F20" i="115"/>
  <c r="E20" i="115"/>
  <c r="D20" i="115"/>
  <c r="C20" i="115"/>
  <c r="P19" i="115"/>
  <c r="O19" i="115"/>
  <c r="N19" i="115"/>
  <c r="M19" i="115"/>
  <c r="L19" i="115"/>
  <c r="G19" i="115"/>
  <c r="F19" i="115"/>
  <c r="E19" i="115"/>
  <c r="D19" i="115"/>
  <c r="C19" i="115"/>
  <c r="H19" i="115" s="1"/>
  <c r="P18" i="115"/>
  <c r="P62" i="16" s="1"/>
  <c r="O18" i="115"/>
  <c r="N18" i="115"/>
  <c r="M18" i="115"/>
  <c r="L18" i="115"/>
  <c r="G18" i="115"/>
  <c r="P74" i="16" s="1"/>
  <c r="F18" i="115"/>
  <c r="E18" i="115"/>
  <c r="D18" i="115"/>
  <c r="C18" i="115"/>
  <c r="P16" i="115"/>
  <c r="O16" i="115"/>
  <c r="P46" i="16" s="1"/>
  <c r="N16" i="115"/>
  <c r="P33" i="16" s="1"/>
  <c r="M16" i="115"/>
  <c r="P20" i="16" s="1"/>
  <c r="L16" i="115"/>
  <c r="G16" i="115"/>
  <c r="P73" i="16" s="1"/>
  <c r="F16" i="115"/>
  <c r="P52" i="16" s="1"/>
  <c r="E16" i="115"/>
  <c r="P39" i="16" s="1"/>
  <c r="D16" i="115"/>
  <c r="C16" i="115"/>
  <c r="P14" i="16" s="1"/>
  <c r="P15" i="115"/>
  <c r="P60" i="16" s="1"/>
  <c r="O15" i="115"/>
  <c r="N15" i="115"/>
  <c r="M15" i="115"/>
  <c r="L15" i="115"/>
  <c r="G15" i="115"/>
  <c r="F15" i="115"/>
  <c r="E15" i="115"/>
  <c r="D15" i="115"/>
  <c r="C15" i="115"/>
  <c r="P13" i="115"/>
  <c r="P59" i="16" s="1"/>
  <c r="O13" i="115"/>
  <c r="N13" i="115"/>
  <c r="M13" i="115"/>
  <c r="L13" i="115"/>
  <c r="G13" i="115"/>
  <c r="F13" i="115"/>
  <c r="E13" i="115"/>
  <c r="D13" i="115"/>
  <c r="C13" i="115"/>
  <c r="P11" i="115"/>
  <c r="P58" i="16" s="1"/>
  <c r="O11" i="115"/>
  <c r="P45" i="16" s="1"/>
  <c r="N11" i="115"/>
  <c r="M11" i="115"/>
  <c r="L11" i="115"/>
  <c r="P8" i="16" s="1"/>
  <c r="G11" i="115"/>
  <c r="P70" i="16" s="1"/>
  <c r="F11" i="115"/>
  <c r="E11" i="115"/>
  <c r="P38" i="16" s="1"/>
  <c r="D11" i="115"/>
  <c r="P25" i="16" s="1"/>
  <c r="C11" i="115"/>
  <c r="Q103" i="119" l="1"/>
  <c r="Q9" i="121"/>
  <c r="Q19" i="121"/>
  <c r="N19" i="121" s="1"/>
  <c r="Q107" i="119"/>
  <c r="Q15" i="120"/>
  <c r="N15" i="120" s="1"/>
  <c r="Q11" i="121"/>
  <c r="V4" i="123"/>
  <c r="Q7" i="121"/>
  <c r="O7" i="121" s="1"/>
  <c r="H18" i="115"/>
  <c r="H11" i="115"/>
  <c r="H15" i="115"/>
  <c r="H20" i="115"/>
  <c r="H16" i="115"/>
  <c r="Q13" i="115"/>
  <c r="Q19" i="115"/>
  <c r="Q23" i="115"/>
  <c r="AK36" i="125"/>
  <c r="L36" i="125" s="1"/>
  <c r="Q40" i="119"/>
  <c r="M40" i="119" s="1"/>
  <c r="Q51" i="119"/>
  <c r="O51" i="119" s="1"/>
  <c r="Q11" i="119"/>
  <c r="N11" i="119" s="1"/>
  <c r="Q6" i="119"/>
  <c r="N6" i="119" s="1"/>
  <c r="Q7" i="122"/>
  <c r="Q20" i="119"/>
  <c r="Q66" i="121"/>
  <c r="O66" i="121" s="1"/>
  <c r="Q32" i="122"/>
  <c r="N32" i="122" s="1"/>
  <c r="Q62" i="122"/>
  <c r="N62" i="122" s="1"/>
  <c r="Q49" i="120"/>
  <c r="N49" i="120" s="1"/>
  <c r="Q25" i="119"/>
  <c r="N25" i="119" s="1"/>
  <c r="Q7" i="119"/>
  <c r="O7" i="119" s="1"/>
  <c r="Q15" i="119"/>
  <c r="O15" i="119" s="1"/>
  <c r="Q33" i="119"/>
  <c r="Q52" i="119"/>
  <c r="O52" i="119" s="1"/>
  <c r="Q72" i="119"/>
  <c r="N72" i="119" s="1"/>
  <c r="Q19" i="122"/>
  <c r="Q30" i="122"/>
  <c r="N30" i="122" s="1"/>
  <c r="V7" i="123"/>
  <c r="Q62" i="119"/>
  <c r="M62" i="119" s="1"/>
  <c r="Q73" i="119"/>
  <c r="M73" i="119" s="1"/>
  <c r="Q79" i="120"/>
  <c r="N79" i="120" s="1"/>
  <c r="Q26" i="121"/>
  <c r="M26" i="121" s="1"/>
  <c r="M44" i="121"/>
  <c r="Q4" i="119"/>
  <c r="Q27" i="119"/>
  <c r="M27" i="119" s="1"/>
  <c r="Q36" i="119"/>
  <c r="O36" i="119" s="1"/>
  <c r="Q54" i="119"/>
  <c r="N54" i="119" s="1"/>
  <c r="Q16" i="121"/>
  <c r="N16" i="121" s="1"/>
  <c r="V8" i="119"/>
  <c r="Q5" i="120"/>
  <c r="M5" i="120" s="1"/>
  <c r="Q10" i="120"/>
  <c r="N10" i="120" s="1"/>
  <c r="Q5" i="119"/>
  <c r="N5" i="119" s="1"/>
  <c r="Q9" i="119"/>
  <c r="M9" i="119" s="1"/>
  <c r="Q19" i="119"/>
  <c r="O19" i="119" s="1"/>
  <c r="Q29" i="119"/>
  <c r="N29" i="119" s="1"/>
  <c r="Q21" i="120"/>
  <c r="N21" i="120" s="1"/>
  <c r="Q36" i="122"/>
  <c r="O36" i="122" s="1"/>
  <c r="Q50" i="119"/>
  <c r="N50" i="119" s="1"/>
  <c r="Q56" i="119"/>
  <c r="M56" i="119" s="1"/>
  <c r="Q43" i="120"/>
  <c r="N43" i="120" s="1"/>
  <c r="Q16" i="122"/>
  <c r="N16" i="122" s="1"/>
  <c r="Q39" i="122"/>
  <c r="N39" i="122" s="1"/>
  <c r="Q48" i="119"/>
  <c r="M48" i="119" s="1"/>
  <c r="Q64" i="119"/>
  <c r="O64" i="119" s="1"/>
  <c r="Q74" i="119"/>
  <c r="M74" i="119" s="1"/>
  <c r="Q118" i="119"/>
  <c r="M118" i="119" s="1"/>
  <c r="Q7" i="120"/>
  <c r="M7" i="120" s="1"/>
  <c r="Q27" i="120"/>
  <c r="M27" i="120" s="1"/>
  <c r="Q17" i="121"/>
  <c r="O17" i="121" s="1"/>
  <c r="Q20" i="122"/>
  <c r="O20" i="122" s="1"/>
  <c r="Q40" i="122"/>
  <c r="O40" i="122" s="1"/>
  <c r="Q66" i="122"/>
  <c r="Q77" i="122"/>
  <c r="M77" i="122" s="1"/>
  <c r="Q55" i="119"/>
  <c r="M55" i="119" s="1"/>
  <c r="Q84" i="119"/>
  <c r="M84" i="119" s="1"/>
  <c r="Q95" i="119"/>
  <c r="N95" i="119" s="1"/>
  <c r="Q17" i="120"/>
  <c r="O17" i="120" s="1"/>
  <c r="N5" i="121"/>
  <c r="Q8" i="121"/>
  <c r="N8" i="121" s="1"/>
  <c r="Q41" i="122"/>
  <c r="Q67" i="122"/>
  <c r="O67" i="122" s="1"/>
  <c r="Q88" i="122"/>
  <c r="O88" i="122" s="1"/>
  <c r="V6" i="123"/>
  <c r="Q4" i="120"/>
  <c r="M4" i="120" s="1"/>
  <c r="Q8" i="120"/>
  <c r="O8" i="120" s="1"/>
  <c r="Q30" i="121"/>
  <c r="N30" i="121" s="1"/>
  <c r="Q98" i="121"/>
  <c r="M98" i="121" s="1"/>
  <c r="Q6" i="122"/>
  <c r="O6" i="122" s="1"/>
  <c r="Q51" i="122"/>
  <c r="O51" i="122" s="1"/>
  <c r="V5" i="123"/>
  <c r="Q16" i="119"/>
  <c r="O16" i="119" s="1"/>
  <c r="Q67" i="119"/>
  <c r="N67" i="119" s="1"/>
  <c r="Q76" i="119"/>
  <c r="M76" i="119" s="1"/>
  <c r="Q113" i="119"/>
  <c r="N113" i="119" s="1"/>
  <c r="Q29" i="120"/>
  <c r="M29" i="120" s="1"/>
  <c r="Q39" i="120"/>
  <c r="O39" i="120" s="1"/>
  <c r="Q59" i="120"/>
  <c r="O59" i="120" s="1"/>
  <c r="Q10" i="121"/>
  <c r="N10" i="121" s="1"/>
  <c r="Q31" i="121"/>
  <c r="O31" i="121" s="1"/>
  <c r="Q15" i="122"/>
  <c r="Q26" i="122"/>
  <c r="M26" i="122" s="1"/>
  <c r="Q43" i="122"/>
  <c r="N43" i="122" s="1"/>
  <c r="Q88" i="119"/>
  <c r="N88" i="119" s="1"/>
  <c r="Q31" i="120"/>
  <c r="N31" i="120" s="1"/>
  <c r="Q118" i="120"/>
  <c r="O118" i="120" s="1"/>
  <c r="Q28" i="122"/>
  <c r="N28" i="122" s="1"/>
  <c r="Q37" i="122"/>
  <c r="O37" i="122" s="1"/>
  <c r="Q63" i="122"/>
  <c r="Q84" i="122"/>
  <c r="O84" i="122" s="1"/>
  <c r="Q99" i="119"/>
  <c r="O99" i="119" s="1"/>
  <c r="Q6" i="120"/>
  <c r="O6" i="120" s="1"/>
  <c r="Q54" i="121"/>
  <c r="Q55" i="122"/>
  <c r="N55" i="122" s="1"/>
  <c r="J95" i="118"/>
  <c r="J96" i="118" s="1"/>
  <c r="J84" i="118"/>
  <c r="J85" i="118" s="1"/>
  <c r="L95" i="118"/>
  <c r="L96" i="118" s="1"/>
  <c r="N6" i="122"/>
  <c r="M6" i="122"/>
  <c r="Q63" i="120"/>
  <c r="O63" i="120" s="1"/>
  <c r="J72" i="118"/>
  <c r="J73" i="118" s="1"/>
  <c r="M11" i="119"/>
  <c r="O11" i="119"/>
  <c r="M4" i="119"/>
  <c r="N4" i="119"/>
  <c r="O4" i="119"/>
  <c r="O73" i="119"/>
  <c r="M5" i="121"/>
  <c r="Q89" i="122"/>
  <c r="O89" i="122" s="1"/>
  <c r="O5" i="119"/>
  <c r="L84" i="118"/>
  <c r="L85" i="118" s="1"/>
  <c r="M84" i="118"/>
  <c r="M85" i="118" s="1"/>
  <c r="L26" i="118"/>
  <c r="L27" i="118" s="1"/>
  <c r="J130" i="118"/>
  <c r="J131" i="118" s="1"/>
  <c r="L130" i="118"/>
  <c r="L131" i="118" s="1"/>
  <c r="M130" i="118"/>
  <c r="M131" i="118" s="1"/>
  <c r="J26" i="118"/>
  <c r="J27" i="118" s="1"/>
  <c r="J61" i="118"/>
  <c r="J62" i="118" s="1"/>
  <c r="O40" i="119"/>
  <c r="N40" i="119"/>
  <c r="L16" i="118"/>
  <c r="L17" i="118" s="1"/>
  <c r="M6" i="119"/>
  <c r="N15" i="119"/>
  <c r="M16" i="118"/>
  <c r="M17" i="118" s="1"/>
  <c r="O31" i="119"/>
  <c r="N31" i="119"/>
  <c r="M64" i="119"/>
  <c r="O16" i="121"/>
  <c r="M16" i="121"/>
  <c r="L61" i="118"/>
  <c r="L62" i="118" s="1"/>
  <c r="L113" i="118"/>
  <c r="L114" i="118" s="1"/>
  <c r="M95" i="118"/>
  <c r="M96" i="118" s="1"/>
  <c r="O20" i="119"/>
  <c r="N20" i="119"/>
  <c r="M20" i="119"/>
  <c r="M7" i="119"/>
  <c r="O33" i="119"/>
  <c r="N33" i="119"/>
  <c r="M33" i="119"/>
  <c r="O67" i="119"/>
  <c r="M26" i="118"/>
  <c r="M27" i="118" s="1"/>
  <c r="O25" i="119"/>
  <c r="M25" i="119"/>
  <c r="Q33" i="120"/>
  <c r="V8" i="120"/>
  <c r="L72" i="118"/>
  <c r="L73" i="118" s="1"/>
  <c r="O44" i="119"/>
  <c r="N44" i="119"/>
  <c r="M44" i="119"/>
  <c r="P44" i="119" s="1"/>
  <c r="M31" i="120"/>
  <c r="N84" i="120"/>
  <c r="O84" i="120"/>
  <c r="M84" i="120"/>
  <c r="M61" i="118"/>
  <c r="M62" i="118" s="1"/>
  <c r="M72" i="118"/>
  <c r="M73" i="118" s="1"/>
  <c r="Q123" i="119"/>
  <c r="Q119" i="119"/>
  <c r="Q115" i="119"/>
  <c r="Q111" i="119"/>
  <c r="Q90" i="119"/>
  <c r="Q86" i="119"/>
  <c r="Q82" i="119"/>
  <c r="Q124" i="119"/>
  <c r="Q120" i="119"/>
  <c r="Q116" i="119"/>
  <c r="Q112" i="119"/>
  <c r="Q65" i="119"/>
  <c r="Q61" i="119"/>
  <c r="O95" i="119"/>
  <c r="O103" i="119"/>
  <c r="N103" i="119"/>
  <c r="M103" i="119"/>
  <c r="O107" i="119"/>
  <c r="N107" i="119"/>
  <c r="M107" i="119"/>
  <c r="Q125" i="119"/>
  <c r="O21" i="120"/>
  <c r="M21" i="120"/>
  <c r="Q108" i="119"/>
  <c r="Q104" i="119"/>
  <c r="Q100" i="119"/>
  <c r="Q96" i="119"/>
  <c r="Q79" i="119"/>
  <c r="Q75" i="119"/>
  <c r="Q71" i="119"/>
  <c r="Q101" i="119"/>
  <c r="Q97" i="119"/>
  <c r="Q28" i="119"/>
  <c r="Q32" i="119"/>
  <c r="Q39" i="119"/>
  <c r="Q43" i="119"/>
  <c r="Q85" i="119"/>
  <c r="N39" i="120"/>
  <c r="O49" i="120"/>
  <c r="M32" i="122"/>
  <c r="O32" i="122"/>
  <c r="M113" i="118"/>
  <c r="M114" i="118" s="1"/>
  <c r="Q14" i="119"/>
  <c r="Q18" i="119"/>
  <c r="Q114" i="119"/>
  <c r="O15" i="120"/>
  <c r="J113" i="118"/>
  <c r="J114" i="118" s="1"/>
  <c r="Q10" i="119"/>
  <c r="Q17" i="119"/>
  <c r="Q21" i="119"/>
  <c r="O48" i="119"/>
  <c r="Q49" i="119"/>
  <c r="Q53" i="119"/>
  <c r="Q60" i="119"/>
  <c r="Q66" i="119"/>
  <c r="Q77" i="119"/>
  <c r="Q83" i="119"/>
  <c r="Q89" i="119"/>
  <c r="Q121" i="119"/>
  <c r="Q19" i="120"/>
  <c r="Q38" i="119"/>
  <c r="Q42" i="119"/>
  <c r="Q63" i="119"/>
  <c r="Q87" i="119"/>
  <c r="N27" i="120"/>
  <c r="N11" i="121"/>
  <c r="O11" i="121"/>
  <c r="M11" i="121"/>
  <c r="Q59" i="119"/>
  <c r="Q117" i="119"/>
  <c r="M43" i="120"/>
  <c r="N7" i="121"/>
  <c r="Q8" i="119"/>
  <c r="Q26" i="119"/>
  <c r="Q30" i="119"/>
  <c r="Q37" i="119"/>
  <c r="Q41" i="119"/>
  <c r="N73" i="119"/>
  <c r="Q78" i="119"/>
  <c r="Q94" i="119"/>
  <c r="Q98" i="119"/>
  <c r="Q102" i="119"/>
  <c r="Q106" i="119"/>
  <c r="O44" i="120"/>
  <c r="N44" i="120"/>
  <c r="M44" i="120"/>
  <c r="Q124" i="120"/>
  <c r="Q120" i="120"/>
  <c r="Q115" i="120"/>
  <c r="Q111" i="120"/>
  <c r="Q64" i="120"/>
  <c r="Q60" i="120"/>
  <c r="Q125" i="120"/>
  <c r="Q119" i="120"/>
  <c r="Q116" i="120"/>
  <c r="Q112" i="120"/>
  <c r="Q65" i="120"/>
  <c r="Q61" i="120"/>
  <c r="Q117" i="120"/>
  <c r="Q113" i="120"/>
  <c r="Q66" i="120"/>
  <c r="Q62" i="120"/>
  <c r="Q89" i="120"/>
  <c r="Q82" i="120"/>
  <c r="Q41" i="120"/>
  <c r="Q37" i="120"/>
  <c r="Q87" i="120"/>
  <c r="Q20" i="120"/>
  <c r="Q16" i="120"/>
  <c r="Q85" i="120"/>
  <c r="Q123" i="120"/>
  <c r="Q114" i="120"/>
  <c r="Q90" i="120"/>
  <c r="Q88" i="120"/>
  <c r="Q67" i="120"/>
  <c r="Q18" i="120"/>
  <c r="Q14" i="120"/>
  <c r="Q121" i="120"/>
  <c r="Q86" i="120"/>
  <c r="Q83" i="120"/>
  <c r="Q42" i="120"/>
  <c r="Q40" i="120"/>
  <c r="Q38" i="120"/>
  <c r="Q36" i="120"/>
  <c r="Q108" i="120"/>
  <c r="Q104" i="120"/>
  <c r="Q100" i="120"/>
  <c r="Q96" i="120"/>
  <c r="Q101" i="120"/>
  <c r="Q97" i="120"/>
  <c r="Q106" i="120"/>
  <c r="Q102" i="120"/>
  <c r="Q98" i="120"/>
  <c r="Q94" i="120"/>
  <c r="Q76" i="120"/>
  <c r="Q30" i="120"/>
  <c r="Q26" i="120"/>
  <c r="Q74" i="120"/>
  <c r="Q56" i="120"/>
  <c r="Q52" i="120"/>
  <c r="Q48" i="120"/>
  <c r="Q9" i="120"/>
  <c r="Q95" i="120"/>
  <c r="Q72" i="120"/>
  <c r="Q103" i="120"/>
  <c r="Q107" i="120"/>
  <c r="Q75" i="120"/>
  <c r="Q73" i="120"/>
  <c r="Q54" i="120"/>
  <c r="Q50" i="120"/>
  <c r="Q11" i="120"/>
  <c r="Q28" i="120"/>
  <c r="Q77" i="120"/>
  <c r="Q32" i="120"/>
  <c r="Q55" i="120"/>
  <c r="Q71" i="120"/>
  <c r="M66" i="121"/>
  <c r="Q78" i="120"/>
  <c r="Q25" i="120"/>
  <c r="Q51" i="120"/>
  <c r="Q53" i="120"/>
  <c r="Q99" i="120"/>
  <c r="M54" i="121"/>
  <c r="O54" i="121"/>
  <c r="N54" i="121"/>
  <c r="O9" i="121"/>
  <c r="N9" i="121"/>
  <c r="M9" i="121"/>
  <c r="O4" i="121"/>
  <c r="N4" i="121"/>
  <c r="Q118" i="121"/>
  <c r="Q114" i="121"/>
  <c r="Q67" i="121"/>
  <c r="Q63" i="121"/>
  <c r="Q59" i="121"/>
  <c r="Q123" i="121"/>
  <c r="Q119" i="121"/>
  <c r="Q115" i="121"/>
  <c r="Q111" i="121"/>
  <c r="Q64" i="121"/>
  <c r="Q60" i="121"/>
  <c r="Q116" i="121"/>
  <c r="Q87" i="121"/>
  <c r="Q84" i="121"/>
  <c r="Q43" i="121"/>
  <c r="Q39" i="121"/>
  <c r="Q125" i="121"/>
  <c r="Q90" i="121"/>
  <c r="Q82" i="121"/>
  <c r="Q61" i="121"/>
  <c r="Q120" i="121"/>
  <c r="Q40" i="121"/>
  <c r="Q36" i="121"/>
  <c r="Q117" i="121"/>
  <c r="Q86" i="121"/>
  <c r="Q62" i="121"/>
  <c r="Q42" i="121"/>
  <c r="Q124" i="121"/>
  <c r="Q113" i="121"/>
  <c r="Q89" i="121"/>
  <c r="Q65" i="121"/>
  <c r="Q14" i="121"/>
  <c r="Q41" i="121"/>
  <c r="Q88" i="121"/>
  <c r="Q85" i="121"/>
  <c r="Q18" i="121"/>
  <c r="Q15" i="121"/>
  <c r="Q21" i="121"/>
  <c r="Q37" i="121"/>
  <c r="M97" i="121"/>
  <c r="O97" i="121"/>
  <c r="N97" i="121"/>
  <c r="M17" i="121"/>
  <c r="O19" i="121"/>
  <c r="M19" i="121"/>
  <c r="Q112" i="121"/>
  <c r="M8" i="121"/>
  <c r="Q38" i="121"/>
  <c r="Q83" i="121"/>
  <c r="O7" i="122"/>
  <c r="M7" i="122"/>
  <c r="N7" i="122"/>
  <c r="Q20" i="121"/>
  <c r="O15" i="122"/>
  <c r="M15" i="122"/>
  <c r="N15" i="122"/>
  <c r="Q121" i="121"/>
  <c r="Q107" i="121"/>
  <c r="Q103" i="121"/>
  <c r="Q99" i="121"/>
  <c r="Q95" i="121"/>
  <c r="Q56" i="121"/>
  <c r="Q52" i="121"/>
  <c r="Q48" i="121"/>
  <c r="Q108" i="121"/>
  <c r="Q104" i="121"/>
  <c r="Q100" i="121"/>
  <c r="Q96" i="121"/>
  <c r="Q53" i="121"/>
  <c r="Q49" i="121"/>
  <c r="Q102" i="121"/>
  <c r="Q74" i="121"/>
  <c r="Q32" i="121"/>
  <c r="Q28" i="121"/>
  <c r="Q94" i="121"/>
  <c r="Q77" i="121"/>
  <c r="Q72" i="121"/>
  <c r="Q50" i="121"/>
  <c r="Q106" i="121"/>
  <c r="Q75" i="121"/>
  <c r="Q29" i="121"/>
  <c r="Q25" i="121"/>
  <c r="Q6" i="121"/>
  <c r="Q76" i="121"/>
  <c r="Q73" i="121"/>
  <c r="Q51" i="121"/>
  <c r="Q27" i="121"/>
  <c r="Q55" i="121"/>
  <c r="Q71" i="121"/>
  <c r="Q79" i="121"/>
  <c r="Q101" i="121"/>
  <c r="O19" i="122"/>
  <c r="N19" i="122"/>
  <c r="M19" i="122"/>
  <c r="O30" i="122"/>
  <c r="M30" i="122"/>
  <c r="O98" i="121"/>
  <c r="N98" i="121"/>
  <c r="N26" i="122"/>
  <c r="O44" i="121"/>
  <c r="P44" i="121" s="1"/>
  <c r="Q33" i="121"/>
  <c r="V8" i="121"/>
  <c r="O41" i="122"/>
  <c r="N41" i="122"/>
  <c r="M41" i="122"/>
  <c r="Q78" i="121"/>
  <c r="O16" i="122"/>
  <c r="M16" i="122"/>
  <c r="O77" i="122"/>
  <c r="N77" i="122"/>
  <c r="V8" i="122"/>
  <c r="Q33" i="122"/>
  <c r="O43" i="122"/>
  <c r="N89" i="122"/>
  <c r="M89" i="122"/>
  <c r="O66" i="122"/>
  <c r="N66" i="122"/>
  <c r="M66" i="122"/>
  <c r="N44" i="122"/>
  <c r="M44" i="122"/>
  <c r="O63" i="122"/>
  <c r="N63" i="122"/>
  <c r="M63" i="122"/>
  <c r="Q108" i="122"/>
  <c r="Q104" i="122"/>
  <c r="Q100" i="122"/>
  <c r="Q96" i="122"/>
  <c r="Q78" i="122"/>
  <c r="Q74" i="122"/>
  <c r="Q56" i="122"/>
  <c r="Q52" i="122"/>
  <c r="Q48" i="122"/>
  <c r="Q9" i="122"/>
  <c r="Q31" i="122"/>
  <c r="Q27" i="122"/>
  <c r="Q101" i="122"/>
  <c r="Q97" i="122"/>
  <c r="Q79" i="122"/>
  <c r="Q75" i="122"/>
  <c r="Q71" i="122"/>
  <c r="Q53" i="122"/>
  <c r="Q49" i="122"/>
  <c r="Q10" i="122"/>
  <c r="Q106" i="122"/>
  <c r="Q102" i="122"/>
  <c r="Q98" i="122"/>
  <c r="Q94" i="122"/>
  <c r="Q76" i="122"/>
  <c r="Q72" i="122"/>
  <c r="Q54" i="122"/>
  <c r="Q50" i="122"/>
  <c r="Q11" i="122"/>
  <c r="Q5" i="122"/>
  <c r="Q107" i="122"/>
  <c r="Q103" i="122"/>
  <c r="Q99" i="122"/>
  <c r="Q95" i="122"/>
  <c r="Q8" i="122"/>
  <c r="N40" i="122"/>
  <c r="M40" i="122"/>
  <c r="Q29" i="122"/>
  <c r="M36" i="122"/>
  <c r="Q4" i="122"/>
  <c r="Q25" i="122"/>
  <c r="Q73" i="122"/>
  <c r="N84" i="122"/>
  <c r="M84" i="122"/>
  <c r="Q114" i="122"/>
  <c r="Q118" i="122"/>
  <c r="Q14" i="122"/>
  <c r="Q18" i="122"/>
  <c r="Q83" i="122"/>
  <c r="Q113" i="122"/>
  <c r="Q117" i="122"/>
  <c r="Q121" i="122"/>
  <c r="Q125" i="122"/>
  <c r="Q61" i="122"/>
  <c r="Q65" i="122"/>
  <c r="Q87" i="122"/>
  <c r="Q17" i="122"/>
  <c r="Q21" i="122"/>
  <c r="Q60" i="122"/>
  <c r="Q82" i="122"/>
  <c r="Q112" i="122"/>
  <c r="Q116" i="122"/>
  <c r="Q120" i="122"/>
  <c r="Q124" i="122"/>
  <c r="Q38" i="122"/>
  <c r="Q42" i="122"/>
  <c r="Q64" i="122"/>
  <c r="Q86" i="122"/>
  <c r="Q90" i="122"/>
  <c r="Q59" i="122"/>
  <c r="Q111" i="122"/>
  <c r="Q115" i="122"/>
  <c r="Q119" i="122"/>
  <c r="Q123" i="122"/>
  <c r="Q85" i="122"/>
  <c r="J16" i="118"/>
  <c r="J17" i="118" s="1"/>
  <c r="Q15" i="115"/>
  <c r="Q20" i="115"/>
  <c r="Q16" i="115"/>
  <c r="Q21" i="115"/>
  <c r="Q18" i="115"/>
  <c r="Q22" i="115"/>
  <c r="Q11" i="115"/>
  <c r="H21" i="115"/>
  <c r="H13" i="115"/>
  <c r="M7" i="121" l="1"/>
  <c r="P7" i="121" s="1"/>
  <c r="M63" i="120"/>
  <c r="N66" i="121"/>
  <c r="N118" i="119"/>
  <c r="N7" i="119"/>
  <c r="O6" i="119"/>
  <c r="N29" i="120"/>
  <c r="O8" i="121"/>
  <c r="P8" i="121" s="1"/>
  <c r="O29" i="120"/>
  <c r="P29" i="120" s="1"/>
  <c r="O62" i="119"/>
  <c r="M15" i="120"/>
  <c r="N55" i="119"/>
  <c r="P55" i="119" s="1"/>
  <c r="P44" i="122"/>
  <c r="O27" i="120"/>
  <c r="O10" i="120"/>
  <c r="M67" i="119"/>
  <c r="P67" i="119" s="1"/>
  <c r="M51" i="119"/>
  <c r="O27" i="119"/>
  <c r="N62" i="119"/>
  <c r="P62" i="119" s="1"/>
  <c r="O54" i="119"/>
  <c r="O88" i="119"/>
  <c r="N51" i="119"/>
  <c r="N27" i="119"/>
  <c r="N9" i="119"/>
  <c r="P9" i="119" s="1"/>
  <c r="M5" i="119"/>
  <c r="P5" i="119" s="1"/>
  <c r="O56" i="119"/>
  <c r="O9" i="119"/>
  <c r="O76" i="119"/>
  <c r="N84" i="119"/>
  <c r="O118" i="119"/>
  <c r="O62" i="122"/>
  <c r="O74" i="119"/>
  <c r="N36" i="122"/>
  <c r="N118" i="120"/>
  <c r="O55" i="122"/>
  <c r="Q12" i="121"/>
  <c r="Q13" i="121" s="1"/>
  <c r="M62" i="122"/>
  <c r="P62" i="122" s="1"/>
  <c r="O55" i="119"/>
  <c r="M52" i="119"/>
  <c r="N74" i="119"/>
  <c r="P74" i="119" s="1"/>
  <c r="J97" i="118"/>
  <c r="V8" i="123"/>
  <c r="N130" i="124" s="1"/>
  <c r="N37" i="122"/>
  <c r="N7" i="120"/>
  <c r="N7" i="123" s="1"/>
  <c r="N88" i="122"/>
  <c r="M51" i="122"/>
  <c r="N4" i="120"/>
  <c r="M118" i="120"/>
  <c r="P118" i="120" s="1"/>
  <c r="M54" i="119"/>
  <c r="P54" i="119" s="1"/>
  <c r="M59" i="120"/>
  <c r="O7" i="120"/>
  <c r="O7" i="123" s="1"/>
  <c r="N6" i="120"/>
  <c r="O10" i="121"/>
  <c r="O72" i="119"/>
  <c r="O4" i="120"/>
  <c r="N16" i="119"/>
  <c r="P16" i="119" s="1"/>
  <c r="M16" i="119"/>
  <c r="M67" i="122"/>
  <c r="N31" i="121"/>
  <c r="M50" i="119"/>
  <c r="N59" i="120"/>
  <c r="M10" i="121"/>
  <c r="N56" i="119"/>
  <c r="M79" i="120"/>
  <c r="P79" i="120" s="1"/>
  <c r="O5" i="120"/>
  <c r="M37" i="122"/>
  <c r="N51" i="122"/>
  <c r="P51" i="122" s="1"/>
  <c r="M28" i="122"/>
  <c r="M31" i="121"/>
  <c r="N26" i="121"/>
  <c r="N52" i="119"/>
  <c r="M95" i="119"/>
  <c r="P95" i="119" s="1"/>
  <c r="O79" i="120"/>
  <c r="M88" i="119"/>
  <c r="M29" i="119"/>
  <c r="N5" i="120"/>
  <c r="O43" i="120"/>
  <c r="P43" i="120" s="1"/>
  <c r="P5" i="121"/>
  <c r="M88" i="122"/>
  <c r="N67" i="122"/>
  <c r="M55" i="122"/>
  <c r="O26" i="121"/>
  <c r="M49" i="120"/>
  <c r="P49" i="120" s="1"/>
  <c r="N48" i="119"/>
  <c r="M10" i="120"/>
  <c r="P10" i="120" s="1"/>
  <c r="O84" i="119"/>
  <c r="O29" i="119"/>
  <c r="O50" i="119"/>
  <c r="P40" i="122"/>
  <c r="M72" i="119"/>
  <c r="P72" i="119" s="1"/>
  <c r="O26" i="122"/>
  <c r="N17" i="121"/>
  <c r="M30" i="121"/>
  <c r="M99" i="119"/>
  <c r="M39" i="120"/>
  <c r="N17" i="120"/>
  <c r="P17" i="120" s="1"/>
  <c r="O113" i="119"/>
  <c r="M8" i="120"/>
  <c r="M19" i="119"/>
  <c r="O39" i="122"/>
  <c r="N99" i="119"/>
  <c r="P99" i="119" s="1"/>
  <c r="M17" i="120"/>
  <c r="M113" i="119"/>
  <c r="N8" i="120"/>
  <c r="N19" i="119"/>
  <c r="O28" i="122"/>
  <c r="M39" i="122"/>
  <c r="O31" i="120"/>
  <c r="P31" i="120" s="1"/>
  <c r="N20" i="122"/>
  <c r="N64" i="119"/>
  <c r="M15" i="119"/>
  <c r="P15" i="119" s="1"/>
  <c r="M36" i="119"/>
  <c r="P36" i="119" s="1"/>
  <c r="O30" i="121"/>
  <c r="M20" i="122"/>
  <c r="N76" i="119"/>
  <c r="N36" i="119"/>
  <c r="M43" i="122"/>
  <c r="P43" i="122" s="1"/>
  <c r="P15" i="122"/>
  <c r="M6" i="120"/>
  <c r="N44" i="123"/>
  <c r="N63" i="120"/>
  <c r="P63" i="120" s="1"/>
  <c r="P26" i="122"/>
  <c r="P17" i="121"/>
  <c r="P44" i="120"/>
  <c r="O44" i="123"/>
  <c r="P6" i="122"/>
  <c r="P33" i="119"/>
  <c r="P19" i="122"/>
  <c r="P44" i="123"/>
  <c r="P9" i="121"/>
  <c r="P15" i="120"/>
  <c r="M44" i="123"/>
  <c r="M28" i="118"/>
  <c r="L97" i="118"/>
  <c r="L28" i="118"/>
  <c r="M132" i="118"/>
  <c r="J74" i="118"/>
  <c r="J28" i="118"/>
  <c r="M74" i="118"/>
  <c r="L132" i="118"/>
  <c r="P66" i="122"/>
  <c r="P54" i="121"/>
  <c r="P66" i="121"/>
  <c r="P4" i="120"/>
  <c r="P56" i="119"/>
  <c r="P21" i="120"/>
  <c r="P4" i="119"/>
  <c r="P64" i="119"/>
  <c r="P16" i="122"/>
  <c r="P77" i="122"/>
  <c r="P107" i="119"/>
  <c r="P11" i="119"/>
  <c r="P7" i="119"/>
  <c r="M7" i="123"/>
  <c r="P41" i="122"/>
  <c r="P32" i="122"/>
  <c r="P51" i="119"/>
  <c r="P89" i="122"/>
  <c r="P31" i="119"/>
  <c r="P7" i="122"/>
  <c r="P103" i="119"/>
  <c r="P20" i="119"/>
  <c r="M97" i="118"/>
  <c r="J132" i="118"/>
  <c r="P39" i="120"/>
  <c r="P84" i="120"/>
  <c r="P19" i="121"/>
  <c r="P98" i="121"/>
  <c r="P84" i="122"/>
  <c r="P27" i="120"/>
  <c r="P25" i="119"/>
  <c r="P27" i="119"/>
  <c r="P73" i="119"/>
  <c r="P26" i="121"/>
  <c r="P40" i="119"/>
  <c r="P63" i="122"/>
  <c r="Q45" i="122"/>
  <c r="Q46" i="122" s="1"/>
  <c r="Q45" i="119"/>
  <c r="Q46" i="119" s="1"/>
  <c r="P11" i="121"/>
  <c r="P52" i="119"/>
  <c r="P30" i="122"/>
  <c r="Q57" i="119"/>
  <c r="Q58" i="119" s="1"/>
  <c r="P84" i="119"/>
  <c r="P16" i="121"/>
  <c r="L74" i="118"/>
  <c r="O120" i="122"/>
  <c r="M120" i="122"/>
  <c r="N120" i="122"/>
  <c r="M14" i="122"/>
  <c r="Q22" i="122"/>
  <c r="O14" i="122"/>
  <c r="N14" i="122"/>
  <c r="N102" i="122"/>
  <c r="M102" i="122"/>
  <c r="O102" i="122"/>
  <c r="O56" i="122"/>
  <c r="N56" i="122"/>
  <c r="M56" i="122"/>
  <c r="O74" i="121"/>
  <c r="N74" i="121"/>
  <c r="M74" i="121"/>
  <c r="O42" i="121"/>
  <c r="N42" i="121"/>
  <c r="M42" i="121"/>
  <c r="M82" i="121"/>
  <c r="Q91" i="121"/>
  <c r="Q92" i="121" s="1"/>
  <c r="O82" i="121"/>
  <c r="N82" i="121"/>
  <c r="O67" i="121"/>
  <c r="N67" i="121"/>
  <c r="M67" i="121"/>
  <c r="M52" i="120"/>
  <c r="N52" i="120"/>
  <c r="O52" i="120"/>
  <c r="N86" i="120"/>
  <c r="M86" i="120"/>
  <c r="O86" i="120"/>
  <c r="O123" i="120"/>
  <c r="M123" i="120"/>
  <c r="N123" i="120"/>
  <c r="O116" i="120"/>
  <c r="N116" i="120"/>
  <c r="M116" i="120"/>
  <c r="M102" i="119"/>
  <c r="O102" i="119"/>
  <c r="N102" i="119"/>
  <c r="N87" i="119"/>
  <c r="O87" i="119"/>
  <c r="M87" i="119"/>
  <c r="O21" i="119"/>
  <c r="M21" i="119"/>
  <c r="N21" i="119"/>
  <c r="M101" i="119"/>
  <c r="N101" i="119"/>
  <c r="O101" i="119"/>
  <c r="O115" i="119"/>
  <c r="N115" i="119"/>
  <c r="M115" i="119"/>
  <c r="O116" i="122"/>
  <c r="M116" i="122"/>
  <c r="N116" i="122"/>
  <c r="M61" i="122"/>
  <c r="O61" i="122"/>
  <c r="N61" i="122"/>
  <c r="O4" i="122"/>
  <c r="O4" i="123" s="1"/>
  <c r="Q12" i="122"/>
  <c r="N4" i="122"/>
  <c r="N4" i="123" s="1"/>
  <c r="M4" i="122"/>
  <c r="M11" i="122"/>
  <c r="N11" i="122"/>
  <c r="O11" i="122"/>
  <c r="N106" i="122"/>
  <c r="M106" i="122"/>
  <c r="O106" i="122"/>
  <c r="O74" i="122"/>
  <c r="N74" i="122"/>
  <c r="M74" i="122"/>
  <c r="O102" i="121"/>
  <c r="N102" i="121"/>
  <c r="M102" i="121"/>
  <c r="N88" i="121"/>
  <c r="O88" i="121"/>
  <c r="M88" i="121"/>
  <c r="O64" i="121"/>
  <c r="N64" i="121"/>
  <c r="M64" i="121"/>
  <c r="O114" i="121"/>
  <c r="N114" i="121"/>
  <c r="M114" i="121"/>
  <c r="N75" i="120"/>
  <c r="O75" i="120"/>
  <c r="M75" i="120"/>
  <c r="N85" i="120"/>
  <c r="M85" i="120"/>
  <c r="O85" i="120"/>
  <c r="M62" i="120"/>
  <c r="O62" i="120"/>
  <c r="N62" i="120"/>
  <c r="N124" i="120"/>
  <c r="O124" i="120"/>
  <c r="M124" i="120"/>
  <c r="O8" i="119"/>
  <c r="N8" i="119"/>
  <c r="M8" i="119"/>
  <c r="Q68" i="119"/>
  <c r="Q69" i="119" s="1"/>
  <c r="Q70" i="119" s="1"/>
  <c r="O59" i="119"/>
  <c r="N59" i="119"/>
  <c r="M59" i="119"/>
  <c r="N77" i="119"/>
  <c r="M77" i="119"/>
  <c r="O77" i="119"/>
  <c r="O119" i="119"/>
  <c r="M119" i="119"/>
  <c r="N119" i="119"/>
  <c r="O112" i="122"/>
  <c r="M112" i="122"/>
  <c r="N112" i="122"/>
  <c r="N125" i="122"/>
  <c r="M125" i="122"/>
  <c r="O125" i="122"/>
  <c r="P36" i="122"/>
  <c r="M50" i="122"/>
  <c r="O50" i="122"/>
  <c r="N50" i="122"/>
  <c r="O10" i="122"/>
  <c r="N10" i="122"/>
  <c r="M10" i="122"/>
  <c r="O78" i="122"/>
  <c r="N78" i="122"/>
  <c r="M78" i="122"/>
  <c r="M50" i="121"/>
  <c r="O50" i="121"/>
  <c r="N50" i="121"/>
  <c r="O56" i="121"/>
  <c r="N56" i="121"/>
  <c r="M56" i="121"/>
  <c r="M41" i="121"/>
  <c r="O41" i="121"/>
  <c r="N41" i="121"/>
  <c r="O125" i="121"/>
  <c r="N125" i="121"/>
  <c r="M125" i="121"/>
  <c r="O118" i="121"/>
  <c r="N118" i="121"/>
  <c r="M118" i="121"/>
  <c r="N74" i="120"/>
  <c r="O74" i="120"/>
  <c r="O74" i="123" s="1"/>
  <c r="M74" i="120"/>
  <c r="N14" i="120"/>
  <c r="M14" i="120"/>
  <c r="Q22" i="120"/>
  <c r="O14" i="120"/>
  <c r="M66" i="120"/>
  <c r="O66" i="120"/>
  <c r="N66" i="120"/>
  <c r="M94" i="119"/>
  <c r="O94" i="119"/>
  <c r="N94" i="119"/>
  <c r="O10" i="119"/>
  <c r="M10" i="119"/>
  <c r="N10" i="119"/>
  <c r="O120" i="119"/>
  <c r="N120" i="119"/>
  <c r="M120" i="119"/>
  <c r="O86" i="122"/>
  <c r="N86" i="122"/>
  <c r="M86" i="122"/>
  <c r="Q91" i="122"/>
  <c r="Q92" i="122" s="1"/>
  <c r="O82" i="122"/>
  <c r="M82" i="122"/>
  <c r="N82" i="122"/>
  <c r="N121" i="122"/>
  <c r="M121" i="122"/>
  <c r="O121" i="122"/>
  <c r="O114" i="122"/>
  <c r="N114" i="122"/>
  <c r="M114" i="122"/>
  <c r="N8" i="122"/>
  <c r="O8" i="122"/>
  <c r="M8" i="122"/>
  <c r="M54" i="122"/>
  <c r="O54" i="122"/>
  <c r="N54" i="122"/>
  <c r="O49" i="122"/>
  <c r="N49" i="122"/>
  <c r="M49" i="122"/>
  <c r="N27" i="122"/>
  <c r="O27" i="122"/>
  <c r="M27" i="122"/>
  <c r="O96" i="122"/>
  <c r="N96" i="122"/>
  <c r="M96" i="122"/>
  <c r="N76" i="121"/>
  <c r="M76" i="121"/>
  <c r="O76" i="121"/>
  <c r="N72" i="121"/>
  <c r="M72" i="121"/>
  <c r="O72" i="121"/>
  <c r="O53" i="121"/>
  <c r="N53" i="121"/>
  <c r="M53" i="121"/>
  <c r="O95" i="121"/>
  <c r="N95" i="121"/>
  <c r="M95" i="121"/>
  <c r="N83" i="121"/>
  <c r="O83" i="121"/>
  <c r="M83" i="121"/>
  <c r="M112" i="121"/>
  <c r="O112" i="121"/>
  <c r="N112" i="121"/>
  <c r="P97" i="121"/>
  <c r="Q22" i="121"/>
  <c r="N14" i="121"/>
  <c r="M14" i="121"/>
  <c r="O14" i="121"/>
  <c r="O117" i="121"/>
  <c r="N117" i="121"/>
  <c r="M117" i="121"/>
  <c r="O39" i="121"/>
  <c r="N39" i="121"/>
  <c r="M39" i="121"/>
  <c r="O115" i="121"/>
  <c r="M115" i="121"/>
  <c r="N115" i="121"/>
  <c r="O99" i="120"/>
  <c r="M99" i="120"/>
  <c r="N99" i="120"/>
  <c r="N77" i="120"/>
  <c r="O77" i="120"/>
  <c r="M77" i="120"/>
  <c r="O103" i="120"/>
  <c r="M103" i="120"/>
  <c r="N103" i="120"/>
  <c r="O26" i="120"/>
  <c r="N26" i="120"/>
  <c r="M26" i="120"/>
  <c r="O101" i="120"/>
  <c r="N101" i="120"/>
  <c r="M101" i="120"/>
  <c r="Q45" i="120"/>
  <c r="Q46" i="120" s="1"/>
  <c r="O36" i="120"/>
  <c r="N36" i="120"/>
  <c r="M36" i="120"/>
  <c r="N18" i="120"/>
  <c r="M18" i="120"/>
  <c r="O18" i="120"/>
  <c r="M20" i="120"/>
  <c r="O20" i="120"/>
  <c r="N20" i="120"/>
  <c r="M113" i="120"/>
  <c r="O113" i="120"/>
  <c r="N113" i="120"/>
  <c r="O125" i="120"/>
  <c r="N125" i="120"/>
  <c r="M125" i="120"/>
  <c r="O78" i="119"/>
  <c r="N78" i="119"/>
  <c r="M78" i="119"/>
  <c r="N42" i="119"/>
  <c r="O42" i="119"/>
  <c r="M42" i="119"/>
  <c r="O66" i="119"/>
  <c r="M66" i="119"/>
  <c r="N66" i="119"/>
  <c r="M43" i="119"/>
  <c r="N43" i="119"/>
  <c r="O43" i="119"/>
  <c r="O75" i="119"/>
  <c r="M75" i="119"/>
  <c r="N75" i="119"/>
  <c r="O124" i="119"/>
  <c r="N124" i="119"/>
  <c r="M124" i="119"/>
  <c r="Q12" i="119"/>
  <c r="O111" i="122"/>
  <c r="N111" i="122"/>
  <c r="M111" i="122"/>
  <c r="M65" i="122"/>
  <c r="N65" i="122"/>
  <c r="O65" i="122"/>
  <c r="N25" i="122"/>
  <c r="M25" i="122"/>
  <c r="O25" i="122"/>
  <c r="Q34" i="122"/>
  <c r="Q35" i="122" s="1"/>
  <c r="O5" i="122"/>
  <c r="M5" i="122"/>
  <c r="M5" i="123" s="1"/>
  <c r="N5" i="122"/>
  <c r="O97" i="122"/>
  <c r="M97" i="122"/>
  <c r="N97" i="122"/>
  <c r="O27" i="121"/>
  <c r="M27" i="121"/>
  <c r="N27" i="121"/>
  <c r="N75" i="121"/>
  <c r="M75" i="121"/>
  <c r="O75" i="121"/>
  <c r="Q57" i="121"/>
  <c r="Q58" i="121" s="1"/>
  <c r="O48" i="121"/>
  <c r="M48" i="121"/>
  <c r="N48" i="121"/>
  <c r="N85" i="121"/>
  <c r="O85" i="121"/>
  <c r="M85" i="121"/>
  <c r="N60" i="121"/>
  <c r="M60" i="121"/>
  <c r="O60" i="121"/>
  <c r="N73" i="120"/>
  <c r="M73" i="120"/>
  <c r="O73" i="120"/>
  <c r="M102" i="120"/>
  <c r="O102" i="120"/>
  <c r="N102" i="120"/>
  <c r="O108" i="120"/>
  <c r="M108" i="120"/>
  <c r="N108" i="120"/>
  <c r="N89" i="120"/>
  <c r="O89" i="120"/>
  <c r="M89" i="120"/>
  <c r="M120" i="120"/>
  <c r="O120" i="120"/>
  <c r="N120" i="120"/>
  <c r="O26" i="119"/>
  <c r="N26" i="119"/>
  <c r="M26" i="119"/>
  <c r="O83" i="119"/>
  <c r="M83" i="119"/>
  <c r="N83" i="119"/>
  <c r="O108" i="119"/>
  <c r="N108" i="119"/>
  <c r="M108" i="119"/>
  <c r="O112" i="119"/>
  <c r="N112" i="119"/>
  <c r="M112" i="119"/>
  <c r="Q68" i="122"/>
  <c r="Q69" i="122" s="1"/>
  <c r="O59" i="122"/>
  <c r="N59" i="122"/>
  <c r="M59" i="122"/>
  <c r="O101" i="122"/>
  <c r="M101" i="122"/>
  <c r="N101" i="122"/>
  <c r="O51" i="121"/>
  <c r="M51" i="121"/>
  <c r="N51" i="121"/>
  <c r="O106" i="121"/>
  <c r="N106" i="121"/>
  <c r="M106" i="121"/>
  <c r="O52" i="121"/>
  <c r="N52" i="121"/>
  <c r="M52" i="121"/>
  <c r="O62" i="121"/>
  <c r="M62" i="121"/>
  <c r="N62" i="121"/>
  <c r="M90" i="121"/>
  <c r="O90" i="121"/>
  <c r="N90" i="121"/>
  <c r="M56" i="120"/>
  <c r="N56" i="120"/>
  <c r="O56" i="120"/>
  <c r="O56" i="123" s="1"/>
  <c r="M106" i="120"/>
  <c r="O106" i="120"/>
  <c r="N106" i="120"/>
  <c r="N121" i="120"/>
  <c r="O121" i="120"/>
  <c r="M121" i="120"/>
  <c r="O119" i="120"/>
  <c r="N119" i="120"/>
  <c r="M119" i="120"/>
  <c r="M98" i="119"/>
  <c r="O98" i="119"/>
  <c r="N98" i="119"/>
  <c r="O17" i="119"/>
  <c r="M17" i="119"/>
  <c r="N17" i="119"/>
  <c r="O114" i="119"/>
  <c r="N114" i="119"/>
  <c r="M114" i="119"/>
  <c r="M116" i="119"/>
  <c r="N116" i="119"/>
  <c r="O116" i="119"/>
  <c r="O33" i="120"/>
  <c r="N33" i="120"/>
  <c r="M33" i="120"/>
  <c r="O90" i="122"/>
  <c r="N90" i="122"/>
  <c r="M90" i="122"/>
  <c r="O118" i="122"/>
  <c r="N118" i="122"/>
  <c r="M118" i="122"/>
  <c r="O33" i="121"/>
  <c r="N33" i="121"/>
  <c r="M33" i="121"/>
  <c r="N73" i="121"/>
  <c r="M73" i="121"/>
  <c r="O73" i="121"/>
  <c r="N49" i="121"/>
  <c r="M49" i="121"/>
  <c r="O49" i="121"/>
  <c r="N86" i="121"/>
  <c r="M86" i="121"/>
  <c r="O86" i="121"/>
  <c r="M111" i="121"/>
  <c r="O111" i="121"/>
  <c r="N111" i="121"/>
  <c r="O107" i="120"/>
  <c r="M107" i="120"/>
  <c r="N107" i="120"/>
  <c r="O97" i="120"/>
  <c r="N97" i="120"/>
  <c r="M97" i="120"/>
  <c r="M16" i="120"/>
  <c r="M16" i="123" s="1"/>
  <c r="O16" i="120"/>
  <c r="O16" i="123" s="1"/>
  <c r="N16" i="120"/>
  <c r="N63" i="119"/>
  <c r="O63" i="119"/>
  <c r="M63" i="119"/>
  <c r="O71" i="119"/>
  <c r="N71" i="119"/>
  <c r="M71" i="119"/>
  <c r="Q80" i="119"/>
  <c r="Q81" i="119" s="1"/>
  <c r="O123" i="119"/>
  <c r="M123" i="119"/>
  <c r="N123" i="119"/>
  <c r="P6" i="119"/>
  <c r="O85" i="122"/>
  <c r="N85" i="122"/>
  <c r="M85" i="122"/>
  <c r="O64" i="122"/>
  <c r="N64" i="122"/>
  <c r="M64" i="122"/>
  <c r="U60" i="122"/>
  <c r="O60" i="122"/>
  <c r="N60" i="122"/>
  <c r="M60" i="122"/>
  <c r="N117" i="122"/>
  <c r="M117" i="122"/>
  <c r="O117" i="122"/>
  <c r="N29" i="122"/>
  <c r="M29" i="122"/>
  <c r="O29" i="122"/>
  <c r="O95" i="122"/>
  <c r="N95" i="122"/>
  <c r="M95" i="122"/>
  <c r="N72" i="122"/>
  <c r="M72" i="122"/>
  <c r="O72" i="122"/>
  <c r="O53" i="122"/>
  <c r="N53" i="122"/>
  <c r="M53" i="122"/>
  <c r="N31" i="122"/>
  <c r="O31" i="122"/>
  <c r="O31" i="123" s="1"/>
  <c r="M31" i="122"/>
  <c r="M31" i="123" s="1"/>
  <c r="O100" i="122"/>
  <c r="N100" i="122"/>
  <c r="M100" i="122"/>
  <c r="O78" i="121"/>
  <c r="N78" i="121"/>
  <c r="M78" i="121"/>
  <c r="M101" i="121"/>
  <c r="O101" i="121"/>
  <c r="N101" i="121"/>
  <c r="N77" i="121"/>
  <c r="O77" i="121"/>
  <c r="M77" i="121"/>
  <c r="O96" i="121"/>
  <c r="N96" i="121"/>
  <c r="M96" i="121"/>
  <c r="O99" i="121"/>
  <c r="N99" i="121"/>
  <c r="M99" i="121"/>
  <c r="O38" i="121"/>
  <c r="N38" i="121"/>
  <c r="M38" i="121"/>
  <c r="M37" i="121"/>
  <c r="O37" i="121"/>
  <c r="N37" i="121"/>
  <c r="M65" i="121"/>
  <c r="O65" i="121"/>
  <c r="N65" i="121"/>
  <c r="N36" i="121"/>
  <c r="O36" i="121"/>
  <c r="Q45" i="121"/>
  <c r="Q46" i="121" s="1"/>
  <c r="M36" i="121"/>
  <c r="O43" i="121"/>
  <c r="M43" i="121"/>
  <c r="N43" i="121"/>
  <c r="N119" i="121"/>
  <c r="M119" i="121"/>
  <c r="O119" i="121"/>
  <c r="P4" i="121"/>
  <c r="O53" i="120"/>
  <c r="N53" i="120"/>
  <c r="M53" i="120"/>
  <c r="N71" i="120"/>
  <c r="O71" i="120"/>
  <c r="M71" i="120"/>
  <c r="Q80" i="120"/>
  <c r="Q81" i="120" s="1"/>
  <c r="M28" i="120"/>
  <c r="N28" i="120"/>
  <c r="O28" i="120"/>
  <c r="N72" i="120"/>
  <c r="M72" i="120"/>
  <c r="O72" i="120"/>
  <c r="O30" i="120"/>
  <c r="N30" i="120"/>
  <c r="M30" i="120"/>
  <c r="N38" i="120"/>
  <c r="M38" i="120"/>
  <c r="O38" i="120"/>
  <c r="O67" i="120"/>
  <c r="M67" i="120"/>
  <c r="N67" i="120"/>
  <c r="O87" i="120"/>
  <c r="M87" i="120"/>
  <c r="N87" i="120"/>
  <c r="M117" i="120"/>
  <c r="O117" i="120"/>
  <c r="N117" i="120"/>
  <c r="M60" i="120"/>
  <c r="O60" i="120"/>
  <c r="N60" i="120"/>
  <c r="O38" i="119"/>
  <c r="N38" i="119"/>
  <c r="M38" i="119"/>
  <c r="O60" i="119"/>
  <c r="M60" i="119"/>
  <c r="N60" i="119"/>
  <c r="M39" i="119"/>
  <c r="N39" i="119"/>
  <c r="O39" i="119"/>
  <c r="N79" i="119"/>
  <c r="O79" i="119"/>
  <c r="M79" i="119"/>
  <c r="N125" i="119"/>
  <c r="M125" i="119"/>
  <c r="O125" i="119"/>
  <c r="Q91" i="119"/>
  <c r="Q92" i="119" s="1"/>
  <c r="O82" i="119"/>
  <c r="N82" i="119"/>
  <c r="M82" i="119"/>
  <c r="O79" i="121"/>
  <c r="N79" i="121"/>
  <c r="M79" i="121"/>
  <c r="O123" i="122"/>
  <c r="N123" i="122"/>
  <c r="M123" i="122"/>
  <c r="N113" i="122"/>
  <c r="M113" i="122"/>
  <c r="O113" i="122"/>
  <c r="O99" i="122"/>
  <c r="N99" i="122"/>
  <c r="M99" i="122"/>
  <c r="Q80" i="122"/>
  <c r="Q81" i="122" s="1"/>
  <c r="O71" i="122"/>
  <c r="N71" i="122"/>
  <c r="M71" i="122"/>
  <c r="O104" i="122"/>
  <c r="N104" i="122"/>
  <c r="M104" i="122"/>
  <c r="O94" i="121"/>
  <c r="M94" i="121"/>
  <c r="N94" i="121"/>
  <c r="N40" i="121"/>
  <c r="O40" i="121"/>
  <c r="M40" i="121"/>
  <c r="O76" i="120"/>
  <c r="N76" i="120"/>
  <c r="M76" i="120"/>
  <c r="O53" i="119"/>
  <c r="M53" i="119"/>
  <c r="N53" i="119"/>
  <c r="M32" i="119"/>
  <c r="N32" i="119"/>
  <c r="O32" i="119"/>
  <c r="O86" i="119"/>
  <c r="N86" i="119"/>
  <c r="M86" i="119"/>
  <c r="O119" i="122"/>
  <c r="N119" i="122"/>
  <c r="M119" i="122"/>
  <c r="O17" i="122"/>
  <c r="N17" i="122"/>
  <c r="M17" i="122"/>
  <c r="O103" i="122"/>
  <c r="N103" i="122"/>
  <c r="M103" i="122"/>
  <c r="O75" i="122"/>
  <c r="N75" i="122"/>
  <c r="M75" i="122"/>
  <c r="O108" i="122"/>
  <c r="N108" i="122"/>
  <c r="M108" i="122"/>
  <c r="O71" i="121"/>
  <c r="Q80" i="121"/>
  <c r="Q81" i="121" s="1"/>
  <c r="N71" i="121"/>
  <c r="M71" i="121"/>
  <c r="O28" i="121"/>
  <c r="M28" i="121"/>
  <c r="N28" i="121"/>
  <c r="O113" i="121"/>
  <c r="N113" i="121"/>
  <c r="M113" i="121"/>
  <c r="Q68" i="121"/>
  <c r="Q69" i="121" s="1"/>
  <c r="O59" i="121"/>
  <c r="M59" i="121"/>
  <c r="N59" i="121"/>
  <c r="M32" i="120"/>
  <c r="O32" i="120"/>
  <c r="N32" i="120"/>
  <c r="M9" i="120"/>
  <c r="O9" i="120"/>
  <c r="N9" i="120"/>
  <c r="O100" i="120"/>
  <c r="M100" i="120"/>
  <c r="N100" i="120"/>
  <c r="N90" i="120"/>
  <c r="O90" i="120"/>
  <c r="M90" i="120"/>
  <c r="O65" i="120"/>
  <c r="N65" i="120"/>
  <c r="M65" i="120"/>
  <c r="O37" i="119"/>
  <c r="N37" i="119"/>
  <c r="M37" i="119"/>
  <c r="O49" i="119"/>
  <c r="M49" i="119"/>
  <c r="N49" i="119"/>
  <c r="M28" i="119"/>
  <c r="N28" i="119"/>
  <c r="O28" i="119"/>
  <c r="N61" i="119"/>
  <c r="M61" i="119"/>
  <c r="O61" i="119"/>
  <c r="N90" i="119"/>
  <c r="M90" i="119"/>
  <c r="O90" i="119"/>
  <c r="Q12" i="120"/>
  <c r="N42" i="122"/>
  <c r="M42" i="122"/>
  <c r="O42" i="122"/>
  <c r="O21" i="122"/>
  <c r="M21" i="122"/>
  <c r="N21" i="122"/>
  <c r="N76" i="122"/>
  <c r="M76" i="122"/>
  <c r="O76" i="122"/>
  <c r="O9" i="122"/>
  <c r="M9" i="122"/>
  <c r="N9" i="122"/>
  <c r="N6" i="121"/>
  <c r="O6" i="121"/>
  <c r="O12" i="121" s="1"/>
  <c r="O13" i="121" s="1"/>
  <c r="M6" i="121"/>
  <c r="M12" i="121" s="1"/>
  <c r="M13" i="121" s="1"/>
  <c r="O100" i="121"/>
  <c r="N100" i="121"/>
  <c r="M100" i="121"/>
  <c r="O103" i="121"/>
  <c r="N103" i="121"/>
  <c r="M103" i="121"/>
  <c r="N20" i="121"/>
  <c r="M20" i="121"/>
  <c r="O20" i="121"/>
  <c r="O20" i="123" s="1"/>
  <c r="N21" i="121"/>
  <c r="O21" i="121"/>
  <c r="M21" i="121"/>
  <c r="O89" i="121"/>
  <c r="N89" i="121"/>
  <c r="M89" i="121"/>
  <c r="N84" i="121"/>
  <c r="N84" i="123" s="1"/>
  <c r="O84" i="121"/>
  <c r="O84" i="123" s="1"/>
  <c r="M84" i="121"/>
  <c r="M84" i="123" s="1"/>
  <c r="O123" i="121"/>
  <c r="N123" i="121"/>
  <c r="M123" i="121"/>
  <c r="O51" i="120"/>
  <c r="O51" i="123" s="1"/>
  <c r="N51" i="120"/>
  <c r="M51" i="120"/>
  <c r="M51" i="123" s="1"/>
  <c r="O55" i="120"/>
  <c r="N55" i="120"/>
  <c r="M55" i="120"/>
  <c r="N11" i="120"/>
  <c r="M11" i="120"/>
  <c r="O11" i="120"/>
  <c r="O11" i="123" s="1"/>
  <c r="O95" i="120"/>
  <c r="M95" i="120"/>
  <c r="N95" i="120"/>
  <c r="O96" i="120"/>
  <c r="M96" i="120"/>
  <c r="N96" i="120"/>
  <c r="O40" i="120"/>
  <c r="N40" i="120"/>
  <c r="M40" i="120"/>
  <c r="N88" i="120"/>
  <c r="O88" i="120"/>
  <c r="M88" i="120"/>
  <c r="N37" i="120"/>
  <c r="M37" i="120"/>
  <c r="O37" i="120"/>
  <c r="O61" i="120"/>
  <c r="M61" i="120"/>
  <c r="N61" i="120"/>
  <c r="O64" i="120"/>
  <c r="M64" i="120"/>
  <c r="N64" i="120"/>
  <c r="O41" i="119"/>
  <c r="N41" i="119"/>
  <c r="M41" i="119"/>
  <c r="N117" i="119"/>
  <c r="M117" i="119"/>
  <c r="O117" i="119"/>
  <c r="O19" i="120"/>
  <c r="O19" i="123" s="1"/>
  <c r="M19" i="120"/>
  <c r="N19" i="120"/>
  <c r="N18" i="119"/>
  <c r="O18" i="119"/>
  <c r="M18" i="119"/>
  <c r="O96" i="119"/>
  <c r="N96" i="119"/>
  <c r="M96" i="119"/>
  <c r="N38" i="122"/>
  <c r="O38" i="122"/>
  <c r="M38" i="122"/>
  <c r="N83" i="122"/>
  <c r="M83" i="122"/>
  <c r="U83" i="122"/>
  <c r="O83" i="122"/>
  <c r="N94" i="122"/>
  <c r="M94" i="122"/>
  <c r="O94" i="122"/>
  <c r="Q57" i="122"/>
  <c r="Q58" i="122" s="1"/>
  <c r="O48" i="122"/>
  <c r="M48" i="122"/>
  <c r="N48" i="122"/>
  <c r="M25" i="121"/>
  <c r="Q34" i="121"/>
  <c r="Q35" i="121" s="1"/>
  <c r="N25" i="121"/>
  <c r="O25" i="121"/>
  <c r="O104" i="121"/>
  <c r="M104" i="121"/>
  <c r="N104" i="121"/>
  <c r="O107" i="121"/>
  <c r="N107" i="121"/>
  <c r="M107" i="121"/>
  <c r="M15" i="121"/>
  <c r="O15" i="121"/>
  <c r="O15" i="123" s="1"/>
  <c r="N15" i="121"/>
  <c r="N15" i="123" s="1"/>
  <c r="M120" i="121"/>
  <c r="N120" i="121"/>
  <c r="O120" i="121"/>
  <c r="N87" i="121"/>
  <c r="O87" i="121"/>
  <c r="M87" i="121"/>
  <c r="Q34" i="120"/>
  <c r="Q35" i="120" s="1"/>
  <c r="Q47" i="120" s="1"/>
  <c r="O25" i="120"/>
  <c r="N25" i="120"/>
  <c r="M25" i="120"/>
  <c r="N50" i="120"/>
  <c r="M50" i="120"/>
  <c r="O50" i="120"/>
  <c r="M94" i="120"/>
  <c r="N94" i="120"/>
  <c r="O94" i="120"/>
  <c r="N42" i="120"/>
  <c r="O42" i="120"/>
  <c r="M42" i="120"/>
  <c r="M41" i="120"/>
  <c r="N41" i="120"/>
  <c r="O41" i="120"/>
  <c r="O111" i="120"/>
  <c r="M111" i="120"/>
  <c r="N111" i="120"/>
  <c r="N121" i="119"/>
  <c r="M121" i="119"/>
  <c r="O121" i="119"/>
  <c r="N14" i="119"/>
  <c r="Q22" i="119"/>
  <c r="O14" i="119"/>
  <c r="M14" i="119"/>
  <c r="M14" i="123" s="1"/>
  <c r="O85" i="119"/>
  <c r="N85" i="119"/>
  <c r="M85" i="119"/>
  <c r="O100" i="119"/>
  <c r="N100" i="119"/>
  <c r="M100" i="119"/>
  <c r="O115" i="122"/>
  <c r="N115" i="122"/>
  <c r="M115" i="122"/>
  <c r="O124" i="122"/>
  <c r="M124" i="122"/>
  <c r="N124" i="122"/>
  <c r="M87" i="122"/>
  <c r="O87" i="122"/>
  <c r="N87" i="122"/>
  <c r="M18" i="122"/>
  <c r="O18" i="122"/>
  <c r="N18" i="122"/>
  <c r="O73" i="122"/>
  <c r="N73" i="122"/>
  <c r="M73" i="122"/>
  <c r="O107" i="122"/>
  <c r="N107" i="122"/>
  <c r="M107" i="122"/>
  <c r="N98" i="122"/>
  <c r="M98" i="122"/>
  <c r="O98" i="122"/>
  <c r="O79" i="122"/>
  <c r="N79" i="122"/>
  <c r="M79" i="122"/>
  <c r="O52" i="122"/>
  <c r="N52" i="122"/>
  <c r="M52" i="122"/>
  <c r="N33" i="122"/>
  <c r="M33" i="122"/>
  <c r="O33" i="122"/>
  <c r="O55" i="121"/>
  <c r="M55" i="121"/>
  <c r="N55" i="121"/>
  <c r="O29" i="121"/>
  <c r="O29" i="123" s="1"/>
  <c r="N29" i="121"/>
  <c r="N29" i="123" s="1"/>
  <c r="M29" i="121"/>
  <c r="O32" i="121"/>
  <c r="M32" i="121"/>
  <c r="N32" i="121"/>
  <c r="N108" i="121"/>
  <c r="O108" i="121"/>
  <c r="M108" i="121"/>
  <c r="O121" i="121"/>
  <c r="N121" i="121"/>
  <c r="M121" i="121"/>
  <c r="O18" i="121"/>
  <c r="N18" i="121"/>
  <c r="M18" i="121"/>
  <c r="M124" i="121"/>
  <c r="O124" i="121"/>
  <c r="N124" i="121"/>
  <c r="M61" i="121"/>
  <c r="N61" i="121"/>
  <c r="O61" i="121"/>
  <c r="M116" i="121"/>
  <c r="O116" i="121"/>
  <c r="N116" i="121"/>
  <c r="O63" i="121"/>
  <c r="N63" i="121"/>
  <c r="M63" i="121"/>
  <c r="N78" i="120"/>
  <c r="O78" i="120"/>
  <c r="M78" i="120"/>
  <c r="N54" i="120"/>
  <c r="N54" i="123" s="1"/>
  <c r="M54" i="120"/>
  <c r="O54" i="120"/>
  <c r="O54" i="123" s="1"/>
  <c r="Q57" i="120"/>
  <c r="Q58" i="120" s="1"/>
  <c r="M48" i="120"/>
  <c r="N48" i="120"/>
  <c r="O48" i="120"/>
  <c r="M98" i="120"/>
  <c r="O98" i="120"/>
  <c r="N98" i="120"/>
  <c r="O104" i="120"/>
  <c r="M104" i="120"/>
  <c r="N104" i="120"/>
  <c r="O83" i="120"/>
  <c r="N83" i="120"/>
  <c r="M83" i="120"/>
  <c r="O114" i="120"/>
  <c r="M114" i="120"/>
  <c r="N114" i="120"/>
  <c r="N82" i="120"/>
  <c r="O82" i="120"/>
  <c r="M82" i="120"/>
  <c r="Q91" i="120"/>
  <c r="Q92" i="120" s="1"/>
  <c r="O112" i="120"/>
  <c r="N112" i="120"/>
  <c r="M112" i="120"/>
  <c r="O115" i="120"/>
  <c r="M115" i="120"/>
  <c r="N115" i="120"/>
  <c r="M106" i="119"/>
  <c r="O106" i="119"/>
  <c r="N106" i="119"/>
  <c r="O30" i="119"/>
  <c r="N30" i="119"/>
  <c r="M30" i="119"/>
  <c r="Q68" i="120"/>
  <c r="Q69" i="120" s="1"/>
  <c r="O89" i="119"/>
  <c r="N89" i="119"/>
  <c r="M89" i="119"/>
  <c r="M97" i="119"/>
  <c r="N97" i="119"/>
  <c r="N97" i="123" s="1"/>
  <c r="O97" i="119"/>
  <c r="O104" i="119"/>
  <c r="N104" i="119"/>
  <c r="M104" i="119"/>
  <c r="O65" i="119"/>
  <c r="N65" i="119"/>
  <c r="M65" i="119"/>
  <c r="O111" i="119"/>
  <c r="N111" i="119"/>
  <c r="M111" i="119"/>
  <c r="Q34" i="119"/>
  <c r="Q35" i="119" s="1"/>
  <c r="Q47" i="119" s="1"/>
  <c r="P48" i="119"/>
  <c r="P118" i="119" l="1"/>
  <c r="M125" i="123"/>
  <c r="P76" i="119"/>
  <c r="P39" i="122"/>
  <c r="P33" i="122"/>
  <c r="P28" i="122"/>
  <c r="P20" i="122"/>
  <c r="P8" i="120"/>
  <c r="P88" i="119"/>
  <c r="P37" i="122"/>
  <c r="P59" i="120"/>
  <c r="P33" i="121"/>
  <c r="P5" i="120"/>
  <c r="M97" i="123"/>
  <c r="M64" i="123"/>
  <c r="O72" i="123"/>
  <c r="P51" i="121"/>
  <c r="P88" i="122"/>
  <c r="O33" i="123"/>
  <c r="M27" i="123"/>
  <c r="P10" i="121"/>
  <c r="N65" i="123"/>
  <c r="M89" i="123"/>
  <c r="P7" i="120"/>
  <c r="P7" i="123" s="1"/>
  <c r="Q7" i="123" s="1"/>
  <c r="N104" i="123"/>
  <c r="N6" i="123"/>
  <c r="P113" i="121"/>
  <c r="P85" i="122"/>
  <c r="P30" i="121"/>
  <c r="P19" i="119"/>
  <c r="P113" i="119"/>
  <c r="P55" i="122"/>
  <c r="P67" i="122"/>
  <c r="O27" i="123"/>
  <c r="P6" i="120"/>
  <c r="P50" i="119"/>
  <c r="O14" i="123"/>
  <c r="N12" i="120"/>
  <c r="N13" i="120" s="1"/>
  <c r="P29" i="119"/>
  <c r="M19" i="123"/>
  <c r="P31" i="121"/>
  <c r="O39" i="123"/>
  <c r="N100" i="123"/>
  <c r="O106" i="123"/>
  <c r="P32" i="121"/>
  <c r="M50" i="123"/>
  <c r="O88" i="123"/>
  <c r="N95" i="123"/>
  <c r="P98" i="120"/>
  <c r="N86" i="123"/>
  <c r="O65" i="123"/>
  <c r="N88" i="123"/>
  <c r="M67" i="123"/>
  <c r="N56" i="123"/>
  <c r="O5" i="123"/>
  <c r="N106" i="123"/>
  <c r="M88" i="123"/>
  <c r="O85" i="123"/>
  <c r="P120" i="121"/>
  <c r="N40" i="123"/>
  <c r="P103" i="121"/>
  <c r="N90" i="123"/>
  <c r="M12" i="120"/>
  <c r="M13" i="120" s="1"/>
  <c r="N16" i="123"/>
  <c r="M56" i="123"/>
  <c r="P26" i="119"/>
  <c r="Q93" i="121"/>
  <c r="O99" i="123"/>
  <c r="P4" i="122"/>
  <c r="P4" i="123" s="1"/>
  <c r="O121" i="123"/>
  <c r="O86" i="123"/>
  <c r="O125" i="123"/>
  <c r="M104" i="123"/>
  <c r="O89" i="123"/>
  <c r="M48" i="123"/>
  <c r="N85" i="123"/>
  <c r="O67" i="123"/>
  <c r="N33" i="123"/>
  <c r="N27" i="123"/>
  <c r="P72" i="122"/>
  <c r="M54" i="123"/>
  <c r="N19" i="123"/>
  <c r="M53" i="123"/>
  <c r="P101" i="121"/>
  <c r="N111" i="123"/>
  <c r="P115" i="122"/>
  <c r="M11" i="123"/>
  <c r="P116" i="122"/>
  <c r="O30" i="123"/>
  <c r="P15" i="121"/>
  <c r="P15" i="123" s="1"/>
  <c r="O113" i="123"/>
  <c r="P86" i="119"/>
  <c r="O53" i="123"/>
  <c r="N14" i="123"/>
  <c r="O50" i="123"/>
  <c r="N55" i="123"/>
  <c r="O34" i="119"/>
  <c r="O35" i="119" s="1"/>
  <c r="N39" i="123"/>
  <c r="N20" i="123"/>
  <c r="O36" i="123"/>
  <c r="M118" i="123"/>
  <c r="O48" i="123"/>
  <c r="O64" i="123"/>
  <c r="N118" i="123"/>
  <c r="P18" i="122"/>
  <c r="O40" i="123"/>
  <c r="O100" i="123"/>
  <c r="N89" i="123"/>
  <c r="N48" i="123"/>
  <c r="N50" i="123"/>
  <c r="P86" i="121"/>
  <c r="M33" i="123"/>
  <c r="P63" i="121"/>
  <c r="P29" i="121"/>
  <c r="M111" i="123"/>
  <c r="O104" i="123"/>
  <c r="P52" i="122"/>
  <c r="M25" i="123"/>
  <c r="P83" i="122"/>
  <c r="M40" i="123"/>
  <c r="M90" i="123"/>
  <c r="N49" i="123"/>
  <c r="O12" i="120"/>
  <c r="O13" i="120" s="1"/>
  <c r="P71" i="121"/>
  <c r="O76" i="123"/>
  <c r="P106" i="120"/>
  <c r="P90" i="121"/>
  <c r="M113" i="123"/>
  <c r="N36" i="123"/>
  <c r="M99" i="123"/>
  <c r="P112" i="121"/>
  <c r="N74" i="123"/>
  <c r="O59" i="123"/>
  <c r="P62" i="120"/>
  <c r="N107" i="123"/>
  <c r="N103" i="123"/>
  <c r="O62" i="123"/>
  <c r="O52" i="123"/>
  <c r="P124" i="121"/>
  <c r="O25" i="123"/>
  <c r="P18" i="119"/>
  <c r="M60" i="123"/>
  <c r="M72" i="123"/>
  <c r="P107" i="120"/>
  <c r="P33" i="120"/>
  <c r="P119" i="120"/>
  <c r="P75" i="121"/>
  <c r="N66" i="123"/>
  <c r="M103" i="123"/>
  <c r="M62" i="123"/>
  <c r="P116" i="120"/>
  <c r="N52" i="123"/>
  <c r="O41" i="123"/>
  <c r="P21" i="121"/>
  <c r="O107" i="123"/>
  <c r="M66" i="123"/>
  <c r="M20" i="123"/>
  <c r="O103" i="123"/>
  <c r="O118" i="123"/>
  <c r="M52" i="123"/>
  <c r="P73" i="122"/>
  <c r="N45" i="122"/>
  <c r="N46" i="122" s="1"/>
  <c r="P64" i="120"/>
  <c r="P55" i="120"/>
  <c r="P38" i="120"/>
  <c r="N17" i="123"/>
  <c r="O73" i="123"/>
  <c r="M73" i="123"/>
  <c r="P14" i="121"/>
  <c r="P124" i="120"/>
  <c r="P11" i="122"/>
  <c r="O55" i="123"/>
  <c r="N28" i="123"/>
  <c r="P28" i="121"/>
  <c r="O38" i="123"/>
  <c r="P31" i="122"/>
  <c r="P31" i="123" s="1"/>
  <c r="N73" i="123"/>
  <c r="N113" i="123"/>
  <c r="P115" i="120"/>
  <c r="P104" i="120"/>
  <c r="M95" i="123"/>
  <c r="O90" i="123"/>
  <c r="N9" i="123"/>
  <c r="N76" i="123"/>
  <c r="P39" i="119"/>
  <c r="P30" i="120"/>
  <c r="P38" i="121"/>
  <c r="P25" i="122"/>
  <c r="M36" i="123"/>
  <c r="N99" i="123"/>
  <c r="M102" i="123"/>
  <c r="P74" i="121"/>
  <c r="Q44" i="123"/>
  <c r="P100" i="119"/>
  <c r="M100" i="123"/>
  <c r="P76" i="120"/>
  <c r="P117" i="122"/>
  <c r="Q93" i="119"/>
  <c r="O114" i="123"/>
  <c r="N83" i="123"/>
  <c r="O43" i="123"/>
  <c r="N42" i="123"/>
  <c r="P27" i="122"/>
  <c r="N120" i="123"/>
  <c r="P66" i="120"/>
  <c r="N59" i="123"/>
  <c r="N21" i="123"/>
  <c r="P102" i="119"/>
  <c r="M6" i="123"/>
  <c r="M107" i="123"/>
  <c r="O6" i="123"/>
  <c r="M15" i="123"/>
  <c r="P41" i="120"/>
  <c r="M57" i="119"/>
  <c r="M58" i="119" s="1"/>
  <c r="M49" i="123"/>
  <c r="P43" i="119"/>
  <c r="N43" i="123"/>
  <c r="M85" i="123"/>
  <c r="P121" i="119"/>
  <c r="M121" i="123"/>
  <c r="P42" i="120"/>
  <c r="N96" i="123"/>
  <c r="P9" i="122"/>
  <c r="O61" i="123"/>
  <c r="O57" i="119"/>
  <c r="O58" i="119" s="1"/>
  <c r="O49" i="123"/>
  <c r="P90" i="120"/>
  <c r="P119" i="122"/>
  <c r="N32" i="123"/>
  <c r="M39" i="123"/>
  <c r="P67" i="120"/>
  <c r="N71" i="123"/>
  <c r="M17" i="123"/>
  <c r="M112" i="123"/>
  <c r="O83" i="123"/>
  <c r="P5" i="122"/>
  <c r="P124" i="119"/>
  <c r="N124" i="123"/>
  <c r="M43" i="123"/>
  <c r="N78" i="123"/>
  <c r="P117" i="121"/>
  <c r="P10" i="119"/>
  <c r="N10" i="123"/>
  <c r="P41" i="121"/>
  <c r="M119" i="123"/>
  <c r="P115" i="119"/>
  <c r="M115" i="123"/>
  <c r="O21" i="123"/>
  <c r="O9" i="123"/>
  <c r="N31" i="123"/>
  <c r="M9" i="123"/>
  <c r="N62" i="123"/>
  <c r="O91" i="120"/>
  <c r="O92" i="120" s="1"/>
  <c r="O32" i="123"/>
  <c r="M71" i="123"/>
  <c r="N119" i="123"/>
  <c r="M21" i="123"/>
  <c r="O97" i="123"/>
  <c r="P30" i="119"/>
  <c r="M30" i="123"/>
  <c r="O111" i="123"/>
  <c r="N30" i="123"/>
  <c r="P114" i="120"/>
  <c r="N121" i="123"/>
  <c r="N57" i="122"/>
  <c r="N58" i="122" s="1"/>
  <c r="O96" i="123"/>
  <c r="P117" i="119"/>
  <c r="O117" i="123"/>
  <c r="P42" i="122"/>
  <c r="M61" i="123"/>
  <c r="M37" i="123"/>
  <c r="M32" i="123"/>
  <c r="N125" i="123"/>
  <c r="P60" i="119"/>
  <c r="N60" i="123"/>
  <c r="O71" i="123"/>
  <c r="O116" i="123"/>
  <c r="O17" i="123"/>
  <c r="P121" i="120"/>
  <c r="N112" i="123"/>
  <c r="P85" i="121"/>
  <c r="O124" i="123"/>
  <c r="O78" i="123"/>
  <c r="P96" i="122"/>
  <c r="P114" i="122"/>
  <c r="M10" i="123"/>
  <c r="P118" i="121"/>
  <c r="P56" i="121"/>
  <c r="O119" i="123"/>
  <c r="M8" i="123"/>
  <c r="P102" i="121"/>
  <c r="N115" i="123"/>
  <c r="M87" i="123"/>
  <c r="M29" i="123"/>
  <c r="M76" i="123"/>
  <c r="M124" i="123"/>
  <c r="P120" i="119"/>
  <c r="O120" i="123"/>
  <c r="P65" i="119"/>
  <c r="M65" i="123"/>
  <c r="N25" i="123"/>
  <c r="M117" i="123"/>
  <c r="N61" i="123"/>
  <c r="N37" i="123"/>
  <c r="P100" i="120"/>
  <c r="N53" i="123"/>
  <c r="M79" i="123"/>
  <c r="M63" i="123"/>
  <c r="N116" i="123"/>
  <c r="N98" i="123"/>
  <c r="P112" i="119"/>
  <c r="O112" i="123"/>
  <c r="M26" i="123"/>
  <c r="P101" i="120"/>
  <c r="P83" i="121"/>
  <c r="P86" i="122"/>
  <c r="O10" i="123"/>
  <c r="O77" i="123"/>
  <c r="N8" i="123"/>
  <c r="O115" i="123"/>
  <c r="O87" i="123"/>
  <c r="P82" i="121"/>
  <c r="M55" i="123"/>
  <c r="N64" i="123"/>
  <c r="M4" i="123"/>
  <c r="P96" i="119"/>
  <c r="M96" i="123"/>
  <c r="P96" i="120"/>
  <c r="M83" i="123"/>
  <c r="M78" i="123"/>
  <c r="M57" i="122"/>
  <c r="M58" i="122" s="1"/>
  <c r="P18" i="121"/>
  <c r="P55" i="121"/>
  <c r="P94" i="120"/>
  <c r="M18" i="123"/>
  <c r="N117" i="123"/>
  <c r="P95" i="120"/>
  <c r="P51" i="120"/>
  <c r="P51" i="123" s="1"/>
  <c r="P84" i="121"/>
  <c r="P84" i="123" s="1"/>
  <c r="Q84" i="123" s="1"/>
  <c r="P76" i="122"/>
  <c r="M45" i="119"/>
  <c r="M46" i="119" s="1"/>
  <c r="O28" i="123"/>
  <c r="O37" i="123"/>
  <c r="M86" i="123"/>
  <c r="M82" i="123"/>
  <c r="O79" i="123"/>
  <c r="O60" i="123"/>
  <c r="N72" i="123"/>
  <c r="P29" i="122"/>
  <c r="P123" i="119"/>
  <c r="N123" i="123"/>
  <c r="O63" i="123"/>
  <c r="M116" i="123"/>
  <c r="O98" i="123"/>
  <c r="P106" i="121"/>
  <c r="M108" i="123"/>
  <c r="N26" i="123"/>
  <c r="N75" i="123"/>
  <c r="O66" i="123"/>
  <c r="P125" i="120"/>
  <c r="N94" i="123"/>
  <c r="M77" i="123"/>
  <c r="O12" i="119"/>
  <c r="O13" i="119" s="1"/>
  <c r="O8" i="123"/>
  <c r="P64" i="121"/>
  <c r="P61" i="122"/>
  <c r="O101" i="123"/>
  <c r="N87" i="123"/>
  <c r="N51" i="123"/>
  <c r="N5" i="123"/>
  <c r="P106" i="119"/>
  <c r="M106" i="123"/>
  <c r="P78" i="120"/>
  <c r="O18" i="123"/>
  <c r="M41" i="123"/>
  <c r="P65" i="120"/>
  <c r="N82" i="123"/>
  <c r="N79" i="123"/>
  <c r="M38" i="123"/>
  <c r="M123" i="123"/>
  <c r="N63" i="123"/>
  <c r="P114" i="119"/>
  <c r="M114" i="123"/>
  <c r="P98" i="119"/>
  <c r="M98" i="123"/>
  <c r="N108" i="123"/>
  <c r="O26" i="123"/>
  <c r="M75" i="123"/>
  <c r="M42" i="123"/>
  <c r="O94" i="123"/>
  <c r="P77" i="119"/>
  <c r="N77" i="123"/>
  <c r="P101" i="119"/>
  <c r="N101" i="123"/>
  <c r="N102" i="123"/>
  <c r="N67" i="123"/>
  <c r="N11" i="123"/>
  <c r="N18" i="123"/>
  <c r="P41" i="119"/>
  <c r="N41" i="123"/>
  <c r="P123" i="121"/>
  <c r="M28" i="123"/>
  <c r="P53" i="119"/>
  <c r="O82" i="123"/>
  <c r="N38" i="123"/>
  <c r="O123" i="123"/>
  <c r="P49" i="121"/>
  <c r="N114" i="123"/>
  <c r="O108" i="123"/>
  <c r="O75" i="123"/>
  <c r="O42" i="123"/>
  <c r="P18" i="120"/>
  <c r="P26" i="120"/>
  <c r="P26" i="123" s="1"/>
  <c r="M120" i="123"/>
  <c r="M94" i="123"/>
  <c r="M74" i="123"/>
  <c r="M59" i="123"/>
  <c r="M101" i="123"/>
  <c r="O102" i="123"/>
  <c r="O95" i="123"/>
  <c r="N68" i="120"/>
  <c r="N69" i="120" s="1"/>
  <c r="P87" i="122"/>
  <c r="P111" i="120"/>
  <c r="Q70" i="120"/>
  <c r="P61" i="121"/>
  <c r="P6" i="121"/>
  <c r="P6" i="123" s="1"/>
  <c r="P103" i="122"/>
  <c r="P60" i="120"/>
  <c r="P112" i="120"/>
  <c r="P54" i="120"/>
  <c r="P98" i="122"/>
  <c r="P59" i="121"/>
  <c r="P108" i="121"/>
  <c r="O45" i="122"/>
  <c r="O46" i="122" s="1"/>
  <c r="P61" i="120"/>
  <c r="P40" i="120"/>
  <c r="P90" i="119"/>
  <c r="N57" i="119"/>
  <c r="N58" i="119" s="1"/>
  <c r="O68" i="121"/>
  <c r="O69" i="121" s="1"/>
  <c r="P108" i="122"/>
  <c r="O80" i="122"/>
  <c r="O81" i="122" s="1"/>
  <c r="M91" i="119"/>
  <c r="M92" i="119" s="1"/>
  <c r="P117" i="120"/>
  <c r="P72" i="120"/>
  <c r="P43" i="121"/>
  <c r="P65" i="121"/>
  <c r="P99" i="121"/>
  <c r="P77" i="121"/>
  <c r="P60" i="122"/>
  <c r="P97" i="120"/>
  <c r="P118" i="122"/>
  <c r="P56" i="120"/>
  <c r="P108" i="120"/>
  <c r="P60" i="121"/>
  <c r="P27" i="121"/>
  <c r="Q47" i="122"/>
  <c r="P66" i="119"/>
  <c r="P20" i="120"/>
  <c r="P54" i="122"/>
  <c r="P121" i="122"/>
  <c r="P50" i="122"/>
  <c r="P75" i="120"/>
  <c r="P74" i="122"/>
  <c r="P87" i="119"/>
  <c r="P102" i="122"/>
  <c r="P48" i="120"/>
  <c r="P104" i="122"/>
  <c r="P104" i="119"/>
  <c r="P89" i="119"/>
  <c r="P83" i="120"/>
  <c r="P107" i="122"/>
  <c r="P50" i="120"/>
  <c r="P87" i="121"/>
  <c r="P94" i="122"/>
  <c r="P19" i="120"/>
  <c r="P19" i="123" s="1"/>
  <c r="O68" i="120"/>
  <c r="O69" i="120" s="1"/>
  <c r="P100" i="121"/>
  <c r="P17" i="122"/>
  <c r="Q93" i="122"/>
  <c r="P123" i="122"/>
  <c r="N91" i="119"/>
  <c r="N92" i="119" s="1"/>
  <c r="P53" i="120"/>
  <c r="P100" i="122"/>
  <c r="P73" i="121"/>
  <c r="P17" i="119"/>
  <c r="P52" i="121"/>
  <c r="P75" i="119"/>
  <c r="P103" i="120"/>
  <c r="P95" i="121"/>
  <c r="P8" i="122"/>
  <c r="P78" i="122"/>
  <c r="P119" i="119"/>
  <c r="P88" i="121"/>
  <c r="P115" i="121"/>
  <c r="P8" i="119"/>
  <c r="M91" i="120"/>
  <c r="M92" i="120" s="1"/>
  <c r="P116" i="121"/>
  <c r="P79" i="122"/>
  <c r="P85" i="119"/>
  <c r="P107" i="121"/>
  <c r="P25" i="121"/>
  <c r="P37" i="120"/>
  <c r="P11" i="120"/>
  <c r="P89" i="121"/>
  <c r="P20" i="121"/>
  <c r="P61" i="119"/>
  <c r="P37" i="119"/>
  <c r="P75" i="122"/>
  <c r="P99" i="122"/>
  <c r="P79" i="121"/>
  <c r="P38" i="119"/>
  <c r="P87" i="120"/>
  <c r="P28" i="120"/>
  <c r="P36" i="121"/>
  <c r="P37" i="121"/>
  <c r="P64" i="122"/>
  <c r="P63" i="119"/>
  <c r="P90" i="122"/>
  <c r="P116" i="119"/>
  <c r="P120" i="120"/>
  <c r="P77" i="120"/>
  <c r="P76" i="121"/>
  <c r="P49" i="122"/>
  <c r="M12" i="119"/>
  <c r="M13" i="119" s="1"/>
  <c r="P114" i="121"/>
  <c r="P52" i="120"/>
  <c r="P56" i="122"/>
  <c r="P96" i="121"/>
  <c r="P101" i="122"/>
  <c r="P83" i="119"/>
  <c r="P89" i="120"/>
  <c r="P102" i="120"/>
  <c r="P97" i="122"/>
  <c r="P39" i="121"/>
  <c r="P39" i="123" s="1"/>
  <c r="P53" i="121"/>
  <c r="O91" i="122"/>
  <c r="O92" i="122" s="1"/>
  <c r="P125" i="121"/>
  <c r="P10" i="122"/>
  <c r="P125" i="122"/>
  <c r="P106" i="122"/>
  <c r="P123" i="120"/>
  <c r="P67" i="121"/>
  <c r="P67" i="123" s="1"/>
  <c r="P42" i="121"/>
  <c r="O45" i="119"/>
  <c r="O46" i="119" s="1"/>
  <c r="N45" i="119"/>
  <c r="N46" i="119" s="1"/>
  <c r="P97" i="119"/>
  <c r="P104" i="121"/>
  <c r="P113" i="122"/>
  <c r="P78" i="121"/>
  <c r="P95" i="122"/>
  <c r="M34" i="119"/>
  <c r="M35" i="119" s="1"/>
  <c r="P73" i="120"/>
  <c r="P65" i="122"/>
  <c r="P113" i="120"/>
  <c r="M45" i="120"/>
  <c r="M46" i="120" s="1"/>
  <c r="P112" i="122"/>
  <c r="P85" i="120"/>
  <c r="P21" i="119"/>
  <c r="P32" i="120"/>
  <c r="P32" i="119"/>
  <c r="P125" i="119"/>
  <c r="P121" i="121"/>
  <c r="P124" i="122"/>
  <c r="M45" i="122"/>
  <c r="M46" i="122" s="1"/>
  <c r="P88" i="120"/>
  <c r="P88" i="123" s="1"/>
  <c r="P21" i="122"/>
  <c r="P28" i="119"/>
  <c r="P40" i="121"/>
  <c r="P79" i="119"/>
  <c r="P119" i="121"/>
  <c r="P53" i="122"/>
  <c r="P71" i="119"/>
  <c r="P16" i="120"/>
  <c r="P16" i="123" s="1"/>
  <c r="P62" i="121"/>
  <c r="P62" i="123" s="1"/>
  <c r="M68" i="122"/>
  <c r="M69" i="122" s="1"/>
  <c r="P108" i="119"/>
  <c r="P78" i="119"/>
  <c r="P99" i="120"/>
  <c r="P72" i="121"/>
  <c r="P74" i="120"/>
  <c r="P50" i="121"/>
  <c r="P86" i="120"/>
  <c r="P120" i="122"/>
  <c r="O22" i="119"/>
  <c r="O23" i="119" s="1"/>
  <c r="O57" i="121"/>
  <c r="O58" i="121" s="1"/>
  <c r="Q13" i="119"/>
  <c r="Q105" i="119"/>
  <c r="O22" i="121"/>
  <c r="O23" i="121" s="1"/>
  <c r="O24" i="121" s="1"/>
  <c r="Q23" i="120"/>
  <c r="Q122" i="120"/>
  <c r="N12" i="119"/>
  <c r="N13" i="119" s="1"/>
  <c r="Q13" i="122"/>
  <c r="Q105" i="122"/>
  <c r="M91" i="122"/>
  <c r="M92" i="122" s="1"/>
  <c r="P49" i="119"/>
  <c r="N68" i="122"/>
  <c r="N69" i="122" s="1"/>
  <c r="N70" i="122" s="1"/>
  <c r="P42" i="119"/>
  <c r="N91" i="120"/>
  <c r="N92" i="120" s="1"/>
  <c r="M22" i="119"/>
  <c r="M23" i="119" s="1"/>
  <c r="O34" i="120"/>
  <c r="O35" i="120" s="1"/>
  <c r="N34" i="121"/>
  <c r="N35" i="121" s="1"/>
  <c r="N80" i="121"/>
  <c r="N81" i="121" s="1"/>
  <c r="N57" i="120"/>
  <c r="N58" i="120" s="1"/>
  <c r="Q23" i="119"/>
  <c r="Q122" i="119"/>
  <c r="N68" i="121"/>
  <c r="N69" i="121" s="1"/>
  <c r="P82" i="119"/>
  <c r="O80" i="120"/>
  <c r="O81" i="120" s="1"/>
  <c r="O93" i="120" s="1"/>
  <c r="N12" i="121"/>
  <c r="N13" i="121" s="1"/>
  <c r="Q70" i="121"/>
  <c r="M22" i="121"/>
  <c r="M23" i="121" s="1"/>
  <c r="M24" i="121" s="1"/>
  <c r="M22" i="120"/>
  <c r="M23" i="120" s="1"/>
  <c r="M24" i="120" s="1"/>
  <c r="M68" i="119"/>
  <c r="M69" i="119" s="1"/>
  <c r="O12" i="122"/>
  <c r="O13" i="122" s="1"/>
  <c r="N22" i="122"/>
  <c r="N23" i="122" s="1"/>
  <c r="M34" i="120"/>
  <c r="M35" i="120" s="1"/>
  <c r="O45" i="121"/>
  <c r="O46" i="121" s="1"/>
  <c r="N57" i="121"/>
  <c r="N58" i="121" s="1"/>
  <c r="N45" i="120"/>
  <c r="N46" i="120" s="1"/>
  <c r="P38" i="122"/>
  <c r="P45" i="122" s="1"/>
  <c r="P46" i="122" s="1"/>
  <c r="M80" i="122"/>
  <c r="M81" i="122" s="1"/>
  <c r="P48" i="122"/>
  <c r="M80" i="120"/>
  <c r="M81" i="120" s="1"/>
  <c r="O80" i="119"/>
  <c r="O81" i="119" s="1"/>
  <c r="N22" i="119"/>
  <c r="N23" i="119" s="1"/>
  <c r="Q47" i="121"/>
  <c r="O80" i="121"/>
  <c r="O81" i="121" s="1"/>
  <c r="P71" i="122"/>
  <c r="N80" i="120"/>
  <c r="N81" i="120" s="1"/>
  <c r="N22" i="121"/>
  <c r="N23" i="121" s="1"/>
  <c r="N22" i="120"/>
  <c r="N23" i="120" s="1"/>
  <c r="N24" i="120" s="1"/>
  <c r="N68" i="119"/>
  <c r="N69" i="119" s="1"/>
  <c r="O22" i="122"/>
  <c r="O23" i="122" s="1"/>
  <c r="Q105" i="121"/>
  <c r="M34" i="122"/>
  <c r="M35" i="122" s="1"/>
  <c r="P25" i="120"/>
  <c r="O57" i="120"/>
  <c r="O58" i="120" s="1"/>
  <c r="M57" i="120"/>
  <c r="M58" i="120" s="1"/>
  <c r="M34" i="121"/>
  <c r="M35" i="121" s="1"/>
  <c r="P9" i="120"/>
  <c r="P9" i="123" s="1"/>
  <c r="M68" i="121"/>
  <c r="M69" i="121" s="1"/>
  <c r="P71" i="120"/>
  <c r="M45" i="121"/>
  <c r="M46" i="121" s="1"/>
  <c r="O34" i="122"/>
  <c r="O35" i="122" s="1"/>
  <c r="P36" i="120"/>
  <c r="Q23" i="121"/>
  <c r="Q24" i="121" s="1"/>
  <c r="Q122" i="121"/>
  <c r="N91" i="122"/>
  <c r="N92" i="122" s="1"/>
  <c r="O68" i="119"/>
  <c r="O69" i="119" s="1"/>
  <c r="O70" i="119" s="1"/>
  <c r="P14" i="122"/>
  <c r="N91" i="121"/>
  <c r="N92" i="121" s="1"/>
  <c r="Q23" i="122"/>
  <c r="Q122" i="122"/>
  <c r="P59" i="119"/>
  <c r="O91" i="121"/>
  <c r="O92" i="121" s="1"/>
  <c r="M22" i="122"/>
  <c r="M23" i="122" s="1"/>
  <c r="M12" i="122"/>
  <c r="M13" i="122" s="1"/>
  <c r="O57" i="122"/>
  <c r="O58" i="122" s="1"/>
  <c r="Q13" i="120"/>
  <c r="Q105" i="120"/>
  <c r="M68" i="120"/>
  <c r="M69" i="120" s="1"/>
  <c r="N45" i="121"/>
  <c r="N46" i="121" s="1"/>
  <c r="M80" i="119"/>
  <c r="M81" i="119" s="1"/>
  <c r="P111" i="121"/>
  <c r="O68" i="122"/>
  <c r="O69" i="122" s="1"/>
  <c r="P48" i="121"/>
  <c r="N34" i="122"/>
  <c r="N35" i="122" s="1"/>
  <c r="N47" i="122" s="1"/>
  <c r="O45" i="120"/>
  <c r="O46" i="120" s="1"/>
  <c r="P82" i="122"/>
  <c r="O22" i="120"/>
  <c r="O23" i="120" s="1"/>
  <c r="O24" i="120" s="1"/>
  <c r="P111" i="119"/>
  <c r="P82" i="120"/>
  <c r="P14" i="119"/>
  <c r="N34" i="120"/>
  <c r="N35" i="120" s="1"/>
  <c r="O34" i="121"/>
  <c r="O35" i="121" s="1"/>
  <c r="Q70" i="122"/>
  <c r="M80" i="121"/>
  <c r="M81" i="121" s="1"/>
  <c r="P94" i="121"/>
  <c r="N80" i="122"/>
  <c r="N81" i="122" s="1"/>
  <c r="O91" i="119"/>
  <c r="O92" i="119" s="1"/>
  <c r="Q93" i="120"/>
  <c r="N80" i="119"/>
  <c r="N81" i="119" s="1"/>
  <c r="P59" i="122"/>
  <c r="N34" i="119"/>
  <c r="N35" i="119" s="1"/>
  <c r="M57" i="121"/>
  <c r="M58" i="121" s="1"/>
  <c r="P111" i="122"/>
  <c r="P94" i="119"/>
  <c r="P14" i="120"/>
  <c r="N12" i="122"/>
  <c r="N13" i="122" s="1"/>
  <c r="M91" i="121"/>
  <c r="M92" i="121" s="1"/>
  <c r="P42" i="123" l="1"/>
  <c r="Q42" i="123" s="1"/>
  <c r="M47" i="122"/>
  <c r="Q19" i="123"/>
  <c r="P74" i="123"/>
  <c r="P33" i="123"/>
  <c r="P76" i="123"/>
  <c r="P5" i="123"/>
  <c r="Q5" i="123" s="1"/>
  <c r="M24" i="119"/>
  <c r="Q33" i="123"/>
  <c r="M93" i="119"/>
  <c r="N93" i="119"/>
  <c r="N84" i="124"/>
  <c r="K84" i="124" s="1"/>
  <c r="K84" i="127" s="1"/>
  <c r="O93" i="122"/>
  <c r="M70" i="122"/>
  <c r="P11" i="123"/>
  <c r="Q11" i="123" s="1"/>
  <c r="P27" i="123"/>
  <c r="Q27" i="123" s="1"/>
  <c r="O47" i="122"/>
  <c r="P12" i="121"/>
  <c r="P13" i="121" s="1"/>
  <c r="P68" i="122"/>
  <c r="P69" i="122" s="1"/>
  <c r="P64" i="123"/>
  <c r="Q64" i="123" s="1"/>
  <c r="Q16" i="123"/>
  <c r="Q88" i="123"/>
  <c r="N45" i="123"/>
  <c r="N46" i="123" s="1"/>
  <c r="P34" i="122"/>
  <c r="P35" i="122" s="1"/>
  <c r="P47" i="122" s="1"/>
  <c r="P18" i="123"/>
  <c r="Q18" i="123" s="1"/>
  <c r="P29" i="123"/>
  <c r="Q29" i="123" s="1"/>
  <c r="O70" i="121"/>
  <c r="P99" i="123"/>
  <c r="Q99" i="123" s="1"/>
  <c r="P113" i="123"/>
  <c r="Q113" i="123" s="1"/>
  <c r="P118" i="123"/>
  <c r="Q118" i="123" s="1"/>
  <c r="P30" i="123"/>
  <c r="Q30" i="123" s="1"/>
  <c r="O47" i="119"/>
  <c r="P66" i="123"/>
  <c r="Q66" i="123" s="1"/>
  <c r="N57" i="123"/>
  <c r="N58" i="123" s="1"/>
  <c r="P55" i="123"/>
  <c r="Q55" i="123" s="1"/>
  <c r="O22" i="123"/>
  <c r="O23" i="123" s="1"/>
  <c r="P63" i="123"/>
  <c r="Q63" i="123" s="1"/>
  <c r="Q62" i="123"/>
  <c r="O57" i="123"/>
  <c r="O58" i="123" s="1"/>
  <c r="N22" i="123"/>
  <c r="N23" i="123" s="1"/>
  <c r="P40" i="123"/>
  <c r="Q40" i="123" s="1"/>
  <c r="M24" i="122"/>
  <c r="P80" i="119"/>
  <c r="P81" i="119" s="1"/>
  <c r="P125" i="123"/>
  <c r="Q125" i="123" s="1"/>
  <c r="P107" i="123"/>
  <c r="Q107" i="123" s="1"/>
  <c r="P95" i="123"/>
  <c r="Q95" i="123" s="1"/>
  <c r="O91" i="123"/>
  <c r="O92" i="123" s="1"/>
  <c r="P119" i="123"/>
  <c r="Q119" i="123" s="1"/>
  <c r="N93" i="120"/>
  <c r="P86" i="123"/>
  <c r="Q86" i="123" s="1"/>
  <c r="P48" i="123"/>
  <c r="P25" i="123"/>
  <c r="Q25" i="123" s="1"/>
  <c r="P50" i="123"/>
  <c r="Q50" i="123" s="1"/>
  <c r="P22" i="121"/>
  <c r="P23" i="121" s="1"/>
  <c r="P24" i="121" s="1"/>
  <c r="P20" i="123"/>
  <c r="Q20" i="123" s="1"/>
  <c r="P53" i="123"/>
  <c r="Q53" i="123" s="1"/>
  <c r="P22" i="122"/>
  <c r="P23" i="122" s="1"/>
  <c r="P94" i="123"/>
  <c r="Q94" i="123" s="1"/>
  <c r="Q67" i="123"/>
  <c r="P115" i="123"/>
  <c r="Q115" i="123" s="1"/>
  <c r="P103" i="123"/>
  <c r="Q103" i="123" s="1"/>
  <c r="P68" i="121"/>
  <c r="P69" i="121" s="1"/>
  <c r="P52" i="123"/>
  <c r="Q52" i="123" s="1"/>
  <c r="Q74" i="123"/>
  <c r="O24" i="119"/>
  <c r="N70" i="119"/>
  <c r="P54" i="123"/>
  <c r="Q54" i="123" s="1"/>
  <c r="Q76" i="123"/>
  <c r="P79" i="123"/>
  <c r="Q79" i="123" s="1"/>
  <c r="P36" i="123"/>
  <c r="Q36" i="123" s="1"/>
  <c r="P73" i="123"/>
  <c r="Q73" i="123" s="1"/>
  <c r="P17" i="123"/>
  <c r="Q17" i="123" s="1"/>
  <c r="P89" i="123"/>
  <c r="Q89" i="123" s="1"/>
  <c r="P90" i="123"/>
  <c r="Q90" i="123" s="1"/>
  <c r="P80" i="121"/>
  <c r="P81" i="121" s="1"/>
  <c r="P56" i="123"/>
  <c r="Q56" i="123" s="1"/>
  <c r="P72" i="123"/>
  <c r="Q72" i="123" s="1"/>
  <c r="M22" i="123"/>
  <c r="M23" i="123" s="1"/>
  <c r="M34" i="123"/>
  <c r="M35" i="123" s="1"/>
  <c r="M91" i="123"/>
  <c r="M92" i="123" s="1"/>
  <c r="Q51" i="123"/>
  <c r="N12" i="123"/>
  <c r="N13" i="123" s="1"/>
  <c r="O80" i="123"/>
  <c r="O81" i="123" s="1"/>
  <c r="N80" i="123"/>
  <c r="N81" i="123" s="1"/>
  <c r="Q15" i="123"/>
  <c r="N91" i="123"/>
  <c r="N92" i="123" s="1"/>
  <c r="M12" i="123"/>
  <c r="M13" i="123" s="1"/>
  <c r="O12" i="123"/>
  <c r="O13" i="123" s="1"/>
  <c r="N34" i="123"/>
  <c r="N35" i="123" s="1"/>
  <c r="Q31" i="123"/>
  <c r="O68" i="123"/>
  <c r="O69" i="123" s="1"/>
  <c r="L84" i="124"/>
  <c r="L84" i="127" s="1"/>
  <c r="Q48" i="123"/>
  <c r="M45" i="123"/>
  <c r="M46" i="123" s="1"/>
  <c r="P37" i="123"/>
  <c r="P87" i="123"/>
  <c r="Q87" i="123" s="1"/>
  <c r="P114" i="123"/>
  <c r="Q114" i="123" s="1"/>
  <c r="P14" i="123"/>
  <c r="P34" i="120"/>
  <c r="P35" i="120" s="1"/>
  <c r="M70" i="119"/>
  <c r="P108" i="123"/>
  <c r="Q108" i="123" s="1"/>
  <c r="P32" i="123"/>
  <c r="Q32" i="123" s="1"/>
  <c r="P61" i="123"/>
  <c r="Q61" i="123" s="1"/>
  <c r="P96" i="123"/>
  <c r="Q96" i="123" s="1"/>
  <c r="M57" i="123"/>
  <c r="M58" i="123" s="1"/>
  <c r="M80" i="123"/>
  <c r="M81" i="123" s="1"/>
  <c r="P124" i="123"/>
  <c r="Q124" i="123" s="1"/>
  <c r="P116" i="123"/>
  <c r="Q116" i="123" s="1"/>
  <c r="P45" i="119"/>
  <c r="P46" i="119" s="1"/>
  <c r="P38" i="123"/>
  <c r="Q38" i="123" s="1"/>
  <c r="P68" i="120"/>
  <c r="P69" i="120" s="1"/>
  <c r="Q4" i="123"/>
  <c r="P65" i="123"/>
  <c r="Q65" i="123" s="1"/>
  <c r="P117" i="123"/>
  <c r="Q117" i="123" s="1"/>
  <c r="P10" i="123"/>
  <c r="Q10" i="123" s="1"/>
  <c r="P121" i="123"/>
  <c r="Q121" i="123" s="1"/>
  <c r="P100" i="123"/>
  <c r="Q100" i="123" s="1"/>
  <c r="Q26" i="123"/>
  <c r="P102" i="123"/>
  <c r="Q102" i="123" s="1"/>
  <c r="N70" i="120"/>
  <c r="P57" i="119"/>
  <c r="P58" i="119" s="1"/>
  <c r="P49" i="123"/>
  <c r="P57" i="120"/>
  <c r="P58" i="120" s="1"/>
  <c r="P71" i="123"/>
  <c r="Q71" i="123" s="1"/>
  <c r="P83" i="123"/>
  <c r="Q83" i="123" s="1"/>
  <c r="P12" i="119"/>
  <c r="P13" i="119" s="1"/>
  <c r="P8" i="123"/>
  <c r="P12" i="122"/>
  <c r="P13" i="122" s="1"/>
  <c r="P24" i="122" s="1"/>
  <c r="M68" i="123"/>
  <c r="M69" i="123" s="1"/>
  <c r="P101" i="123"/>
  <c r="Q101" i="123" s="1"/>
  <c r="P112" i="123"/>
  <c r="Q112" i="123" s="1"/>
  <c r="P60" i="123"/>
  <c r="Q60" i="123" s="1"/>
  <c r="N68" i="123"/>
  <c r="N69" i="123" s="1"/>
  <c r="N70" i="123" s="1"/>
  <c r="O45" i="123"/>
  <c r="O46" i="123" s="1"/>
  <c r="P59" i="123"/>
  <c r="Q59" i="123" s="1"/>
  <c r="M93" i="120"/>
  <c r="M47" i="120"/>
  <c r="M47" i="119"/>
  <c r="P98" i="123"/>
  <c r="Q98" i="123" s="1"/>
  <c r="P106" i="123"/>
  <c r="Q106" i="123" s="1"/>
  <c r="P120" i="123"/>
  <c r="Q120" i="123" s="1"/>
  <c r="Q6" i="123"/>
  <c r="P34" i="119"/>
  <c r="P35" i="119" s="1"/>
  <c r="P28" i="123"/>
  <c r="Q28" i="123" s="1"/>
  <c r="P111" i="123"/>
  <c r="Q111" i="123" s="1"/>
  <c r="P104" i="123"/>
  <c r="Q104" i="123" s="1"/>
  <c r="P91" i="119"/>
  <c r="P92" i="119" s="1"/>
  <c r="P93" i="119" s="1"/>
  <c r="P82" i="123"/>
  <c r="P91" i="121"/>
  <c r="P92" i="121" s="1"/>
  <c r="P21" i="123"/>
  <c r="Q21" i="123" s="1"/>
  <c r="P77" i="123"/>
  <c r="Q77" i="123" s="1"/>
  <c r="P123" i="123"/>
  <c r="Q123" i="123" s="1"/>
  <c r="Q9" i="123"/>
  <c r="O34" i="123"/>
  <c r="O35" i="123" s="1"/>
  <c r="P97" i="123"/>
  <c r="Q97" i="123" s="1"/>
  <c r="N47" i="120"/>
  <c r="O70" i="120"/>
  <c r="P78" i="123"/>
  <c r="Q78" i="123" s="1"/>
  <c r="P85" i="123"/>
  <c r="Q85" i="123" s="1"/>
  <c r="P75" i="123"/>
  <c r="Q75" i="123" s="1"/>
  <c r="P41" i="123"/>
  <c r="Q41" i="123" s="1"/>
  <c r="Q39" i="123"/>
  <c r="P43" i="123"/>
  <c r="Q43" i="123" s="1"/>
  <c r="O47" i="120"/>
  <c r="P45" i="121"/>
  <c r="P46" i="121" s="1"/>
  <c r="M70" i="121"/>
  <c r="P80" i="120"/>
  <c r="P81" i="120" s="1"/>
  <c r="N47" i="119"/>
  <c r="M93" i="121"/>
  <c r="P91" i="122"/>
  <c r="P92" i="122" s="1"/>
  <c r="P80" i="122"/>
  <c r="P81" i="122" s="1"/>
  <c r="P57" i="122"/>
  <c r="P58" i="122" s="1"/>
  <c r="P70" i="122" s="1"/>
  <c r="N47" i="121"/>
  <c r="P57" i="121"/>
  <c r="P58" i="121" s="1"/>
  <c r="Q24" i="120"/>
  <c r="Q24" i="122"/>
  <c r="P34" i="121"/>
  <c r="P35" i="121" s="1"/>
  <c r="N24" i="122"/>
  <c r="P68" i="119"/>
  <c r="P69" i="119" s="1"/>
  <c r="P12" i="120"/>
  <c r="P13" i="120" s="1"/>
  <c r="P22" i="120"/>
  <c r="P23" i="120" s="1"/>
  <c r="P22" i="119"/>
  <c r="P23" i="119" s="1"/>
  <c r="P24" i="119" s="1"/>
  <c r="P45" i="120"/>
  <c r="P46" i="120" s="1"/>
  <c r="M70" i="120"/>
  <c r="N70" i="121"/>
  <c r="N24" i="119"/>
  <c r="P91" i="120"/>
  <c r="P92" i="120" s="1"/>
  <c r="P93" i="121"/>
  <c r="O93" i="121"/>
  <c r="N24" i="121"/>
  <c r="M105" i="121"/>
  <c r="M109" i="121" s="1"/>
  <c r="M110" i="121" s="1"/>
  <c r="N105" i="121"/>
  <c r="N109" i="121" s="1"/>
  <c r="N110" i="121" s="1"/>
  <c r="O105" i="121"/>
  <c r="O109" i="121" s="1"/>
  <c r="O110" i="121" s="1"/>
  <c r="Q109" i="121"/>
  <c r="Q110" i="121" s="1"/>
  <c r="O47" i="121"/>
  <c r="O122" i="121"/>
  <c r="O126" i="121" s="1"/>
  <c r="O127" i="121" s="1"/>
  <c r="N122" i="121"/>
  <c r="N126" i="121" s="1"/>
  <c r="N127" i="121" s="1"/>
  <c r="M122" i="121"/>
  <c r="M126" i="121" s="1"/>
  <c r="M127" i="121" s="1"/>
  <c r="Q126" i="121"/>
  <c r="Q127" i="121" s="1"/>
  <c r="M93" i="122"/>
  <c r="O122" i="122"/>
  <c r="O126" i="122" s="1"/>
  <c r="O127" i="122" s="1"/>
  <c r="N122" i="122"/>
  <c r="N126" i="122" s="1"/>
  <c r="N127" i="122" s="1"/>
  <c r="M122" i="122"/>
  <c r="M126" i="122" s="1"/>
  <c r="M127" i="122" s="1"/>
  <c r="Q126" i="122"/>
  <c r="Q127" i="122" s="1"/>
  <c r="M105" i="119"/>
  <c r="N105" i="119"/>
  <c r="O105" i="119"/>
  <c r="Q109" i="119"/>
  <c r="Q110" i="119" s="1"/>
  <c r="O122" i="119"/>
  <c r="N122" i="119"/>
  <c r="M122" i="119"/>
  <c r="Q126" i="119"/>
  <c r="Q127" i="119" s="1"/>
  <c r="M47" i="121"/>
  <c r="Q24" i="119"/>
  <c r="O70" i="122"/>
  <c r="M122" i="120"/>
  <c r="M126" i="120" s="1"/>
  <c r="M127" i="120" s="1"/>
  <c r="O122" i="120"/>
  <c r="O126" i="120" s="1"/>
  <c r="O127" i="120" s="1"/>
  <c r="N122" i="120"/>
  <c r="N126" i="120" s="1"/>
  <c r="N127" i="120" s="1"/>
  <c r="Q126" i="120"/>
  <c r="Q127" i="120" s="1"/>
  <c r="N93" i="122"/>
  <c r="O105" i="120"/>
  <c r="O109" i="120" s="1"/>
  <c r="O110" i="120" s="1"/>
  <c r="N105" i="120"/>
  <c r="N109" i="120" s="1"/>
  <c r="N110" i="120" s="1"/>
  <c r="M105" i="120"/>
  <c r="M109" i="120" s="1"/>
  <c r="M110" i="120" s="1"/>
  <c r="Q109" i="120"/>
  <c r="Q110" i="120" s="1"/>
  <c r="O93" i="119"/>
  <c r="O24" i="122"/>
  <c r="N93" i="121"/>
  <c r="O105" i="122"/>
  <c r="O109" i="122" s="1"/>
  <c r="O110" i="122" s="1"/>
  <c r="M105" i="122"/>
  <c r="M109" i="122" s="1"/>
  <c r="M110" i="122" s="1"/>
  <c r="N105" i="122"/>
  <c r="N109" i="122" s="1"/>
  <c r="N110" i="122" s="1"/>
  <c r="Q109" i="122"/>
  <c r="Q110" i="122" s="1"/>
  <c r="J84" i="124" l="1"/>
  <c r="J84" i="127" s="1"/>
  <c r="M93" i="123"/>
  <c r="P47" i="120"/>
  <c r="N11" i="124"/>
  <c r="L11" i="124" s="1"/>
  <c r="L11" i="127" s="1"/>
  <c r="N21" i="124"/>
  <c r="K21" i="124" s="1"/>
  <c r="K21" i="127" s="1"/>
  <c r="N6" i="124"/>
  <c r="K6" i="124" s="1"/>
  <c r="K6" i="127" s="1"/>
  <c r="N61" i="124"/>
  <c r="N31" i="124"/>
  <c r="L31" i="124" s="1"/>
  <c r="L31" i="127" s="1"/>
  <c r="N67" i="124"/>
  <c r="K67" i="124" s="1"/>
  <c r="K67" i="127" s="1"/>
  <c r="N55" i="124"/>
  <c r="J55" i="124" s="1"/>
  <c r="J55" i="127" s="1"/>
  <c r="N111" i="124"/>
  <c r="N59" i="124"/>
  <c r="K59" i="124" s="1"/>
  <c r="K59" i="127" s="1"/>
  <c r="N4" i="124"/>
  <c r="K4" i="124" s="1"/>
  <c r="K4" i="127" s="1"/>
  <c r="N56" i="124"/>
  <c r="L56" i="124" s="1"/>
  <c r="L56" i="127" s="1"/>
  <c r="N25" i="124"/>
  <c r="N125" i="124"/>
  <c r="K125" i="124" s="1"/>
  <c r="K125" i="127" s="1"/>
  <c r="N42" i="124"/>
  <c r="J42" i="124" s="1"/>
  <c r="J42" i="127" s="1"/>
  <c r="N26" i="124"/>
  <c r="N38" i="124"/>
  <c r="J38" i="124" s="1"/>
  <c r="J38" i="127" s="1"/>
  <c r="N32" i="124"/>
  <c r="N90" i="124"/>
  <c r="N94" i="124"/>
  <c r="N86" i="124"/>
  <c r="J86" i="124" s="1"/>
  <c r="J86" i="127" s="1"/>
  <c r="N36" i="124"/>
  <c r="J36" i="124" s="1"/>
  <c r="J36" i="127" s="1"/>
  <c r="N123" i="124"/>
  <c r="L123" i="124" s="1"/>
  <c r="L123" i="127" s="1"/>
  <c r="N114" i="124"/>
  <c r="L114" i="124" s="1"/>
  <c r="L114" i="127" s="1"/>
  <c r="N106" i="124"/>
  <c r="N83" i="124"/>
  <c r="J83" i="124" s="1"/>
  <c r="J83" i="127" s="1"/>
  <c r="N108" i="124"/>
  <c r="N5" i="124"/>
  <c r="N66" i="124"/>
  <c r="J66" i="124" s="1"/>
  <c r="J66" i="127" s="1"/>
  <c r="N50" i="124"/>
  <c r="K50" i="124" s="1"/>
  <c r="K50" i="127" s="1"/>
  <c r="N16" i="124"/>
  <c r="N43" i="124"/>
  <c r="J43" i="124" s="1"/>
  <c r="J43" i="127" s="1"/>
  <c r="N97" i="124"/>
  <c r="N60" i="124"/>
  <c r="K60" i="124" s="1"/>
  <c r="K60" i="127" s="1"/>
  <c r="N71" i="124"/>
  <c r="L71" i="124" s="1"/>
  <c r="L71" i="127" s="1"/>
  <c r="N48" i="124"/>
  <c r="L48" i="124" s="1"/>
  <c r="L48" i="127" s="1"/>
  <c r="N75" i="124"/>
  <c r="L75" i="124" s="1"/>
  <c r="L75" i="127" s="1"/>
  <c r="N72" i="124"/>
  <c r="L72" i="124" s="1"/>
  <c r="L72" i="127" s="1"/>
  <c r="N79" i="124"/>
  <c r="N107" i="124"/>
  <c r="J107" i="124" s="1"/>
  <c r="J107" i="127" s="1"/>
  <c r="N15" i="124"/>
  <c r="N10" i="124"/>
  <c r="L10" i="124" s="1"/>
  <c r="L10" i="127" s="1"/>
  <c r="N124" i="124"/>
  <c r="L124" i="124" s="1"/>
  <c r="L124" i="127" s="1"/>
  <c r="N73" i="124"/>
  <c r="J73" i="124" s="1"/>
  <c r="J73" i="127" s="1"/>
  <c r="N20" i="124"/>
  <c r="J20" i="124" s="1"/>
  <c r="J20" i="127" s="1"/>
  <c r="N27" i="124"/>
  <c r="O24" i="123"/>
  <c r="O70" i="123"/>
  <c r="O93" i="123"/>
  <c r="K20" i="124"/>
  <c r="K20" i="127" s="1"/>
  <c r="M47" i="123"/>
  <c r="L20" i="124"/>
  <c r="L20" i="127" s="1"/>
  <c r="N47" i="123"/>
  <c r="M24" i="123"/>
  <c r="N24" i="123"/>
  <c r="L55" i="124"/>
  <c r="L55" i="127" s="1"/>
  <c r="K86" i="124"/>
  <c r="K86" i="127" s="1"/>
  <c r="P57" i="123"/>
  <c r="P58" i="123" s="1"/>
  <c r="P70" i="121"/>
  <c r="K56" i="124"/>
  <c r="K56" i="127" s="1"/>
  <c r="P12" i="123"/>
  <c r="P13" i="123" s="1"/>
  <c r="O128" i="122"/>
  <c r="O129" i="122" s="1"/>
  <c r="P93" i="120"/>
  <c r="P70" i="120"/>
  <c r="L90" i="124"/>
  <c r="L90" i="127" s="1"/>
  <c r="K90" i="124"/>
  <c r="K90" i="127" s="1"/>
  <c r="J90" i="124"/>
  <c r="J90" i="127" s="1"/>
  <c r="M128" i="121"/>
  <c r="M129" i="121" s="1"/>
  <c r="P34" i="123"/>
  <c r="P35" i="123" s="1"/>
  <c r="Q49" i="123"/>
  <c r="P47" i="119"/>
  <c r="Q128" i="120"/>
  <c r="P24" i="120"/>
  <c r="P70" i="119"/>
  <c r="L21" i="124"/>
  <c r="L21" i="127" s="1"/>
  <c r="K38" i="124"/>
  <c r="K38" i="127" s="1"/>
  <c r="L38" i="124"/>
  <c r="L38" i="127" s="1"/>
  <c r="K43" i="124"/>
  <c r="K43" i="127" s="1"/>
  <c r="L111" i="124"/>
  <c r="L111" i="127" s="1"/>
  <c r="K111" i="124"/>
  <c r="K111" i="127" s="1"/>
  <c r="J111" i="124"/>
  <c r="J111" i="127" s="1"/>
  <c r="L42" i="124"/>
  <c r="L42" i="127" s="1"/>
  <c r="K42" i="124"/>
  <c r="K42" i="127" s="1"/>
  <c r="J71" i="124"/>
  <c r="J71" i="127" s="1"/>
  <c r="L97" i="124"/>
  <c r="L97" i="127" s="1"/>
  <c r="K97" i="124"/>
  <c r="K97" i="127" s="1"/>
  <c r="J97" i="124"/>
  <c r="J97" i="127" s="1"/>
  <c r="J94" i="124"/>
  <c r="J94" i="127" s="1"/>
  <c r="L94" i="124"/>
  <c r="L94" i="127" s="1"/>
  <c r="K94" i="124"/>
  <c r="K94" i="127" s="1"/>
  <c r="J106" i="124"/>
  <c r="J106" i="127" s="1"/>
  <c r="L106" i="124"/>
  <c r="L106" i="127" s="1"/>
  <c r="K106" i="124"/>
  <c r="K106" i="127" s="1"/>
  <c r="K32" i="124"/>
  <c r="K32" i="127" s="1"/>
  <c r="J32" i="124"/>
  <c r="J32" i="127" s="1"/>
  <c r="L32" i="124"/>
  <c r="L32" i="127" s="1"/>
  <c r="K11" i="124"/>
  <c r="K11" i="127" s="1"/>
  <c r="J11" i="124"/>
  <c r="J11" i="127" s="1"/>
  <c r="J75" i="124"/>
  <c r="J75" i="127" s="1"/>
  <c r="O47" i="123"/>
  <c r="L6" i="124"/>
  <c r="L6" i="127" s="1"/>
  <c r="P45" i="123"/>
  <c r="P46" i="123" s="1"/>
  <c r="L15" i="124"/>
  <c r="L15" i="127" s="1"/>
  <c r="K15" i="124"/>
  <c r="K15" i="127" s="1"/>
  <c r="J15" i="124"/>
  <c r="J15" i="127" s="1"/>
  <c r="L61" i="124"/>
  <c r="L61" i="127" s="1"/>
  <c r="K61" i="124"/>
  <c r="K61" i="127" s="1"/>
  <c r="J61" i="124"/>
  <c r="J61" i="127" s="1"/>
  <c r="P91" i="123"/>
  <c r="P92" i="123" s="1"/>
  <c r="K108" i="124"/>
  <c r="K108" i="127" s="1"/>
  <c r="L108" i="124"/>
  <c r="L108" i="127" s="1"/>
  <c r="J108" i="124"/>
  <c r="J108" i="127" s="1"/>
  <c r="J25" i="124"/>
  <c r="J25" i="127" s="1"/>
  <c r="L25" i="124"/>
  <c r="L25" i="127" s="1"/>
  <c r="K25" i="124"/>
  <c r="K25" i="127" s="1"/>
  <c r="J79" i="124"/>
  <c r="J79" i="127" s="1"/>
  <c r="L79" i="124"/>
  <c r="L79" i="127" s="1"/>
  <c r="K79" i="124"/>
  <c r="K79" i="127" s="1"/>
  <c r="L107" i="124"/>
  <c r="L107" i="127" s="1"/>
  <c r="K107" i="124"/>
  <c r="K107" i="127" s="1"/>
  <c r="L26" i="124"/>
  <c r="L26" i="127" s="1"/>
  <c r="K26" i="124"/>
  <c r="K26" i="127" s="1"/>
  <c r="J26" i="124"/>
  <c r="J26" i="127" s="1"/>
  <c r="K31" i="124"/>
  <c r="K31" i="127" s="1"/>
  <c r="N93" i="123"/>
  <c r="L5" i="124"/>
  <c r="L5" i="127" s="1"/>
  <c r="K5" i="124"/>
  <c r="K5" i="127" s="1"/>
  <c r="J5" i="124"/>
  <c r="J5" i="127" s="1"/>
  <c r="Q80" i="123"/>
  <c r="Q81" i="123" s="1"/>
  <c r="M126" i="119"/>
  <c r="M127" i="119" s="1"/>
  <c r="M122" i="123"/>
  <c r="O126" i="119"/>
  <c r="O127" i="119" s="1"/>
  <c r="O122" i="123"/>
  <c r="O126" i="123" s="1"/>
  <c r="O127" i="123" s="1"/>
  <c r="Q37" i="123"/>
  <c r="P68" i="123"/>
  <c r="P69" i="123" s="1"/>
  <c r="M70" i="123"/>
  <c r="Q14" i="123"/>
  <c r="P22" i="123"/>
  <c r="P23" i="123" s="1"/>
  <c r="M128" i="120"/>
  <c r="M129" i="120" s="1"/>
  <c r="Q128" i="119"/>
  <c r="N128" i="122"/>
  <c r="N129" i="122" s="1"/>
  <c r="O109" i="119"/>
  <c r="O110" i="119" s="1"/>
  <c r="O105" i="123"/>
  <c r="Q8" i="123"/>
  <c r="N126" i="119"/>
  <c r="N127" i="119" s="1"/>
  <c r="N122" i="123"/>
  <c r="N126" i="123" s="1"/>
  <c r="N127" i="123" s="1"/>
  <c r="N109" i="119"/>
  <c r="N110" i="119" s="1"/>
  <c r="N105" i="123"/>
  <c r="N109" i="123" s="1"/>
  <c r="N110" i="123" s="1"/>
  <c r="M109" i="119"/>
  <c r="M110" i="119" s="1"/>
  <c r="M105" i="123"/>
  <c r="M109" i="123" s="1"/>
  <c r="M110" i="123" s="1"/>
  <c r="M128" i="122"/>
  <c r="M129" i="122" s="1"/>
  <c r="Q34" i="123"/>
  <c r="Q35" i="123" s="1"/>
  <c r="Q68" i="123"/>
  <c r="Q69" i="123" s="1"/>
  <c r="P80" i="123"/>
  <c r="P81" i="123" s="1"/>
  <c r="Q82" i="123"/>
  <c r="P105" i="119"/>
  <c r="O128" i="121"/>
  <c r="O129" i="121" s="1"/>
  <c r="P47" i="121"/>
  <c r="P93" i="122"/>
  <c r="N128" i="120"/>
  <c r="N129" i="120" s="1"/>
  <c r="P105" i="120"/>
  <c r="P109" i="120" s="1"/>
  <c r="P110" i="120" s="1"/>
  <c r="P105" i="122"/>
  <c r="P109" i="122" s="1"/>
  <c r="P110" i="122" s="1"/>
  <c r="O128" i="120"/>
  <c r="O129" i="120" s="1"/>
  <c r="P122" i="120"/>
  <c r="P126" i="120" s="1"/>
  <c r="P127" i="120" s="1"/>
  <c r="P122" i="122"/>
  <c r="P126" i="122" s="1"/>
  <c r="P127" i="122" s="1"/>
  <c r="P122" i="121"/>
  <c r="P126" i="121" s="1"/>
  <c r="P127" i="121" s="1"/>
  <c r="Q128" i="121"/>
  <c r="P105" i="121"/>
  <c r="P109" i="121" s="1"/>
  <c r="P110" i="121" s="1"/>
  <c r="Q128" i="122"/>
  <c r="P122" i="119"/>
  <c r="N128" i="121"/>
  <c r="N129" i="121" s="1"/>
  <c r="J31" i="124" l="1"/>
  <c r="J31" i="127" s="1"/>
  <c r="J59" i="124"/>
  <c r="J59" i="127" s="1"/>
  <c r="M84" i="124"/>
  <c r="M84" i="127" s="1"/>
  <c r="N84" i="127" s="1"/>
  <c r="K10" i="124"/>
  <c r="K10" i="127" s="1"/>
  <c r="K36" i="124"/>
  <c r="K36" i="127" s="1"/>
  <c r="N36" i="127" s="1"/>
  <c r="K123" i="124"/>
  <c r="K123" i="127" s="1"/>
  <c r="L43" i="124"/>
  <c r="L43" i="127" s="1"/>
  <c r="L73" i="124"/>
  <c r="L73" i="127" s="1"/>
  <c r="L36" i="124"/>
  <c r="L36" i="127" s="1"/>
  <c r="J56" i="124"/>
  <c r="J56" i="127" s="1"/>
  <c r="M128" i="119"/>
  <c r="M129" i="119" s="1"/>
  <c r="N79" i="127"/>
  <c r="K55" i="124"/>
  <c r="K66" i="124"/>
  <c r="K66" i="127" s="1"/>
  <c r="K83" i="124"/>
  <c r="K83" i="127" s="1"/>
  <c r="J72" i="124"/>
  <c r="J72" i="127" s="1"/>
  <c r="L60" i="124"/>
  <c r="L60" i="127" s="1"/>
  <c r="J4" i="124"/>
  <c r="K75" i="124"/>
  <c r="K75" i="127" s="1"/>
  <c r="J48" i="124"/>
  <c r="K71" i="124"/>
  <c r="K71" i="127" s="1"/>
  <c r="J21" i="124"/>
  <c r="J21" i="127" s="1"/>
  <c r="K73" i="124"/>
  <c r="K73" i="127" s="1"/>
  <c r="J16" i="124"/>
  <c r="J16" i="127" s="1"/>
  <c r="L16" i="124"/>
  <c r="L16" i="127" s="1"/>
  <c r="K16" i="124"/>
  <c r="Q12" i="123"/>
  <c r="Q13" i="123" s="1"/>
  <c r="O128" i="119"/>
  <c r="O129" i="119" s="1"/>
  <c r="N37" i="124"/>
  <c r="L37" i="124" s="1"/>
  <c r="L37" i="127" s="1"/>
  <c r="L66" i="124"/>
  <c r="L83" i="124"/>
  <c r="K72" i="124"/>
  <c r="J124" i="124"/>
  <c r="J124" i="127" s="1"/>
  <c r="L4" i="124"/>
  <c r="L4" i="127" s="1"/>
  <c r="K48" i="124"/>
  <c r="K48" i="127" s="1"/>
  <c r="J123" i="124"/>
  <c r="J123" i="127" s="1"/>
  <c r="L67" i="124"/>
  <c r="L67" i="127" s="1"/>
  <c r="J50" i="124"/>
  <c r="J50" i="127" s="1"/>
  <c r="J67" i="124"/>
  <c r="J67" i="127" s="1"/>
  <c r="J27" i="124"/>
  <c r="L27" i="124"/>
  <c r="L27" i="127" s="1"/>
  <c r="K27" i="124"/>
  <c r="K27" i="127" s="1"/>
  <c r="J60" i="124"/>
  <c r="J60" i="127" s="1"/>
  <c r="L125" i="124"/>
  <c r="K124" i="124"/>
  <c r="J10" i="124"/>
  <c r="J10" i="127" s="1"/>
  <c r="J114" i="124"/>
  <c r="J114" i="127" s="1"/>
  <c r="L59" i="124"/>
  <c r="L59" i="127" s="1"/>
  <c r="N49" i="124"/>
  <c r="K49" i="124" s="1"/>
  <c r="K49" i="127" s="1"/>
  <c r="L86" i="124"/>
  <c r="J6" i="124"/>
  <c r="K114" i="124"/>
  <c r="K114" i="127" s="1"/>
  <c r="J125" i="124"/>
  <c r="J125" i="127" s="1"/>
  <c r="L50" i="124"/>
  <c r="M20" i="124"/>
  <c r="M20" i="127" s="1"/>
  <c r="N20" i="127" s="1"/>
  <c r="Q57" i="123"/>
  <c r="Q58" i="123" s="1"/>
  <c r="Q70" i="123" s="1"/>
  <c r="P70" i="123"/>
  <c r="P93" i="123"/>
  <c r="M38" i="124"/>
  <c r="M38" i="127" s="1"/>
  <c r="N38" i="127" s="1"/>
  <c r="Q45" i="123"/>
  <c r="Q46" i="123" s="1"/>
  <c r="Q47" i="123" s="1"/>
  <c r="M73" i="124"/>
  <c r="M73" i="127" s="1"/>
  <c r="M90" i="124"/>
  <c r="M90" i="127" s="1"/>
  <c r="N90" i="127" s="1"/>
  <c r="P47" i="123"/>
  <c r="M5" i="124"/>
  <c r="M5" i="127" s="1"/>
  <c r="N5" i="127" s="1"/>
  <c r="M56" i="124"/>
  <c r="M56" i="127" s="1"/>
  <c r="P24" i="123"/>
  <c r="M97" i="124"/>
  <c r="M97" i="127" s="1"/>
  <c r="N97" i="127" s="1"/>
  <c r="N128" i="119"/>
  <c r="N129" i="119" s="1"/>
  <c r="M106" i="124"/>
  <c r="M106" i="127" s="1"/>
  <c r="N106" i="127" s="1"/>
  <c r="M36" i="124"/>
  <c r="M36" i="127" s="1"/>
  <c r="M108" i="124"/>
  <c r="M108" i="127" s="1"/>
  <c r="N108" i="127" s="1"/>
  <c r="M11" i="124"/>
  <c r="M11" i="127" s="1"/>
  <c r="N11" i="127" s="1"/>
  <c r="M79" i="124"/>
  <c r="M79" i="127" s="1"/>
  <c r="M21" i="124"/>
  <c r="M21" i="127" s="1"/>
  <c r="Q22" i="123"/>
  <c r="Q23" i="123" s="1"/>
  <c r="Q24" i="123" s="1"/>
  <c r="N14" i="124"/>
  <c r="M26" i="124"/>
  <c r="M26" i="127" s="1"/>
  <c r="N26" i="127" s="1"/>
  <c r="M75" i="124"/>
  <c r="M75" i="127" s="1"/>
  <c r="N75" i="127" s="1"/>
  <c r="M114" i="124"/>
  <c r="M114" i="127" s="1"/>
  <c r="M111" i="124"/>
  <c r="M111" i="127" s="1"/>
  <c r="N111" i="127" s="1"/>
  <c r="M25" i="124"/>
  <c r="M25" i="127" s="1"/>
  <c r="N25" i="127" s="1"/>
  <c r="Q91" i="123"/>
  <c r="Q92" i="123" s="1"/>
  <c r="Q93" i="123" s="1"/>
  <c r="N82" i="124"/>
  <c r="M107" i="124"/>
  <c r="M107" i="127" s="1"/>
  <c r="N107" i="127" s="1"/>
  <c r="M94" i="124"/>
  <c r="M94" i="127" s="1"/>
  <c r="N94" i="127" s="1"/>
  <c r="M71" i="124"/>
  <c r="M71" i="127" s="1"/>
  <c r="N71" i="127" s="1"/>
  <c r="N128" i="123"/>
  <c r="N129" i="123" s="1"/>
  <c r="J37" i="124"/>
  <c r="J37" i="127" s="1"/>
  <c r="M61" i="124"/>
  <c r="M61" i="127" s="1"/>
  <c r="N61" i="127" s="1"/>
  <c r="M15" i="124"/>
  <c r="M15" i="127" s="1"/>
  <c r="N15" i="127" s="1"/>
  <c r="M10" i="124"/>
  <c r="M10" i="127" s="1"/>
  <c r="M32" i="124"/>
  <c r="M32" i="127" s="1"/>
  <c r="N32" i="127" s="1"/>
  <c r="M42" i="124"/>
  <c r="M42" i="127" s="1"/>
  <c r="N42" i="127" s="1"/>
  <c r="P109" i="119"/>
  <c r="P110" i="119" s="1"/>
  <c r="P105" i="123"/>
  <c r="P109" i="123" s="1"/>
  <c r="P110" i="123" s="1"/>
  <c r="M126" i="123"/>
  <c r="M127" i="123" s="1"/>
  <c r="M128" i="123" s="1"/>
  <c r="M129" i="123" s="1"/>
  <c r="P126" i="119"/>
  <c r="P127" i="119" s="1"/>
  <c r="P122" i="123"/>
  <c r="P126" i="123" s="1"/>
  <c r="P127" i="123" s="1"/>
  <c r="O109" i="123"/>
  <c r="O110" i="123" s="1"/>
  <c r="O128" i="123" s="1"/>
  <c r="O129" i="123" s="1"/>
  <c r="P128" i="122"/>
  <c r="P129" i="122" s="1"/>
  <c r="Q129" i="122" s="1"/>
  <c r="P128" i="121"/>
  <c r="P129" i="121" s="1"/>
  <c r="Q129" i="121" s="1"/>
  <c r="P128" i="120"/>
  <c r="P129" i="120" s="1"/>
  <c r="Q129" i="120" s="1"/>
  <c r="J49" i="124" l="1"/>
  <c r="J49" i="127" s="1"/>
  <c r="N49" i="127" s="1"/>
  <c r="N73" i="127"/>
  <c r="M31" i="124"/>
  <c r="M31" i="127" s="1"/>
  <c r="N31" i="127" s="1"/>
  <c r="M43" i="124"/>
  <c r="M43" i="127" s="1"/>
  <c r="N43" i="127" s="1"/>
  <c r="K37" i="124"/>
  <c r="K37" i="127" s="1"/>
  <c r="M55" i="124"/>
  <c r="M55" i="127" s="1"/>
  <c r="K55" i="127"/>
  <c r="M60" i="124"/>
  <c r="M60" i="127" s="1"/>
  <c r="N60" i="127" s="1"/>
  <c r="M123" i="124"/>
  <c r="M123" i="127" s="1"/>
  <c r="N123" i="127" s="1"/>
  <c r="M6" i="124"/>
  <c r="M6" i="127" s="1"/>
  <c r="J6" i="127"/>
  <c r="M86" i="124"/>
  <c r="M86" i="127" s="1"/>
  <c r="L86" i="127"/>
  <c r="M16" i="124"/>
  <c r="M16" i="127" s="1"/>
  <c r="N16" i="127" s="1"/>
  <c r="K16" i="127"/>
  <c r="M4" i="124"/>
  <c r="M4" i="127" s="1"/>
  <c r="J4" i="127"/>
  <c r="N4" i="127" s="1"/>
  <c r="N114" i="127"/>
  <c r="M83" i="124"/>
  <c r="M83" i="127" s="1"/>
  <c r="L83" i="127"/>
  <c r="N56" i="127"/>
  <c r="M27" i="124"/>
  <c r="M27" i="127" s="1"/>
  <c r="J27" i="127"/>
  <c r="M72" i="124"/>
  <c r="M72" i="127" s="1"/>
  <c r="N72" i="127" s="1"/>
  <c r="K72" i="127"/>
  <c r="M50" i="124"/>
  <c r="M50" i="127" s="1"/>
  <c r="N50" i="127" s="1"/>
  <c r="L50" i="127"/>
  <c r="N10" i="127"/>
  <c r="M66" i="124"/>
  <c r="M66" i="127" s="1"/>
  <c r="L66" i="127"/>
  <c r="N21" i="127"/>
  <c r="L49" i="124"/>
  <c r="L49" i="127" s="1"/>
  <c r="M59" i="124"/>
  <c r="M59" i="127" s="1"/>
  <c r="N59" i="127" s="1"/>
  <c r="M124" i="124"/>
  <c r="M124" i="127" s="1"/>
  <c r="K124" i="127"/>
  <c r="N124" i="127" s="1"/>
  <c r="M125" i="124"/>
  <c r="M125" i="127" s="1"/>
  <c r="L125" i="127"/>
  <c r="M48" i="124"/>
  <c r="M48" i="127" s="1"/>
  <c r="J48" i="127"/>
  <c r="M67" i="124"/>
  <c r="M67" i="127" s="1"/>
  <c r="N67" i="127" s="1"/>
  <c r="M49" i="124"/>
  <c r="M49" i="127" s="1"/>
  <c r="Q122" i="123"/>
  <c r="P128" i="123"/>
  <c r="P129" i="123" s="1"/>
  <c r="Q129" i="123" s="1"/>
  <c r="L82" i="124"/>
  <c r="L82" i="127" s="1"/>
  <c r="K82" i="124"/>
  <c r="K82" i="127" s="1"/>
  <c r="J82" i="124"/>
  <c r="J82" i="127" s="1"/>
  <c r="M37" i="124"/>
  <c r="M37" i="127" s="1"/>
  <c r="N37" i="127" s="1"/>
  <c r="J14" i="124"/>
  <c r="J14" i="127" s="1"/>
  <c r="L14" i="124"/>
  <c r="L14" i="127" s="1"/>
  <c r="K14" i="124"/>
  <c r="K14" i="127" s="1"/>
  <c r="Q105" i="123"/>
  <c r="P128" i="119"/>
  <c r="P129" i="119" s="1"/>
  <c r="Q129" i="119" s="1"/>
  <c r="L104" i="9"/>
  <c r="O79" i="9"/>
  <c r="M79" i="9"/>
  <c r="P79" i="9" s="1"/>
  <c r="O51" i="9"/>
  <c r="M51" i="9"/>
  <c r="P51" i="9" s="1"/>
  <c r="O35" i="9"/>
  <c r="P35" i="9" s="1"/>
  <c r="M35" i="9"/>
  <c r="O17" i="9"/>
  <c r="M17" i="9"/>
  <c r="P17" i="9" s="1"/>
  <c r="N6" i="7"/>
  <c r="N7" i="7"/>
  <c r="N8" i="7"/>
  <c r="N9" i="7"/>
  <c r="N10" i="7"/>
  <c r="N11" i="7"/>
  <c r="N12" i="7"/>
  <c r="N13" i="7"/>
  <c r="N14" i="7"/>
  <c r="N15" i="7"/>
  <c r="N16" i="7"/>
  <c r="N17" i="7"/>
  <c r="N18" i="7"/>
  <c r="N19" i="7"/>
  <c r="N20" i="7"/>
  <c r="N21" i="7"/>
  <c r="N22" i="7"/>
  <c r="N23" i="7"/>
  <c r="N24" i="7"/>
  <c r="N25" i="7"/>
  <c r="N26" i="7"/>
  <c r="N27" i="7"/>
  <c r="N28" i="7"/>
  <c r="N29" i="7"/>
  <c r="N30" i="7"/>
  <c r="N31" i="7"/>
  <c r="N32" i="7"/>
  <c r="N33" i="7"/>
  <c r="N34" i="7"/>
  <c r="N35" i="7"/>
  <c r="N36" i="7"/>
  <c r="N37" i="7"/>
  <c r="N38" i="7"/>
  <c r="N39" i="7"/>
  <c r="N40" i="7"/>
  <c r="N41" i="7"/>
  <c r="N42" i="7"/>
  <c r="N43" i="7"/>
  <c r="N44" i="7"/>
  <c r="N45" i="7"/>
  <c r="N46" i="7"/>
  <c r="N47" i="7"/>
  <c r="N48" i="7"/>
  <c r="N49" i="7"/>
  <c r="N50" i="7"/>
  <c r="N51" i="7"/>
  <c r="N52" i="7"/>
  <c r="N53" i="7"/>
  <c r="N54" i="7"/>
  <c r="N55" i="7"/>
  <c r="N56" i="7"/>
  <c r="N57" i="7"/>
  <c r="N58" i="7"/>
  <c r="N59" i="7"/>
  <c r="N60" i="7"/>
  <c r="N61" i="7"/>
  <c r="N62" i="7"/>
  <c r="N63" i="7"/>
  <c r="N64" i="7"/>
  <c r="N65" i="7"/>
  <c r="N66" i="7"/>
  <c r="N67" i="7"/>
  <c r="N68" i="7"/>
  <c r="N69" i="7"/>
  <c r="N70" i="7"/>
  <c r="N71" i="7"/>
  <c r="N72" i="7"/>
  <c r="N73" i="7"/>
  <c r="N74" i="7"/>
  <c r="N75" i="7"/>
  <c r="N76" i="7"/>
  <c r="N77" i="7"/>
  <c r="N78" i="7"/>
  <c r="N79" i="7"/>
  <c r="N80" i="7"/>
  <c r="N81" i="7"/>
  <c r="N82" i="7"/>
  <c r="N83" i="7"/>
  <c r="N84" i="7"/>
  <c r="N85" i="7"/>
  <c r="N86" i="7"/>
  <c r="N87" i="7"/>
  <c r="N88" i="7"/>
  <c r="N89" i="7"/>
  <c r="N90" i="7"/>
  <c r="N91" i="7"/>
  <c r="N92" i="7"/>
  <c r="N93" i="7"/>
  <c r="N94" i="7"/>
  <c r="N95" i="7"/>
  <c r="N96" i="7"/>
  <c r="N97" i="7"/>
  <c r="N98" i="7"/>
  <c r="N99" i="7"/>
  <c r="N100" i="7"/>
  <c r="N101" i="7"/>
  <c r="N102" i="7"/>
  <c r="N103" i="7"/>
  <c r="N5" i="7"/>
  <c r="G120" i="114"/>
  <c r="G119" i="114"/>
  <c r="G118" i="114"/>
  <c r="G117" i="114"/>
  <c r="G116" i="114"/>
  <c r="G115" i="114"/>
  <c r="G114" i="114"/>
  <c r="G113" i="114"/>
  <c r="G112" i="114"/>
  <c r="G111" i="114"/>
  <c r="G110" i="114"/>
  <c r="G109" i="114"/>
  <c r="G108" i="114"/>
  <c r="G107" i="114"/>
  <c r="G106" i="114"/>
  <c r="G105" i="114"/>
  <c r="G104" i="114"/>
  <c r="G103" i="114"/>
  <c r="G102" i="114"/>
  <c r="G101" i="114"/>
  <c r="G100" i="114"/>
  <c r="G99" i="114"/>
  <c r="G98" i="114"/>
  <c r="G97" i="114"/>
  <c r="G96" i="114"/>
  <c r="G95" i="114"/>
  <c r="G94" i="114"/>
  <c r="G93" i="114"/>
  <c r="G92" i="114"/>
  <c r="G91" i="114"/>
  <c r="G90" i="114"/>
  <c r="G89" i="114"/>
  <c r="G88" i="114"/>
  <c r="G87" i="114"/>
  <c r="G86" i="114"/>
  <c r="G85" i="114"/>
  <c r="G84" i="114"/>
  <c r="G83" i="114"/>
  <c r="G82" i="114"/>
  <c r="G81" i="114"/>
  <c r="G80" i="114"/>
  <c r="G79" i="114"/>
  <c r="G78" i="114"/>
  <c r="G77" i="114"/>
  <c r="G76" i="114"/>
  <c r="G75" i="114"/>
  <c r="G74" i="114"/>
  <c r="G73" i="114"/>
  <c r="G72" i="114"/>
  <c r="G71" i="114"/>
  <c r="G70" i="114"/>
  <c r="G69" i="114"/>
  <c r="G68" i="114"/>
  <c r="G67" i="114"/>
  <c r="G66" i="114"/>
  <c r="G65" i="114"/>
  <c r="G64" i="114"/>
  <c r="G63" i="114"/>
  <c r="G62" i="114"/>
  <c r="G61" i="114"/>
  <c r="G60" i="114"/>
  <c r="G59" i="114"/>
  <c r="G58" i="114"/>
  <c r="G57" i="114"/>
  <c r="G56" i="114"/>
  <c r="G55" i="114"/>
  <c r="G54" i="114"/>
  <c r="G53" i="114"/>
  <c r="G52" i="114"/>
  <c r="G51" i="114"/>
  <c r="G50" i="114"/>
  <c r="G49" i="114"/>
  <c r="G48" i="114"/>
  <c r="G47" i="114"/>
  <c r="G46" i="114"/>
  <c r="G45" i="114"/>
  <c r="G44" i="114"/>
  <c r="G43" i="114"/>
  <c r="G42" i="114"/>
  <c r="G41" i="114"/>
  <c r="G40" i="114"/>
  <c r="G39" i="114"/>
  <c r="G38" i="114"/>
  <c r="G37" i="114"/>
  <c r="G36" i="114"/>
  <c r="G35" i="114"/>
  <c r="G34" i="114"/>
  <c r="G33" i="114"/>
  <c r="G32" i="114"/>
  <c r="G31" i="114"/>
  <c r="G30" i="114"/>
  <c r="G29" i="114"/>
  <c r="G28" i="114"/>
  <c r="G27" i="114"/>
  <c r="G26" i="114"/>
  <c r="G25" i="114"/>
  <c r="G24" i="114"/>
  <c r="G23" i="114"/>
  <c r="G22" i="114"/>
  <c r="D11" i="114"/>
  <c r="D13" i="114" s="1"/>
  <c r="C11" i="114"/>
  <c r="C13" i="114" s="1"/>
  <c r="E10" i="114"/>
  <c r="E7" i="113"/>
  <c r="D7" i="113"/>
  <c r="C7" i="113"/>
  <c r="B7" i="113"/>
  <c r="E6" i="113"/>
  <c r="L6" i="9"/>
  <c r="N6" i="9"/>
  <c r="L7" i="9"/>
  <c r="N7" i="9"/>
  <c r="L8" i="9"/>
  <c r="N8" i="9"/>
  <c r="L9" i="9"/>
  <c r="N9" i="9"/>
  <c r="L10" i="9"/>
  <c r="N10" i="9"/>
  <c r="L11" i="9"/>
  <c r="N11" i="9"/>
  <c r="L12" i="9"/>
  <c r="N12" i="9"/>
  <c r="L13" i="9"/>
  <c r="N13" i="9"/>
  <c r="L14" i="9"/>
  <c r="N14" i="9"/>
  <c r="L15" i="9"/>
  <c r="N15" i="9"/>
  <c r="L16" i="9"/>
  <c r="N16" i="9"/>
  <c r="L17" i="9"/>
  <c r="N17" i="9"/>
  <c r="L18" i="9"/>
  <c r="N18" i="9"/>
  <c r="L19" i="9"/>
  <c r="N19" i="9"/>
  <c r="L20" i="9"/>
  <c r="N20" i="9"/>
  <c r="L21" i="9"/>
  <c r="N21" i="9"/>
  <c r="L22" i="9"/>
  <c r="N22" i="9"/>
  <c r="L23" i="9"/>
  <c r="N23" i="9"/>
  <c r="L24" i="9"/>
  <c r="N24" i="9"/>
  <c r="L25" i="9"/>
  <c r="N25" i="9"/>
  <c r="L26" i="9"/>
  <c r="N26" i="9"/>
  <c r="L27" i="9"/>
  <c r="N27" i="9"/>
  <c r="L28" i="9"/>
  <c r="N28" i="9"/>
  <c r="L29" i="9"/>
  <c r="N29" i="9"/>
  <c r="L30" i="9"/>
  <c r="N30" i="9"/>
  <c r="L31" i="9"/>
  <c r="N31" i="9"/>
  <c r="L32" i="9"/>
  <c r="N32" i="9"/>
  <c r="L33" i="9"/>
  <c r="N33" i="9"/>
  <c r="L34" i="9"/>
  <c r="N34" i="9"/>
  <c r="L35" i="9"/>
  <c r="N35" i="9"/>
  <c r="L36" i="9"/>
  <c r="N36" i="9"/>
  <c r="L37" i="9"/>
  <c r="N37" i="9"/>
  <c r="L38" i="9"/>
  <c r="N38" i="9"/>
  <c r="L39" i="9"/>
  <c r="N39" i="9"/>
  <c r="L40" i="9"/>
  <c r="N40" i="9"/>
  <c r="L41" i="9"/>
  <c r="N41" i="9"/>
  <c r="L42" i="9"/>
  <c r="N42" i="9"/>
  <c r="L43" i="9"/>
  <c r="N43" i="9"/>
  <c r="L44" i="9"/>
  <c r="N44" i="9"/>
  <c r="L45" i="9"/>
  <c r="N45" i="9"/>
  <c r="L46" i="9"/>
  <c r="N46" i="9"/>
  <c r="L47" i="9"/>
  <c r="N47" i="9"/>
  <c r="L48" i="9"/>
  <c r="N48" i="9"/>
  <c r="L49" i="9"/>
  <c r="N49" i="9"/>
  <c r="L50" i="9"/>
  <c r="N50" i="9"/>
  <c r="L51" i="9"/>
  <c r="N51" i="9"/>
  <c r="L52" i="9"/>
  <c r="N52" i="9"/>
  <c r="L53" i="9"/>
  <c r="N53" i="9"/>
  <c r="L54" i="9"/>
  <c r="N54" i="9"/>
  <c r="L55" i="9"/>
  <c r="N55" i="9"/>
  <c r="L56" i="9"/>
  <c r="N56" i="9"/>
  <c r="L57" i="9"/>
  <c r="N57" i="9"/>
  <c r="L58" i="9"/>
  <c r="N58" i="9"/>
  <c r="L59" i="9"/>
  <c r="N59" i="9"/>
  <c r="L60" i="9"/>
  <c r="N60" i="9"/>
  <c r="L61" i="9"/>
  <c r="N61" i="9"/>
  <c r="L62" i="9"/>
  <c r="N62" i="9"/>
  <c r="L63" i="9"/>
  <c r="N63" i="9"/>
  <c r="L64" i="9"/>
  <c r="N64" i="9"/>
  <c r="L65" i="9"/>
  <c r="N65" i="9"/>
  <c r="L66" i="9"/>
  <c r="N66" i="9"/>
  <c r="L67" i="9"/>
  <c r="N67" i="9"/>
  <c r="L68" i="9"/>
  <c r="N68" i="9"/>
  <c r="L69" i="9"/>
  <c r="N69" i="9"/>
  <c r="L70" i="9"/>
  <c r="N70" i="9"/>
  <c r="L71" i="9"/>
  <c r="N71" i="9"/>
  <c r="L72" i="9"/>
  <c r="N72" i="9"/>
  <c r="L73" i="9"/>
  <c r="N73" i="9"/>
  <c r="L74" i="9"/>
  <c r="N74" i="9"/>
  <c r="L75" i="9"/>
  <c r="N75" i="9"/>
  <c r="L76" i="9"/>
  <c r="N76" i="9"/>
  <c r="L77" i="9"/>
  <c r="N77" i="9"/>
  <c r="L78" i="9"/>
  <c r="N78" i="9"/>
  <c r="L79" i="9"/>
  <c r="N79" i="9"/>
  <c r="L80" i="9"/>
  <c r="N80" i="9"/>
  <c r="L81" i="9"/>
  <c r="N81" i="9"/>
  <c r="L82" i="9"/>
  <c r="N82" i="9"/>
  <c r="L83" i="9"/>
  <c r="N83" i="9"/>
  <c r="L84" i="9"/>
  <c r="N84" i="9"/>
  <c r="L85" i="9"/>
  <c r="N85" i="9"/>
  <c r="L86" i="9"/>
  <c r="N86" i="9"/>
  <c r="L87" i="9"/>
  <c r="N87" i="9"/>
  <c r="L88" i="9"/>
  <c r="N88" i="9"/>
  <c r="L89" i="9"/>
  <c r="N89" i="9"/>
  <c r="L90" i="9"/>
  <c r="N90" i="9"/>
  <c r="L91" i="9"/>
  <c r="N91" i="9"/>
  <c r="L92" i="9"/>
  <c r="N92" i="9"/>
  <c r="L93" i="9"/>
  <c r="N93" i="9"/>
  <c r="L94" i="9"/>
  <c r="N94" i="9"/>
  <c r="L95" i="9"/>
  <c r="N95" i="9"/>
  <c r="L96" i="9"/>
  <c r="N96" i="9"/>
  <c r="L97" i="9"/>
  <c r="N97" i="9"/>
  <c r="L98" i="9"/>
  <c r="N98" i="9"/>
  <c r="L99" i="9"/>
  <c r="N99" i="9"/>
  <c r="L100" i="9"/>
  <c r="N100" i="9"/>
  <c r="L101" i="9"/>
  <c r="N101" i="9"/>
  <c r="L102" i="9"/>
  <c r="N102" i="9"/>
  <c r="L103" i="9"/>
  <c r="N103" i="9"/>
  <c r="N5" i="9"/>
  <c r="N104" i="9" s="1"/>
  <c r="L5" i="9"/>
  <c r="AP194" i="112"/>
  <c r="AP196" i="112" s="1"/>
  <c r="AX146" i="112"/>
  <c r="AW146" i="112"/>
  <c r="AV146" i="112"/>
  <c r="AU146" i="112"/>
  <c r="AT146" i="112"/>
  <c r="AS146" i="112"/>
  <c r="AR146" i="112"/>
  <c r="AQ146" i="112"/>
  <c r="AP146" i="112"/>
  <c r="AO146" i="112"/>
  <c r="R146" i="112"/>
  <c r="R148" i="112" s="1"/>
  <c r="AZ145" i="112"/>
  <c r="Y145" i="112"/>
  <c r="X145" i="112"/>
  <c r="W145" i="112"/>
  <c r="V145" i="112"/>
  <c r="U145" i="112"/>
  <c r="T145" i="112"/>
  <c r="S145" i="112"/>
  <c r="Q145" i="112"/>
  <c r="P145" i="112"/>
  <c r="O145" i="112"/>
  <c r="M145" i="112" a="1"/>
  <c r="M145" i="112" s="1"/>
  <c r="N145" i="112" s="1"/>
  <c r="L145" i="112"/>
  <c r="AZ144" i="112"/>
  <c r="Y144" i="112"/>
  <c r="X144" i="112"/>
  <c r="W144" i="112"/>
  <c r="V144" i="112"/>
  <c r="U144" i="112"/>
  <c r="T144" i="112"/>
  <c r="S144" i="112"/>
  <c r="Q144" i="112"/>
  <c r="P144" i="112"/>
  <c r="O144" i="112"/>
  <c r="M144" i="112" a="1"/>
  <c r="M144" i="112" s="1"/>
  <c r="N144" i="112" s="1"/>
  <c r="L144" i="112"/>
  <c r="AZ143" i="112"/>
  <c r="Y143" i="112"/>
  <c r="X143" i="112"/>
  <c r="W143" i="112"/>
  <c r="V143" i="112"/>
  <c r="U143" i="112"/>
  <c r="T143" i="112"/>
  <c r="S143" i="112"/>
  <c r="Q143" i="112"/>
  <c r="P143" i="112"/>
  <c r="O143" i="112"/>
  <c r="M143" i="112" a="1"/>
  <c r="M143" i="112" s="1"/>
  <c r="N143" i="112" s="1"/>
  <c r="L143" i="112"/>
  <c r="AZ142" i="112"/>
  <c r="Y142" i="112"/>
  <c r="X142" i="112"/>
  <c r="W142" i="112"/>
  <c r="V142" i="112"/>
  <c r="U142" i="112"/>
  <c r="T142" i="112"/>
  <c r="S142" i="112"/>
  <c r="Q142" i="112"/>
  <c r="P142" i="112"/>
  <c r="O142" i="112"/>
  <c r="M142" i="112" a="1"/>
  <c r="M142" i="112" s="1"/>
  <c r="N142" i="112" s="1"/>
  <c r="L142" i="112"/>
  <c r="AZ141" i="112"/>
  <c r="Y141" i="112"/>
  <c r="X141" i="112"/>
  <c r="W141" i="112"/>
  <c r="V141" i="112"/>
  <c r="U141" i="112"/>
  <c r="T141" i="112"/>
  <c r="S141" i="112"/>
  <c r="Q141" i="112"/>
  <c r="P141" i="112"/>
  <c r="O141" i="112"/>
  <c r="M141" i="112" a="1"/>
  <c r="M141" i="112" s="1"/>
  <c r="N141" i="112" s="1"/>
  <c r="L141" i="112"/>
  <c r="AZ140" i="112"/>
  <c r="Y140" i="112"/>
  <c r="X140" i="112"/>
  <c r="W140" i="112"/>
  <c r="V140" i="112"/>
  <c r="U140" i="112"/>
  <c r="T140" i="112"/>
  <c r="S140" i="112"/>
  <c r="Q140" i="112"/>
  <c r="P140" i="112"/>
  <c r="O140" i="112"/>
  <c r="M140" i="112" a="1"/>
  <c r="M140" i="112" s="1"/>
  <c r="N140" i="112" s="1"/>
  <c r="L140" i="112"/>
  <c r="AZ139" i="112"/>
  <c r="Y139" i="112"/>
  <c r="X139" i="112"/>
  <c r="W139" i="112"/>
  <c r="V139" i="112"/>
  <c r="U139" i="112"/>
  <c r="T139" i="112"/>
  <c r="S139" i="112"/>
  <c r="Q139" i="112"/>
  <c r="P139" i="112"/>
  <c r="O139" i="112"/>
  <c r="M139" i="112" a="1"/>
  <c r="M139" i="112" s="1"/>
  <c r="N139" i="112" s="1"/>
  <c r="L139" i="112"/>
  <c r="AZ138" i="112"/>
  <c r="Y138" i="112"/>
  <c r="X138" i="112"/>
  <c r="W138" i="112"/>
  <c r="V138" i="112"/>
  <c r="U138" i="112"/>
  <c r="T138" i="112"/>
  <c r="S138" i="112"/>
  <c r="Q138" i="112"/>
  <c r="P138" i="112"/>
  <c r="O138" i="112"/>
  <c r="M138" i="112" a="1"/>
  <c r="M138" i="112" s="1"/>
  <c r="N138" i="112" s="1"/>
  <c r="L138" i="112"/>
  <c r="AZ137" i="112"/>
  <c r="Y137" i="112"/>
  <c r="X137" i="112"/>
  <c r="W137" i="112"/>
  <c r="V137" i="112"/>
  <c r="U137" i="112"/>
  <c r="T137" i="112"/>
  <c r="S137" i="112"/>
  <c r="Q137" i="112"/>
  <c r="P137" i="112"/>
  <c r="O137" i="112"/>
  <c r="M137" i="112" a="1"/>
  <c r="M137" i="112" s="1"/>
  <c r="N137" i="112" s="1"/>
  <c r="L137" i="112"/>
  <c r="AZ136" i="112"/>
  <c r="Y136" i="112"/>
  <c r="X136" i="112"/>
  <c r="W136" i="112"/>
  <c r="V136" i="112"/>
  <c r="U136" i="112"/>
  <c r="T136" i="112"/>
  <c r="S136" i="112"/>
  <c r="Q136" i="112"/>
  <c r="P136" i="112"/>
  <c r="O136" i="112"/>
  <c r="M136" i="112" a="1"/>
  <c r="M136" i="112" s="1"/>
  <c r="N136" i="112" s="1"/>
  <c r="L136" i="112"/>
  <c r="AZ135" i="112"/>
  <c r="Y135" i="112"/>
  <c r="X135" i="112"/>
  <c r="W135" i="112"/>
  <c r="V135" i="112"/>
  <c r="U135" i="112"/>
  <c r="T135" i="112"/>
  <c r="S135" i="112"/>
  <c r="Q135" i="112"/>
  <c r="P135" i="112"/>
  <c r="O135" i="112"/>
  <c r="M135" i="112" a="1"/>
  <c r="M135" i="112" s="1"/>
  <c r="N135" i="112" s="1"/>
  <c r="L135" i="112"/>
  <c r="AZ134" i="112"/>
  <c r="Y134" i="112"/>
  <c r="X134" i="112"/>
  <c r="W134" i="112"/>
  <c r="V134" i="112"/>
  <c r="U134" i="112"/>
  <c r="T134" i="112"/>
  <c r="S134" i="112"/>
  <c r="Q134" i="112"/>
  <c r="P134" i="112"/>
  <c r="O134" i="112"/>
  <c r="M134" i="112" a="1"/>
  <c r="M134" i="112" s="1"/>
  <c r="N134" i="112" s="1"/>
  <c r="L134" i="112"/>
  <c r="AZ133" i="112"/>
  <c r="Y133" i="112"/>
  <c r="X133" i="112"/>
  <c r="W133" i="112"/>
  <c r="V133" i="112"/>
  <c r="U133" i="112"/>
  <c r="T133" i="112"/>
  <c r="S133" i="112"/>
  <c r="Q133" i="112"/>
  <c r="P133" i="112"/>
  <c r="O133" i="112"/>
  <c r="M133" i="112" a="1"/>
  <c r="M133" i="112" s="1"/>
  <c r="N133" i="112" s="1"/>
  <c r="L133" i="112"/>
  <c r="AZ132" i="112"/>
  <c r="Y132" i="112"/>
  <c r="X132" i="112"/>
  <c r="W132" i="112"/>
  <c r="V132" i="112"/>
  <c r="U132" i="112"/>
  <c r="T132" i="112"/>
  <c r="S132" i="112"/>
  <c r="Q132" i="112"/>
  <c r="P132" i="112"/>
  <c r="O132" i="112"/>
  <c r="M132" i="112" a="1"/>
  <c r="M132" i="112" s="1"/>
  <c r="N132" i="112" s="1"/>
  <c r="L132" i="112"/>
  <c r="AZ131" i="112"/>
  <c r="Y131" i="112"/>
  <c r="X131" i="112"/>
  <c r="W131" i="112"/>
  <c r="V131" i="112"/>
  <c r="U131" i="112"/>
  <c r="T131" i="112"/>
  <c r="S131" i="112"/>
  <c r="Q131" i="112"/>
  <c r="P131" i="112"/>
  <c r="O131" i="112"/>
  <c r="M131" i="112" a="1"/>
  <c r="M131" i="112" s="1"/>
  <c r="N131" i="112" s="1"/>
  <c r="L131" i="112"/>
  <c r="AZ130" i="112"/>
  <c r="Y130" i="112"/>
  <c r="X130" i="112"/>
  <c r="W130" i="112"/>
  <c r="V130" i="112"/>
  <c r="U130" i="112"/>
  <c r="T130" i="112"/>
  <c r="S130" i="112"/>
  <c r="Q130" i="112"/>
  <c r="P130" i="112"/>
  <c r="O130" i="112"/>
  <c r="M130" i="112" a="1"/>
  <c r="M130" i="112" s="1"/>
  <c r="N130" i="112" s="1"/>
  <c r="L130" i="112"/>
  <c r="AZ129" i="112"/>
  <c r="Y129" i="112"/>
  <c r="X129" i="112"/>
  <c r="W129" i="112"/>
  <c r="V129" i="112"/>
  <c r="U129" i="112"/>
  <c r="T129" i="112"/>
  <c r="S129" i="112"/>
  <c r="Q129" i="112"/>
  <c r="P129" i="112"/>
  <c r="O129" i="112"/>
  <c r="M129" i="112" a="1"/>
  <c r="M129" i="112" s="1"/>
  <c r="N129" i="112" s="1"/>
  <c r="L129" i="112"/>
  <c r="AZ128" i="112"/>
  <c r="Y128" i="112"/>
  <c r="X128" i="112"/>
  <c r="W128" i="112"/>
  <c r="V128" i="112"/>
  <c r="U128" i="112"/>
  <c r="T128" i="112"/>
  <c r="S128" i="112"/>
  <c r="Q128" i="112"/>
  <c r="P128" i="112"/>
  <c r="O128" i="112"/>
  <c r="M128" i="112" a="1"/>
  <c r="M128" i="112" s="1"/>
  <c r="N128" i="112" s="1"/>
  <c r="L128" i="112"/>
  <c r="AZ127" i="112"/>
  <c r="Y127" i="112"/>
  <c r="X127" i="112"/>
  <c r="W127" i="112"/>
  <c r="V127" i="112"/>
  <c r="U127" i="112"/>
  <c r="T127" i="112"/>
  <c r="S127" i="112"/>
  <c r="Q127" i="112"/>
  <c r="P127" i="112"/>
  <c r="O127" i="112"/>
  <c r="M127" i="112" a="1"/>
  <c r="M127" i="112" s="1"/>
  <c r="N127" i="112" s="1"/>
  <c r="L127" i="112"/>
  <c r="AZ126" i="112"/>
  <c r="Y126" i="112"/>
  <c r="X126" i="112"/>
  <c r="W126" i="112"/>
  <c r="V126" i="112"/>
  <c r="U126" i="112"/>
  <c r="T126" i="112"/>
  <c r="S126" i="112"/>
  <c r="Q126" i="112"/>
  <c r="P126" i="112"/>
  <c r="O126" i="112"/>
  <c r="M126" i="112" a="1"/>
  <c r="M126" i="112" s="1"/>
  <c r="N126" i="112" s="1"/>
  <c r="L126" i="112"/>
  <c r="AZ125" i="112"/>
  <c r="Y125" i="112"/>
  <c r="X125" i="112"/>
  <c r="W125" i="112"/>
  <c r="V125" i="112"/>
  <c r="U125" i="112"/>
  <c r="T125" i="112"/>
  <c r="S125" i="112"/>
  <c r="Q125" i="112"/>
  <c r="P125" i="112"/>
  <c r="O125" i="112"/>
  <c r="M125" i="112" a="1"/>
  <c r="M125" i="112" s="1"/>
  <c r="N125" i="112" s="1"/>
  <c r="L125" i="112"/>
  <c r="AZ124" i="112"/>
  <c r="Y124" i="112"/>
  <c r="X124" i="112"/>
  <c r="W124" i="112"/>
  <c r="V124" i="112"/>
  <c r="U124" i="112"/>
  <c r="T124" i="112"/>
  <c r="S124" i="112"/>
  <c r="Q124" i="112"/>
  <c r="P124" i="112"/>
  <c r="O124" i="112"/>
  <c r="M124" i="112" a="1"/>
  <c r="M124" i="112" s="1"/>
  <c r="N124" i="112" s="1"/>
  <c r="L124" i="112"/>
  <c r="AZ123" i="112"/>
  <c r="Y123" i="112"/>
  <c r="X123" i="112"/>
  <c r="W123" i="112"/>
  <c r="V123" i="112"/>
  <c r="U123" i="112"/>
  <c r="T123" i="112"/>
  <c r="S123" i="112"/>
  <c r="Q123" i="112"/>
  <c r="P123" i="112"/>
  <c r="O123" i="112"/>
  <c r="M123" i="112" a="1"/>
  <c r="M123" i="112" s="1"/>
  <c r="N123" i="112" s="1"/>
  <c r="L123" i="112"/>
  <c r="AZ122" i="112"/>
  <c r="Y122" i="112"/>
  <c r="X122" i="112"/>
  <c r="W122" i="112"/>
  <c r="V122" i="112"/>
  <c r="U122" i="112"/>
  <c r="T122" i="112"/>
  <c r="S122" i="112"/>
  <c r="Q122" i="112"/>
  <c r="P122" i="112"/>
  <c r="O122" i="112"/>
  <c r="M122" i="112" a="1"/>
  <c r="M122" i="112" s="1"/>
  <c r="N122" i="112" s="1"/>
  <c r="L122" i="112"/>
  <c r="AZ121" i="112"/>
  <c r="Y121" i="112"/>
  <c r="X121" i="112"/>
  <c r="W121" i="112"/>
  <c r="V121" i="112"/>
  <c r="U121" i="112"/>
  <c r="T121" i="112"/>
  <c r="S121" i="112"/>
  <c r="Q121" i="112"/>
  <c r="P121" i="112"/>
  <c r="O121" i="112"/>
  <c r="M121" i="112" a="1"/>
  <c r="M121" i="112" s="1"/>
  <c r="N121" i="112" s="1"/>
  <c r="L121" i="112"/>
  <c r="Y120" i="112"/>
  <c r="X120" i="112"/>
  <c r="W120" i="112"/>
  <c r="V120" i="112"/>
  <c r="U120" i="112"/>
  <c r="T120" i="112"/>
  <c r="S120" i="112"/>
  <c r="Q120" i="112"/>
  <c r="P120" i="112"/>
  <c r="O120" i="112"/>
  <c r="M120" i="112" a="1"/>
  <c r="M120" i="112" s="1"/>
  <c r="N120" i="112" s="1"/>
  <c r="L120" i="112"/>
  <c r="AZ119" i="112"/>
  <c r="Y119" i="112"/>
  <c r="X119" i="112"/>
  <c r="W119" i="112"/>
  <c r="V119" i="112"/>
  <c r="U119" i="112"/>
  <c r="T119" i="112"/>
  <c r="S119" i="112"/>
  <c r="Q119" i="112"/>
  <c r="P119" i="112"/>
  <c r="O119" i="112"/>
  <c r="M119" i="112" a="1"/>
  <c r="M119" i="112" s="1"/>
  <c r="N119" i="112" s="1"/>
  <c r="L119" i="112"/>
  <c r="AZ118" i="112"/>
  <c r="Y118" i="112"/>
  <c r="X118" i="112"/>
  <c r="W118" i="112"/>
  <c r="V118" i="112"/>
  <c r="U118" i="112"/>
  <c r="T118" i="112"/>
  <c r="S118" i="112"/>
  <c r="Q118" i="112"/>
  <c r="P118" i="112"/>
  <c r="O118" i="112"/>
  <c r="M118" i="112" a="1"/>
  <c r="M118" i="112" s="1"/>
  <c r="N118" i="112" s="1"/>
  <c r="L118" i="112"/>
  <c r="AZ117" i="112"/>
  <c r="Y117" i="112"/>
  <c r="X117" i="112"/>
  <c r="W117" i="112"/>
  <c r="V117" i="112"/>
  <c r="U117" i="112"/>
  <c r="T117" i="112"/>
  <c r="S117" i="112"/>
  <c r="Q117" i="112"/>
  <c r="P117" i="112"/>
  <c r="O117" i="112"/>
  <c r="M117" i="112" a="1"/>
  <c r="M117" i="112" s="1"/>
  <c r="N117" i="112" s="1"/>
  <c r="L117" i="112"/>
  <c r="AZ116" i="112"/>
  <c r="Y116" i="112"/>
  <c r="X116" i="112"/>
  <c r="W116" i="112"/>
  <c r="V116" i="112"/>
  <c r="U116" i="112"/>
  <c r="T116" i="112"/>
  <c r="S116" i="112"/>
  <c r="Q116" i="112"/>
  <c r="P116" i="112"/>
  <c r="O116" i="112"/>
  <c r="M116" i="112" a="1"/>
  <c r="M116" i="112" s="1"/>
  <c r="N116" i="112" s="1"/>
  <c r="L116" i="112"/>
  <c r="AZ115" i="112"/>
  <c r="Y115" i="112"/>
  <c r="X115" i="112"/>
  <c r="W115" i="112"/>
  <c r="V115" i="112"/>
  <c r="U115" i="112"/>
  <c r="T115" i="112"/>
  <c r="S115" i="112"/>
  <c r="Q115" i="112"/>
  <c r="P115" i="112"/>
  <c r="O115" i="112"/>
  <c r="M115" i="112" a="1"/>
  <c r="M115" i="112" s="1"/>
  <c r="N115" i="112" s="1"/>
  <c r="L115" i="112"/>
  <c r="AZ114" i="112"/>
  <c r="Y114" i="112"/>
  <c r="X114" i="112"/>
  <c r="W114" i="112"/>
  <c r="V114" i="112"/>
  <c r="U114" i="112"/>
  <c r="T114" i="112"/>
  <c r="S114" i="112"/>
  <c r="Q114" i="112"/>
  <c r="P114" i="112"/>
  <c r="O114" i="112"/>
  <c r="M114" i="112" a="1"/>
  <c r="M114" i="112" s="1"/>
  <c r="N114" i="112" s="1"/>
  <c r="L114" i="112"/>
  <c r="AZ113" i="112"/>
  <c r="Y113" i="112"/>
  <c r="X113" i="112"/>
  <c r="W113" i="112"/>
  <c r="V113" i="112"/>
  <c r="U113" i="112"/>
  <c r="T113" i="112"/>
  <c r="S113" i="112"/>
  <c r="Q113" i="112"/>
  <c r="P113" i="112"/>
  <c r="O113" i="112"/>
  <c r="M113" i="112" a="1"/>
  <c r="M113" i="112" s="1"/>
  <c r="N113" i="112" s="1"/>
  <c r="L113" i="112"/>
  <c r="AZ112" i="112"/>
  <c r="Y112" i="112"/>
  <c r="X112" i="112"/>
  <c r="W112" i="112"/>
  <c r="V112" i="112"/>
  <c r="U112" i="112"/>
  <c r="T112" i="112"/>
  <c r="S112" i="112"/>
  <c r="Q112" i="112"/>
  <c r="P112" i="112"/>
  <c r="O112" i="112"/>
  <c r="M112" i="112" a="1"/>
  <c r="M112" i="112" s="1"/>
  <c r="N112" i="112" s="1"/>
  <c r="L112" i="112"/>
  <c r="AZ111" i="112"/>
  <c r="Y111" i="112"/>
  <c r="X111" i="112"/>
  <c r="W111" i="112"/>
  <c r="V111" i="112"/>
  <c r="U111" i="112"/>
  <c r="T111" i="112"/>
  <c r="S111" i="112"/>
  <c r="Q111" i="112"/>
  <c r="P111" i="112"/>
  <c r="O111" i="112"/>
  <c r="M111" i="112" a="1"/>
  <c r="M111" i="112" s="1"/>
  <c r="N111" i="112" s="1"/>
  <c r="L111" i="112"/>
  <c r="AZ110" i="112"/>
  <c r="Y110" i="112"/>
  <c r="X110" i="112"/>
  <c r="W110" i="112"/>
  <c r="V110" i="112"/>
  <c r="T110" i="112"/>
  <c r="S110" i="112"/>
  <c r="Q110" i="112"/>
  <c r="O110" i="112"/>
  <c r="M110" i="112" a="1"/>
  <c r="M110" i="112" s="1"/>
  <c r="N110" i="112" s="1"/>
  <c r="L110" i="112"/>
  <c r="AZ109" i="112"/>
  <c r="Y109" i="112"/>
  <c r="X109" i="112"/>
  <c r="W109" i="112"/>
  <c r="V109" i="112"/>
  <c r="U109" i="112"/>
  <c r="T109" i="112"/>
  <c r="S109" i="112"/>
  <c r="Q109" i="112"/>
  <c r="P109" i="112"/>
  <c r="O109" i="112"/>
  <c r="M109" i="112" a="1"/>
  <c r="M109" i="112" s="1"/>
  <c r="N109" i="112" s="1"/>
  <c r="L109" i="112"/>
  <c r="AZ108" i="112"/>
  <c r="Y108" i="112"/>
  <c r="X108" i="112"/>
  <c r="W108" i="112"/>
  <c r="V108" i="112"/>
  <c r="U108" i="112"/>
  <c r="T108" i="112"/>
  <c r="S108" i="112"/>
  <c r="Q108" i="112"/>
  <c r="P108" i="112"/>
  <c r="O108" i="112"/>
  <c r="M108" i="112" a="1"/>
  <c r="M108" i="112" s="1"/>
  <c r="N108" i="112" s="1"/>
  <c r="L108" i="112"/>
  <c r="AZ107" i="112"/>
  <c r="Y107" i="112"/>
  <c r="X107" i="112"/>
  <c r="W107" i="112"/>
  <c r="V107" i="112"/>
  <c r="U107" i="112"/>
  <c r="T107" i="112"/>
  <c r="S107" i="112"/>
  <c r="Q107" i="112"/>
  <c r="P107" i="112"/>
  <c r="M107" i="112" a="1"/>
  <c r="M107" i="112" s="1"/>
  <c r="N107" i="112" s="1"/>
  <c r="L107" i="112"/>
  <c r="AZ106" i="112"/>
  <c r="M106" i="112" a="1"/>
  <c r="M106" i="112" s="1"/>
  <c r="N106" i="112" s="1"/>
  <c r="L106" i="112"/>
  <c r="AZ105" i="112"/>
  <c r="Y105" i="112"/>
  <c r="X105" i="112"/>
  <c r="W105" i="112"/>
  <c r="V105" i="112"/>
  <c r="U105" i="112"/>
  <c r="T105" i="112"/>
  <c r="S105" i="112"/>
  <c r="Q105" i="112"/>
  <c r="P105" i="112"/>
  <c r="O105" i="112"/>
  <c r="M105" i="112"/>
  <c r="N105" i="112" s="1"/>
  <c r="M105" i="112" a="1"/>
  <c r="L105" i="112"/>
  <c r="AZ104" i="112"/>
  <c r="Y104" i="112"/>
  <c r="X104" i="112"/>
  <c r="W104" i="112"/>
  <c r="V104" i="112"/>
  <c r="U104" i="112"/>
  <c r="T104" i="112"/>
  <c r="S104" i="112"/>
  <c r="Q104" i="112"/>
  <c r="P104" i="112"/>
  <c r="O104" i="112"/>
  <c r="M104" i="112" a="1"/>
  <c r="M104" i="112" s="1"/>
  <c r="N104" i="112" s="1"/>
  <c r="L104" i="112"/>
  <c r="AZ103" i="112"/>
  <c r="Y103" i="112"/>
  <c r="X103" i="112"/>
  <c r="W103" i="112"/>
  <c r="V103" i="112"/>
  <c r="U103" i="112"/>
  <c r="T103" i="112"/>
  <c r="S103" i="112"/>
  <c r="Q103" i="112"/>
  <c r="P103" i="112"/>
  <c r="O103" i="112"/>
  <c r="M103" i="112" a="1"/>
  <c r="M103" i="112" s="1"/>
  <c r="N103" i="112" s="1"/>
  <c r="L103" i="112"/>
  <c r="AZ102" i="112"/>
  <c r="Y102" i="112"/>
  <c r="X102" i="112"/>
  <c r="W102" i="112"/>
  <c r="V102" i="112"/>
  <c r="U102" i="112"/>
  <c r="T102" i="112"/>
  <c r="S102" i="112"/>
  <c r="Q102" i="112"/>
  <c r="P102" i="112"/>
  <c r="O102" i="112"/>
  <c r="M102" i="112" a="1"/>
  <c r="M102" i="112" s="1"/>
  <c r="N102" i="112" s="1"/>
  <c r="L102" i="112"/>
  <c r="AZ101" i="112"/>
  <c r="Y101" i="112"/>
  <c r="X101" i="112"/>
  <c r="W101" i="112"/>
  <c r="V101" i="112"/>
  <c r="U101" i="112"/>
  <c r="T101" i="112"/>
  <c r="S101" i="112"/>
  <c r="Q101" i="112"/>
  <c r="P101" i="112"/>
  <c r="O101" i="112"/>
  <c r="M101" i="112" a="1"/>
  <c r="M101" i="112" s="1"/>
  <c r="N101" i="112" s="1"/>
  <c r="L101" i="112"/>
  <c r="AZ100" i="112"/>
  <c r="Y100" i="112"/>
  <c r="X100" i="112"/>
  <c r="W100" i="112"/>
  <c r="V100" i="112"/>
  <c r="U100" i="112"/>
  <c r="T100" i="112"/>
  <c r="S100" i="112"/>
  <c r="Q100" i="112"/>
  <c r="P100" i="112"/>
  <c r="O100" i="112"/>
  <c r="M100" i="112" a="1"/>
  <c r="M100" i="112" s="1"/>
  <c r="N100" i="112" s="1"/>
  <c r="L100" i="112"/>
  <c r="AZ99" i="112"/>
  <c r="Y99" i="112"/>
  <c r="X99" i="112"/>
  <c r="W99" i="112"/>
  <c r="V99" i="112"/>
  <c r="U99" i="112"/>
  <c r="T99" i="112"/>
  <c r="S99" i="112"/>
  <c r="Q99" i="112"/>
  <c r="P99" i="112"/>
  <c r="O99" i="112"/>
  <c r="M99" i="112" a="1"/>
  <c r="M99" i="112" s="1"/>
  <c r="N99" i="112" s="1"/>
  <c r="L99" i="112"/>
  <c r="AZ98" i="112"/>
  <c r="Y98" i="112"/>
  <c r="X98" i="112"/>
  <c r="W98" i="112"/>
  <c r="V98" i="112"/>
  <c r="U98" i="112"/>
  <c r="T98" i="112"/>
  <c r="S98" i="112"/>
  <c r="Q98" i="112"/>
  <c r="P98" i="112"/>
  <c r="O98" i="112"/>
  <c r="M98" i="112" a="1"/>
  <c r="M98" i="112" s="1"/>
  <c r="N98" i="112" s="1"/>
  <c r="L98" i="112"/>
  <c r="AZ97" i="112"/>
  <c r="Y97" i="112"/>
  <c r="X97" i="112"/>
  <c r="W97" i="112"/>
  <c r="V97" i="112"/>
  <c r="U97" i="112"/>
  <c r="T97" i="112"/>
  <c r="S97" i="112"/>
  <c r="Q97" i="112"/>
  <c r="P97" i="112"/>
  <c r="O97" i="112"/>
  <c r="M97" i="112" a="1"/>
  <c r="M97" i="112" s="1"/>
  <c r="N97" i="112" s="1"/>
  <c r="L97" i="112"/>
  <c r="AZ96" i="112"/>
  <c r="Y96" i="112"/>
  <c r="X96" i="112"/>
  <c r="W96" i="112"/>
  <c r="V96" i="112"/>
  <c r="U96" i="112"/>
  <c r="T96" i="112"/>
  <c r="S96" i="112"/>
  <c r="Q96" i="112"/>
  <c r="P96" i="112"/>
  <c r="M96" i="112" a="1"/>
  <c r="M96" i="112" s="1"/>
  <c r="N96" i="112" s="1"/>
  <c r="L96" i="112"/>
  <c r="AZ95" i="112"/>
  <c r="Y95" i="112"/>
  <c r="X95" i="112"/>
  <c r="W95" i="112"/>
  <c r="V95" i="112"/>
  <c r="U95" i="112"/>
  <c r="T95" i="112"/>
  <c r="S95" i="112"/>
  <c r="Q95" i="112"/>
  <c r="P95" i="112"/>
  <c r="O95" i="112"/>
  <c r="M95" i="112" a="1"/>
  <c r="M95" i="112" s="1"/>
  <c r="N95" i="112" s="1"/>
  <c r="L95" i="112"/>
  <c r="AZ94" i="112"/>
  <c r="Y94" i="112"/>
  <c r="X94" i="112"/>
  <c r="W94" i="112"/>
  <c r="V94" i="112"/>
  <c r="U94" i="112"/>
  <c r="T94" i="112"/>
  <c r="S94" i="112"/>
  <c r="Q94" i="112"/>
  <c r="P94" i="112"/>
  <c r="O94" i="112"/>
  <c r="M94" i="112" a="1"/>
  <c r="M94" i="112" s="1"/>
  <c r="N94" i="112" s="1"/>
  <c r="L94" i="112"/>
  <c r="AZ93" i="112"/>
  <c r="Y93" i="112"/>
  <c r="X93" i="112"/>
  <c r="W93" i="112"/>
  <c r="V93" i="112"/>
  <c r="U93" i="112"/>
  <c r="T93" i="112"/>
  <c r="S93" i="112"/>
  <c r="Q93" i="112"/>
  <c r="P93" i="112"/>
  <c r="O93" i="112"/>
  <c r="M93" i="112" a="1"/>
  <c r="M93" i="112" s="1"/>
  <c r="N93" i="112" s="1"/>
  <c r="L93" i="112"/>
  <c r="AZ92" i="112"/>
  <c r="Y92" i="112"/>
  <c r="X92" i="112"/>
  <c r="W92" i="112"/>
  <c r="V92" i="112"/>
  <c r="U92" i="112"/>
  <c r="T92" i="112"/>
  <c r="S92" i="112"/>
  <c r="Q92" i="112"/>
  <c r="P92" i="112"/>
  <c r="O92" i="112"/>
  <c r="M92" i="112" a="1"/>
  <c r="M92" i="112" s="1"/>
  <c r="N92" i="112" s="1"/>
  <c r="L92" i="112"/>
  <c r="AZ91" i="112"/>
  <c r="Y91" i="112"/>
  <c r="X91" i="112"/>
  <c r="W91" i="112"/>
  <c r="V91" i="112"/>
  <c r="U91" i="112"/>
  <c r="T91" i="112"/>
  <c r="S91" i="112"/>
  <c r="Q91" i="112"/>
  <c r="P91" i="112"/>
  <c r="O91" i="112"/>
  <c r="M91" i="112" a="1"/>
  <c r="M91" i="112" s="1"/>
  <c r="N91" i="112" s="1"/>
  <c r="L91" i="112"/>
  <c r="AZ90" i="112"/>
  <c r="Y90" i="112"/>
  <c r="X90" i="112"/>
  <c r="W90" i="112"/>
  <c r="V90" i="112"/>
  <c r="U90" i="112"/>
  <c r="T90" i="112"/>
  <c r="Q90" i="112"/>
  <c r="P90" i="112"/>
  <c r="O90" i="112"/>
  <c r="M90" i="112" a="1"/>
  <c r="M90" i="112" s="1"/>
  <c r="N90" i="112" s="1"/>
  <c r="L90" i="112"/>
  <c r="AZ89" i="112"/>
  <c r="Y89" i="112"/>
  <c r="X89" i="112"/>
  <c r="W89" i="112"/>
  <c r="V89" i="112"/>
  <c r="U89" i="112"/>
  <c r="T89" i="112"/>
  <c r="S89" i="112"/>
  <c r="Q89" i="112"/>
  <c r="P89" i="112"/>
  <c r="O89" i="112"/>
  <c r="M89" i="112" a="1"/>
  <c r="M89" i="112" s="1"/>
  <c r="N89" i="112" s="1"/>
  <c r="L89" i="112"/>
  <c r="AZ88" i="112"/>
  <c r="Z88" i="112"/>
  <c r="M88" i="112" a="1"/>
  <c r="M88" i="112" s="1"/>
  <c r="N88" i="112" s="1"/>
  <c r="L88" i="112"/>
  <c r="AZ87" i="112"/>
  <c r="Y87" i="112"/>
  <c r="X87" i="112"/>
  <c r="W87" i="112"/>
  <c r="V87" i="112"/>
  <c r="U87" i="112"/>
  <c r="T87" i="112"/>
  <c r="S87" i="112"/>
  <c r="Q87" i="112"/>
  <c r="P87" i="112"/>
  <c r="O87" i="112"/>
  <c r="M87" i="112" a="1"/>
  <c r="M87" i="112" s="1"/>
  <c r="N87" i="112" s="1"/>
  <c r="L87" i="112"/>
  <c r="AZ86" i="112"/>
  <c r="U86" i="112"/>
  <c r="S86" i="112"/>
  <c r="Z86" i="112" s="1"/>
  <c r="O86" i="112"/>
  <c r="M86" i="112"/>
  <c r="N86" i="112" s="1"/>
  <c r="M86" i="112" a="1"/>
  <c r="L86" i="112"/>
  <c r="AZ85" i="112"/>
  <c r="Y85" i="112"/>
  <c r="X85" i="112"/>
  <c r="W85" i="112"/>
  <c r="V85" i="112"/>
  <c r="U85" i="112"/>
  <c r="T85" i="112"/>
  <c r="S85" i="112"/>
  <c r="Q85" i="112"/>
  <c r="P85" i="112"/>
  <c r="O85" i="112"/>
  <c r="M85" i="112" a="1"/>
  <c r="M85" i="112" s="1"/>
  <c r="N85" i="112" s="1"/>
  <c r="L85" i="112"/>
  <c r="AZ84" i="112"/>
  <c r="Y84" i="112"/>
  <c r="X84" i="112"/>
  <c r="W84" i="112"/>
  <c r="V84" i="112"/>
  <c r="U84" i="112"/>
  <c r="T84" i="112"/>
  <c r="S84" i="112"/>
  <c r="Q84" i="112"/>
  <c r="P84" i="112"/>
  <c r="O84" i="112"/>
  <c r="M84" i="112" a="1"/>
  <c r="M84" i="112" s="1"/>
  <c r="N84" i="112" s="1"/>
  <c r="L84" i="112"/>
  <c r="AZ83" i="112"/>
  <c r="Y83" i="112"/>
  <c r="X83" i="112"/>
  <c r="W83" i="112"/>
  <c r="V83" i="112"/>
  <c r="U83" i="112"/>
  <c r="T83" i="112"/>
  <c r="S83" i="112"/>
  <c r="Q83" i="112"/>
  <c r="P83" i="112"/>
  <c r="O83" i="112"/>
  <c r="M83" i="112"/>
  <c r="N83" i="112" s="1"/>
  <c r="M83" i="112" a="1"/>
  <c r="L83" i="112"/>
  <c r="AZ82" i="112"/>
  <c r="Y82" i="112"/>
  <c r="X82" i="112"/>
  <c r="W82" i="112"/>
  <c r="V82" i="112"/>
  <c r="U82" i="112"/>
  <c r="T82" i="112"/>
  <c r="S82" i="112"/>
  <c r="Q82" i="112"/>
  <c r="P82" i="112"/>
  <c r="O82" i="112"/>
  <c r="M82" i="112"/>
  <c r="N82" i="112" s="1"/>
  <c r="M82" i="112" a="1"/>
  <c r="L82" i="112"/>
  <c r="AZ81" i="112"/>
  <c r="Y81" i="112"/>
  <c r="X81" i="112"/>
  <c r="W81" i="112"/>
  <c r="V81" i="112"/>
  <c r="U81" i="112"/>
  <c r="T81" i="112"/>
  <c r="S81" i="112"/>
  <c r="Q81" i="112"/>
  <c r="P81" i="112"/>
  <c r="O81" i="112"/>
  <c r="M81" i="112" a="1"/>
  <c r="M81" i="112" s="1"/>
  <c r="N81" i="112" s="1"/>
  <c r="L81" i="112"/>
  <c r="AZ80" i="112"/>
  <c r="Y80" i="112"/>
  <c r="X80" i="112"/>
  <c r="W80" i="112"/>
  <c r="V80" i="112"/>
  <c r="U80" i="112"/>
  <c r="T80" i="112"/>
  <c r="S80" i="112"/>
  <c r="Q80" i="112"/>
  <c r="P80" i="112"/>
  <c r="O80" i="112"/>
  <c r="M80" i="112" a="1"/>
  <c r="M80" i="112" s="1"/>
  <c r="N80" i="112" s="1"/>
  <c r="L80" i="112"/>
  <c r="AZ79" i="112"/>
  <c r="Y79" i="112"/>
  <c r="X79" i="112"/>
  <c r="W79" i="112"/>
  <c r="V79" i="112"/>
  <c r="U79" i="112"/>
  <c r="T79" i="112"/>
  <c r="S79" i="112"/>
  <c r="Q79" i="112"/>
  <c r="P79" i="112"/>
  <c r="O79" i="112"/>
  <c r="M79" i="112"/>
  <c r="N79" i="112" s="1"/>
  <c r="M79" i="112" a="1"/>
  <c r="L79" i="112"/>
  <c r="AZ78" i="112"/>
  <c r="Y78" i="112"/>
  <c r="X78" i="112"/>
  <c r="W78" i="112"/>
  <c r="V78" i="112"/>
  <c r="U78" i="112"/>
  <c r="T78" i="112"/>
  <c r="S78" i="112"/>
  <c r="Q78" i="112"/>
  <c r="P78" i="112"/>
  <c r="O78" i="112"/>
  <c r="M78" i="112"/>
  <c r="N78" i="112" s="1"/>
  <c r="M78" i="112" a="1"/>
  <c r="L78" i="112"/>
  <c r="AZ77" i="112"/>
  <c r="AY77" i="112"/>
  <c r="AY146" i="112" s="1"/>
  <c r="Y77" i="112"/>
  <c r="X77" i="112"/>
  <c r="W77" i="112"/>
  <c r="V77" i="112"/>
  <c r="U77" i="112"/>
  <c r="T77" i="112"/>
  <c r="S77" i="112"/>
  <c r="Q77" i="112"/>
  <c r="P77" i="112"/>
  <c r="O77" i="112"/>
  <c r="M77" i="112" a="1"/>
  <c r="M77" i="112" s="1"/>
  <c r="N77" i="112" s="1"/>
  <c r="L77" i="112"/>
  <c r="AZ76" i="112"/>
  <c r="Y76" i="112"/>
  <c r="X76" i="112"/>
  <c r="W76" i="112"/>
  <c r="V76" i="112"/>
  <c r="U76" i="112"/>
  <c r="T76" i="112"/>
  <c r="S76" i="112"/>
  <c r="Q76" i="112"/>
  <c r="P76" i="112"/>
  <c r="O76" i="112"/>
  <c r="M76" i="112" a="1"/>
  <c r="M76" i="112" s="1"/>
  <c r="N76" i="112" s="1"/>
  <c r="L76" i="112"/>
  <c r="AZ75" i="112"/>
  <c r="Y75" i="112"/>
  <c r="X75" i="112"/>
  <c r="W75" i="112"/>
  <c r="V75" i="112"/>
  <c r="U75" i="112"/>
  <c r="T75" i="112"/>
  <c r="S75" i="112"/>
  <c r="Q75" i="112"/>
  <c r="P75" i="112"/>
  <c r="O75" i="112"/>
  <c r="M75" i="112" a="1"/>
  <c r="M75" i="112" s="1"/>
  <c r="N75" i="112" s="1"/>
  <c r="L75" i="112"/>
  <c r="AZ74" i="112"/>
  <c r="Y74" i="112"/>
  <c r="X74" i="112"/>
  <c r="W74" i="112"/>
  <c r="V74" i="112"/>
  <c r="U74" i="112"/>
  <c r="T74" i="112"/>
  <c r="S74" i="112"/>
  <c r="Q74" i="112"/>
  <c r="P74" i="112"/>
  <c r="O74" i="112"/>
  <c r="M74" i="112" a="1"/>
  <c r="M74" i="112" s="1"/>
  <c r="N74" i="112" s="1"/>
  <c r="L74" i="112"/>
  <c r="Y73" i="112"/>
  <c r="X73" i="112"/>
  <c r="W73" i="112"/>
  <c r="V73" i="112"/>
  <c r="U73" i="112"/>
  <c r="T73" i="112"/>
  <c r="S73" i="112"/>
  <c r="Q73" i="112"/>
  <c r="P73" i="112"/>
  <c r="O73" i="112"/>
  <c r="M73" i="112"/>
  <c r="N73" i="112" s="1"/>
  <c r="M73" i="112" a="1"/>
  <c r="L73" i="112"/>
  <c r="AZ72" i="112"/>
  <c r="Y72" i="112"/>
  <c r="X72" i="112"/>
  <c r="W72" i="112"/>
  <c r="V72" i="112"/>
  <c r="U72" i="112"/>
  <c r="T72" i="112"/>
  <c r="S72" i="112"/>
  <c r="Q72" i="112"/>
  <c r="P72" i="112"/>
  <c r="O72" i="112"/>
  <c r="M72" i="112"/>
  <c r="N72" i="112" s="1"/>
  <c r="M72" i="112" a="1"/>
  <c r="L72" i="112"/>
  <c r="AZ71" i="112"/>
  <c r="Y71" i="112"/>
  <c r="X71" i="112"/>
  <c r="W71" i="112"/>
  <c r="V71" i="112"/>
  <c r="U71" i="112"/>
  <c r="T71" i="112"/>
  <c r="S71" i="112"/>
  <c r="Q71" i="112"/>
  <c r="P71" i="112"/>
  <c r="O71" i="112"/>
  <c r="M71" i="112" a="1"/>
  <c r="M71" i="112" s="1"/>
  <c r="N71" i="112" s="1"/>
  <c r="L71" i="112"/>
  <c r="AZ70" i="112"/>
  <c r="Y70" i="112"/>
  <c r="X70" i="112"/>
  <c r="W70" i="112"/>
  <c r="V70" i="112"/>
  <c r="U70" i="112"/>
  <c r="T70" i="112"/>
  <c r="S70" i="112"/>
  <c r="Q70" i="112"/>
  <c r="P70" i="112"/>
  <c r="O70" i="112"/>
  <c r="M70" i="112" a="1"/>
  <c r="M70" i="112" s="1"/>
  <c r="N70" i="112" s="1"/>
  <c r="L70" i="112"/>
  <c r="AZ69" i="112"/>
  <c r="Y69" i="112"/>
  <c r="X69" i="112"/>
  <c r="W69" i="112"/>
  <c r="V69" i="112"/>
  <c r="U69" i="112"/>
  <c r="T69" i="112"/>
  <c r="S69" i="112"/>
  <c r="Q69" i="112"/>
  <c r="P69" i="112"/>
  <c r="O69" i="112"/>
  <c r="M69" i="112"/>
  <c r="N69" i="112" s="1"/>
  <c r="M69" i="112" a="1"/>
  <c r="L69" i="112"/>
  <c r="AZ68" i="112"/>
  <c r="X68" i="112"/>
  <c r="V68" i="112"/>
  <c r="S68" i="112"/>
  <c r="Q68" i="112"/>
  <c r="P68" i="112"/>
  <c r="M68" i="112" a="1"/>
  <c r="M68" i="112" s="1"/>
  <c r="N68" i="112" s="1"/>
  <c r="L68" i="112"/>
  <c r="AZ67" i="112"/>
  <c r="Y67" i="112"/>
  <c r="X67" i="112"/>
  <c r="W67" i="112"/>
  <c r="V67" i="112"/>
  <c r="U67" i="112"/>
  <c r="T67" i="112"/>
  <c r="S67" i="112"/>
  <c r="Q67" i="112"/>
  <c r="P67" i="112"/>
  <c r="O67" i="112"/>
  <c r="M67" i="112" a="1"/>
  <c r="M67" i="112" s="1"/>
  <c r="N67" i="112" s="1"/>
  <c r="L67" i="112"/>
  <c r="AZ66" i="112"/>
  <c r="Y66" i="112"/>
  <c r="X66" i="112"/>
  <c r="W66" i="112"/>
  <c r="V66" i="112"/>
  <c r="U66" i="112"/>
  <c r="T66" i="112"/>
  <c r="S66" i="112"/>
  <c r="Q66" i="112"/>
  <c r="P66" i="112"/>
  <c r="O66" i="112"/>
  <c r="M66" i="112"/>
  <c r="N66" i="112" s="1"/>
  <c r="M66" i="112" a="1"/>
  <c r="L66" i="112"/>
  <c r="AZ65" i="112"/>
  <c r="Y65" i="112"/>
  <c r="X65" i="112"/>
  <c r="W65" i="112"/>
  <c r="V65" i="112"/>
  <c r="U65" i="112"/>
  <c r="T65" i="112"/>
  <c r="S65" i="112"/>
  <c r="Q65" i="112"/>
  <c r="P65" i="112"/>
  <c r="O65" i="112"/>
  <c r="M65" i="112" a="1"/>
  <c r="M65" i="112" s="1"/>
  <c r="N65" i="112" s="1"/>
  <c r="L65" i="112"/>
  <c r="AZ64" i="112"/>
  <c r="Y64" i="112"/>
  <c r="X64" i="112"/>
  <c r="W64" i="112"/>
  <c r="V64" i="112"/>
  <c r="U64" i="112"/>
  <c r="T64" i="112"/>
  <c r="S64" i="112"/>
  <c r="Q64" i="112"/>
  <c r="P64" i="112"/>
  <c r="O64" i="112"/>
  <c r="M64" i="112" a="1"/>
  <c r="M64" i="112" s="1"/>
  <c r="N64" i="112" s="1"/>
  <c r="L64" i="112"/>
  <c r="AZ63" i="112"/>
  <c r="M63" i="112"/>
  <c r="N63" i="112" s="1"/>
  <c r="M63" i="112" a="1"/>
  <c r="L63" i="112"/>
  <c r="AZ62" i="112"/>
  <c r="Y62" i="112"/>
  <c r="X62" i="112"/>
  <c r="W62" i="112"/>
  <c r="V62" i="112"/>
  <c r="U62" i="112"/>
  <c r="T62" i="112"/>
  <c r="S62" i="112"/>
  <c r="Q62" i="112"/>
  <c r="P62" i="112"/>
  <c r="O62" i="112"/>
  <c r="M62" i="112" a="1"/>
  <c r="M62" i="112" s="1"/>
  <c r="N62" i="112" s="1"/>
  <c r="L62" i="112"/>
  <c r="AZ61" i="112"/>
  <c r="Y61" i="112"/>
  <c r="X61" i="112"/>
  <c r="W61" i="112"/>
  <c r="V61" i="112"/>
  <c r="U61" i="112"/>
  <c r="T61" i="112"/>
  <c r="S61" i="112"/>
  <c r="Q61" i="112"/>
  <c r="P61" i="112"/>
  <c r="O61" i="112"/>
  <c r="M61" i="112" a="1"/>
  <c r="M61" i="112" s="1"/>
  <c r="N61" i="112" s="1"/>
  <c r="L61" i="112"/>
  <c r="AZ60" i="112"/>
  <c r="Y60" i="112"/>
  <c r="X60" i="112"/>
  <c r="W60" i="112"/>
  <c r="V60" i="112"/>
  <c r="U60" i="112"/>
  <c r="T60" i="112"/>
  <c r="S60" i="112"/>
  <c r="Q60" i="112"/>
  <c r="P60" i="112"/>
  <c r="O60" i="112"/>
  <c r="M60" i="112" a="1"/>
  <c r="M60" i="112" s="1"/>
  <c r="N60" i="112" s="1"/>
  <c r="L60" i="112"/>
  <c r="AZ59" i="112"/>
  <c r="Y59" i="112"/>
  <c r="X59" i="112"/>
  <c r="W59" i="112"/>
  <c r="V59" i="112"/>
  <c r="U59" i="112"/>
  <c r="T59" i="112"/>
  <c r="S59" i="112"/>
  <c r="Q59" i="112"/>
  <c r="P59" i="112"/>
  <c r="O59" i="112"/>
  <c r="M59" i="112" a="1"/>
  <c r="M59" i="112" s="1"/>
  <c r="N59" i="112" s="1"/>
  <c r="L59" i="112"/>
  <c r="Y58" i="112"/>
  <c r="X58" i="112"/>
  <c r="W58" i="112"/>
  <c r="V58" i="112"/>
  <c r="U58" i="112"/>
  <c r="T58" i="112"/>
  <c r="S58" i="112"/>
  <c r="Q58" i="112"/>
  <c r="P58" i="112"/>
  <c r="O58" i="112"/>
  <c r="M58" i="112" a="1"/>
  <c r="M58" i="112" s="1"/>
  <c r="N58" i="112" s="1"/>
  <c r="L58" i="112"/>
  <c r="AZ57" i="112"/>
  <c r="Y57" i="112"/>
  <c r="X57" i="112"/>
  <c r="W57" i="112"/>
  <c r="V57" i="112"/>
  <c r="U57" i="112"/>
  <c r="T57" i="112"/>
  <c r="S57" i="112"/>
  <c r="Q57" i="112"/>
  <c r="P57" i="112"/>
  <c r="O57" i="112"/>
  <c r="M57" i="112" a="1"/>
  <c r="M57" i="112" s="1"/>
  <c r="N57" i="112" s="1"/>
  <c r="L57" i="112"/>
  <c r="AZ56" i="112"/>
  <c r="Y56" i="112"/>
  <c r="X56" i="112"/>
  <c r="W56" i="112"/>
  <c r="V56" i="112"/>
  <c r="U56" i="112"/>
  <c r="T56" i="112"/>
  <c r="S56" i="112"/>
  <c r="Q56" i="112"/>
  <c r="P56" i="112"/>
  <c r="O56" i="112"/>
  <c r="M56" i="112" a="1"/>
  <c r="M56" i="112" s="1"/>
  <c r="N56" i="112" s="1"/>
  <c r="L56" i="112"/>
  <c r="AZ55" i="112"/>
  <c r="Y55" i="112"/>
  <c r="X55" i="112"/>
  <c r="W55" i="112"/>
  <c r="T55" i="112"/>
  <c r="S55" i="112"/>
  <c r="Q55" i="112"/>
  <c r="O55" i="112"/>
  <c r="M55" i="112" a="1"/>
  <c r="M55" i="112" s="1"/>
  <c r="N55" i="112" s="1"/>
  <c r="L55" i="112"/>
  <c r="AZ54" i="112"/>
  <c r="Y54" i="112"/>
  <c r="X54" i="112"/>
  <c r="W54" i="112"/>
  <c r="V54" i="112"/>
  <c r="U54" i="112"/>
  <c r="T54" i="112"/>
  <c r="S54" i="112"/>
  <c r="Q54" i="112"/>
  <c r="P54" i="112"/>
  <c r="O54" i="112"/>
  <c r="M54" i="112" a="1"/>
  <c r="M54" i="112" s="1"/>
  <c r="N54" i="112" s="1"/>
  <c r="L54" i="112"/>
  <c r="AZ53" i="112"/>
  <c r="Y53" i="112"/>
  <c r="X53" i="112"/>
  <c r="W53" i="112"/>
  <c r="V53" i="112"/>
  <c r="U53" i="112"/>
  <c r="T53" i="112"/>
  <c r="S53" i="112"/>
  <c r="Q53" i="112"/>
  <c r="P53" i="112"/>
  <c r="O53" i="112"/>
  <c r="M53" i="112" a="1"/>
  <c r="M53" i="112" s="1"/>
  <c r="N53" i="112" s="1"/>
  <c r="L53" i="112"/>
  <c r="AZ52" i="112"/>
  <c r="Y52" i="112"/>
  <c r="X52" i="112"/>
  <c r="W52" i="112"/>
  <c r="V52" i="112"/>
  <c r="U52" i="112"/>
  <c r="T52" i="112"/>
  <c r="S52" i="112"/>
  <c r="Q52" i="112"/>
  <c r="P52" i="112"/>
  <c r="O52" i="112"/>
  <c r="M52" i="112" a="1"/>
  <c r="M52" i="112" s="1"/>
  <c r="N52" i="112" s="1"/>
  <c r="L52" i="112"/>
  <c r="AZ51" i="112"/>
  <c r="Y51" i="112"/>
  <c r="X51" i="112"/>
  <c r="W51" i="112"/>
  <c r="V51" i="112"/>
  <c r="U51" i="112"/>
  <c r="T51" i="112"/>
  <c r="S51" i="112"/>
  <c r="Q51" i="112"/>
  <c r="P51" i="112"/>
  <c r="O51" i="112"/>
  <c r="M51" i="112" a="1"/>
  <c r="M51" i="112" s="1"/>
  <c r="N51" i="112" s="1"/>
  <c r="L51" i="112"/>
  <c r="AZ50" i="112"/>
  <c r="Y50" i="112"/>
  <c r="X50" i="112"/>
  <c r="W50" i="112"/>
  <c r="V50" i="112"/>
  <c r="U50" i="112"/>
  <c r="T50" i="112"/>
  <c r="S50" i="112"/>
  <c r="Q50" i="112"/>
  <c r="P50" i="112"/>
  <c r="O50" i="112"/>
  <c r="M50" i="112" a="1"/>
  <c r="M50" i="112" s="1"/>
  <c r="N50" i="112" s="1"/>
  <c r="L50" i="112"/>
  <c r="AZ49" i="112"/>
  <c r="Y49" i="112"/>
  <c r="X49" i="112"/>
  <c r="W49" i="112"/>
  <c r="V49" i="112"/>
  <c r="U49" i="112"/>
  <c r="T49" i="112"/>
  <c r="S49" i="112"/>
  <c r="Q49" i="112"/>
  <c r="P49" i="112"/>
  <c r="O49" i="112"/>
  <c r="M49" i="112" a="1"/>
  <c r="M49" i="112" s="1"/>
  <c r="N49" i="112" s="1"/>
  <c r="L49" i="112"/>
  <c r="AZ48" i="112"/>
  <c r="Y48" i="112"/>
  <c r="X48" i="112"/>
  <c r="W48" i="112"/>
  <c r="V48" i="112"/>
  <c r="U48" i="112"/>
  <c r="T48" i="112"/>
  <c r="S48" i="112"/>
  <c r="Q48" i="112"/>
  <c r="P48" i="112"/>
  <c r="O48" i="112"/>
  <c r="M48" i="112"/>
  <c r="N48" i="112" s="1"/>
  <c r="M48" i="112" a="1"/>
  <c r="L48" i="112"/>
  <c r="AZ47" i="112"/>
  <c r="Y47" i="112"/>
  <c r="X47" i="112"/>
  <c r="W47" i="112"/>
  <c r="V47" i="112"/>
  <c r="U47" i="112"/>
  <c r="T47" i="112"/>
  <c r="S47" i="112"/>
  <c r="Q47" i="112"/>
  <c r="P47" i="112"/>
  <c r="O47" i="112"/>
  <c r="M47" i="112" a="1"/>
  <c r="M47" i="112" s="1"/>
  <c r="N47" i="112" s="1"/>
  <c r="L47" i="112"/>
  <c r="AZ46" i="112"/>
  <c r="Y46" i="112"/>
  <c r="X46" i="112"/>
  <c r="W46" i="112"/>
  <c r="V46" i="112"/>
  <c r="U46" i="112"/>
  <c r="T46" i="112"/>
  <c r="S46" i="112"/>
  <c r="Q46" i="112"/>
  <c r="P46" i="112"/>
  <c r="O46" i="112"/>
  <c r="M46" i="112" a="1"/>
  <c r="M46" i="112" s="1"/>
  <c r="N46" i="112" s="1"/>
  <c r="L46" i="112"/>
  <c r="AZ45" i="112"/>
  <c r="Y45" i="112"/>
  <c r="X45" i="112"/>
  <c r="W45" i="112"/>
  <c r="V45" i="112"/>
  <c r="U45" i="112"/>
  <c r="T45" i="112"/>
  <c r="S45" i="112"/>
  <c r="Q45" i="112"/>
  <c r="P45" i="112"/>
  <c r="O45" i="112"/>
  <c r="M45" i="112" a="1"/>
  <c r="M45" i="112" s="1"/>
  <c r="N45" i="112" s="1"/>
  <c r="L45" i="112"/>
  <c r="AZ44" i="112"/>
  <c r="Y44" i="112"/>
  <c r="X44" i="112"/>
  <c r="W44" i="112"/>
  <c r="V44" i="112"/>
  <c r="U44" i="112"/>
  <c r="T44" i="112"/>
  <c r="S44" i="112"/>
  <c r="Q44" i="112"/>
  <c r="P44" i="112"/>
  <c r="O44" i="112"/>
  <c r="M44" i="112"/>
  <c r="N44" i="112" s="1"/>
  <c r="M44" i="112" a="1"/>
  <c r="L44" i="112"/>
  <c r="AZ43" i="112"/>
  <c r="Y43" i="112"/>
  <c r="X43" i="112"/>
  <c r="W43" i="112"/>
  <c r="V43" i="112"/>
  <c r="U43" i="112"/>
  <c r="T43" i="112"/>
  <c r="S43" i="112"/>
  <c r="Q43" i="112"/>
  <c r="P43" i="112"/>
  <c r="O43" i="112"/>
  <c r="M43" i="112" a="1"/>
  <c r="M43" i="112" s="1"/>
  <c r="N43" i="112" s="1"/>
  <c r="L43" i="112"/>
  <c r="AZ42" i="112"/>
  <c r="P42" i="112"/>
  <c r="Z42" i="112" s="1"/>
  <c r="M42" i="112" a="1"/>
  <c r="M42" i="112" s="1"/>
  <c r="N42" i="112" s="1"/>
  <c r="L42" i="112"/>
  <c r="AZ41" i="112"/>
  <c r="Y41" i="112"/>
  <c r="X41" i="112"/>
  <c r="W41" i="112"/>
  <c r="V41" i="112"/>
  <c r="U41" i="112"/>
  <c r="T41" i="112"/>
  <c r="S41" i="112"/>
  <c r="Q41" i="112"/>
  <c r="P41" i="112"/>
  <c r="O41" i="112"/>
  <c r="M41" i="112" a="1"/>
  <c r="M41" i="112" s="1"/>
  <c r="N41" i="112" s="1"/>
  <c r="L41" i="112"/>
  <c r="AZ40" i="112"/>
  <c r="Y40" i="112"/>
  <c r="X40" i="112"/>
  <c r="W40" i="112"/>
  <c r="V40" i="112"/>
  <c r="U40" i="112"/>
  <c r="T40" i="112"/>
  <c r="S40" i="112"/>
  <c r="Q40" i="112"/>
  <c r="P40" i="112"/>
  <c r="O40" i="112"/>
  <c r="M40" i="112" a="1"/>
  <c r="M40" i="112" s="1"/>
  <c r="N40" i="112" s="1"/>
  <c r="L40" i="112"/>
  <c r="AZ39" i="112"/>
  <c r="Y39" i="112"/>
  <c r="X39" i="112"/>
  <c r="W39" i="112"/>
  <c r="V39" i="112"/>
  <c r="U39" i="112"/>
  <c r="T39" i="112"/>
  <c r="S39" i="112"/>
  <c r="Q39" i="112"/>
  <c r="P39" i="112"/>
  <c r="O39" i="112"/>
  <c r="M39" i="112" a="1"/>
  <c r="M39" i="112" s="1"/>
  <c r="N39" i="112" s="1"/>
  <c r="L39" i="112"/>
  <c r="AZ38" i="112"/>
  <c r="Y38" i="112"/>
  <c r="X38" i="112"/>
  <c r="W38" i="112"/>
  <c r="V38" i="112"/>
  <c r="U38" i="112"/>
  <c r="T38" i="112"/>
  <c r="S38" i="112"/>
  <c r="Q38" i="112"/>
  <c r="P38" i="112"/>
  <c r="O38" i="112"/>
  <c r="M38" i="112" a="1"/>
  <c r="M38" i="112" s="1"/>
  <c r="N38" i="112" s="1"/>
  <c r="L38" i="112"/>
  <c r="AZ37" i="112"/>
  <c r="Y37" i="112"/>
  <c r="X37" i="112"/>
  <c r="W37" i="112"/>
  <c r="V37" i="112"/>
  <c r="U37" i="112"/>
  <c r="T37" i="112"/>
  <c r="S37" i="112"/>
  <c r="Q37" i="112"/>
  <c r="P37" i="112"/>
  <c r="O37" i="112"/>
  <c r="M37" i="112" a="1"/>
  <c r="M37" i="112" s="1"/>
  <c r="N37" i="112" s="1"/>
  <c r="L37" i="112"/>
  <c r="AZ36" i="112"/>
  <c r="Y36" i="112"/>
  <c r="X36" i="112"/>
  <c r="W36" i="112"/>
  <c r="V36" i="112"/>
  <c r="U36" i="112"/>
  <c r="T36" i="112"/>
  <c r="S36" i="112"/>
  <c r="Q36" i="112"/>
  <c r="P36" i="112"/>
  <c r="O36" i="112"/>
  <c r="M36" i="112" a="1"/>
  <c r="M36" i="112" s="1"/>
  <c r="N36" i="112" s="1"/>
  <c r="L36" i="112"/>
  <c r="AZ35" i="112"/>
  <c r="Y35" i="112"/>
  <c r="X35" i="112"/>
  <c r="W35" i="112"/>
  <c r="V35" i="112"/>
  <c r="U35" i="112"/>
  <c r="T35" i="112"/>
  <c r="S35" i="112"/>
  <c r="Q35" i="112"/>
  <c r="P35" i="112"/>
  <c r="O35" i="112"/>
  <c r="M35" i="112" a="1"/>
  <c r="M35" i="112" s="1"/>
  <c r="N35" i="112" s="1"/>
  <c r="L35" i="112"/>
  <c r="AZ34" i="112"/>
  <c r="Y34" i="112"/>
  <c r="X34" i="112"/>
  <c r="W34" i="112"/>
  <c r="V34" i="112"/>
  <c r="U34" i="112"/>
  <c r="T34" i="112"/>
  <c r="S34" i="112"/>
  <c r="Q34" i="112"/>
  <c r="P34" i="112"/>
  <c r="O34" i="112"/>
  <c r="M34" i="112" a="1"/>
  <c r="M34" i="112" s="1"/>
  <c r="N34" i="112" s="1"/>
  <c r="L34" i="112"/>
  <c r="AZ33" i="112"/>
  <c r="Y33" i="112"/>
  <c r="X33" i="112"/>
  <c r="W33" i="112"/>
  <c r="V33" i="112"/>
  <c r="U33" i="112"/>
  <c r="T33" i="112"/>
  <c r="S33" i="112"/>
  <c r="Q33" i="112"/>
  <c r="P33" i="112"/>
  <c r="O33" i="112"/>
  <c r="M33" i="112" a="1"/>
  <c r="M33" i="112" s="1"/>
  <c r="N33" i="112" s="1"/>
  <c r="L33" i="112"/>
  <c r="AZ32" i="112"/>
  <c r="Z32" i="112"/>
  <c r="M32" i="112" a="1"/>
  <c r="M32" i="112" s="1"/>
  <c r="N32" i="112" s="1"/>
  <c r="L32" i="112"/>
  <c r="AZ31" i="112"/>
  <c r="Y31" i="112"/>
  <c r="X31" i="112"/>
  <c r="W31" i="112"/>
  <c r="V31" i="112"/>
  <c r="U31" i="112"/>
  <c r="T31" i="112"/>
  <c r="S31" i="112"/>
  <c r="Q31" i="112"/>
  <c r="P31" i="112"/>
  <c r="O31" i="112"/>
  <c r="M31" i="112" a="1"/>
  <c r="M31" i="112" s="1"/>
  <c r="N31" i="112" s="1"/>
  <c r="L31" i="112"/>
  <c r="AZ30" i="112"/>
  <c r="Y30" i="112"/>
  <c r="X30" i="112"/>
  <c r="W30" i="112"/>
  <c r="V30" i="112"/>
  <c r="U30" i="112"/>
  <c r="T30" i="112"/>
  <c r="S30" i="112"/>
  <c r="Q30" i="112"/>
  <c r="P30" i="112"/>
  <c r="O30" i="112"/>
  <c r="M30" i="112" a="1"/>
  <c r="M30" i="112" s="1"/>
  <c r="N30" i="112" s="1"/>
  <c r="L30" i="112"/>
  <c r="AZ29" i="112"/>
  <c r="Y29" i="112"/>
  <c r="X29" i="112"/>
  <c r="W29" i="112"/>
  <c r="V29" i="112"/>
  <c r="U29" i="112"/>
  <c r="T29" i="112"/>
  <c r="S29" i="112"/>
  <c r="Q29" i="112"/>
  <c r="P29" i="112"/>
  <c r="O29" i="112"/>
  <c r="M29" i="112" a="1"/>
  <c r="M29" i="112" s="1"/>
  <c r="N29" i="112" s="1"/>
  <c r="L29" i="112"/>
  <c r="AZ28" i="112"/>
  <c r="Y28" i="112"/>
  <c r="X28" i="112"/>
  <c r="W28" i="112"/>
  <c r="V28" i="112"/>
  <c r="U28" i="112"/>
  <c r="T28" i="112"/>
  <c r="S28" i="112"/>
  <c r="P28" i="112"/>
  <c r="O28" i="112"/>
  <c r="M28" i="112" a="1"/>
  <c r="M28" i="112" s="1"/>
  <c r="N28" i="112" s="1"/>
  <c r="L28" i="112"/>
  <c r="AZ27" i="112"/>
  <c r="Y27" i="112"/>
  <c r="X27" i="112"/>
  <c r="W27" i="112"/>
  <c r="V27" i="112"/>
  <c r="U27" i="112"/>
  <c r="T27" i="112"/>
  <c r="S27" i="112"/>
  <c r="Q27" i="112"/>
  <c r="P27" i="112"/>
  <c r="O27" i="112"/>
  <c r="M27" i="112" a="1"/>
  <c r="M27" i="112" s="1"/>
  <c r="N27" i="112" s="1"/>
  <c r="L27" i="112"/>
  <c r="AZ26" i="112"/>
  <c r="Y26" i="112"/>
  <c r="X26" i="112"/>
  <c r="W26" i="112"/>
  <c r="V26" i="112"/>
  <c r="U26" i="112"/>
  <c r="T26" i="112"/>
  <c r="S26" i="112"/>
  <c r="Q26" i="112"/>
  <c r="P26" i="112"/>
  <c r="O26" i="112"/>
  <c r="M26" i="112" a="1"/>
  <c r="M26" i="112" s="1"/>
  <c r="N26" i="112" s="1"/>
  <c r="L26" i="112"/>
  <c r="AZ25" i="112"/>
  <c r="Y25" i="112"/>
  <c r="X25" i="112"/>
  <c r="W25" i="112"/>
  <c r="V25" i="112"/>
  <c r="U25" i="112"/>
  <c r="T25" i="112"/>
  <c r="S25" i="112"/>
  <c r="Q25" i="112"/>
  <c r="P25" i="112"/>
  <c r="O25" i="112"/>
  <c r="M25" i="112" a="1"/>
  <c r="M25" i="112" s="1"/>
  <c r="N25" i="112" s="1"/>
  <c r="L25" i="112"/>
  <c r="AZ24" i="112"/>
  <c r="Y24" i="112"/>
  <c r="X24" i="112"/>
  <c r="W24" i="112"/>
  <c r="V24" i="112"/>
  <c r="U24" i="112"/>
  <c r="T24" i="112"/>
  <c r="S24" i="112"/>
  <c r="Q24" i="112"/>
  <c r="P24" i="112"/>
  <c r="O24" i="112"/>
  <c r="M24" i="112" a="1"/>
  <c r="M24" i="112" s="1"/>
  <c r="N24" i="112" s="1"/>
  <c r="L24" i="112"/>
  <c r="AZ23" i="112"/>
  <c r="Y23" i="112"/>
  <c r="X23" i="112"/>
  <c r="W23" i="112"/>
  <c r="V23" i="112"/>
  <c r="U23" i="112"/>
  <c r="T23" i="112"/>
  <c r="S23" i="112"/>
  <c r="Q23" i="112"/>
  <c r="P23" i="112"/>
  <c r="O23" i="112"/>
  <c r="M23" i="112" a="1"/>
  <c r="M23" i="112" s="1"/>
  <c r="N23" i="112" s="1"/>
  <c r="L23" i="112"/>
  <c r="AZ22" i="112"/>
  <c r="M22" i="112" a="1"/>
  <c r="M22" i="112" s="1"/>
  <c r="N22" i="112" s="1"/>
  <c r="L22" i="112"/>
  <c r="AZ21" i="112"/>
  <c r="Y21" i="112"/>
  <c r="X21" i="112"/>
  <c r="W21" i="112"/>
  <c r="V21" i="112"/>
  <c r="U21" i="112"/>
  <c r="T21" i="112"/>
  <c r="S21" i="112"/>
  <c r="Q21" i="112"/>
  <c r="P21" i="112"/>
  <c r="O21" i="112"/>
  <c r="M21" i="112" a="1"/>
  <c r="M21" i="112" s="1"/>
  <c r="N21" i="112" s="1"/>
  <c r="L21" i="112"/>
  <c r="AZ20" i="112"/>
  <c r="Y20" i="112"/>
  <c r="X20" i="112"/>
  <c r="W20" i="112"/>
  <c r="V20" i="112"/>
  <c r="U20" i="112"/>
  <c r="T20" i="112"/>
  <c r="S20" i="112"/>
  <c r="Q20" i="112"/>
  <c r="P20" i="112"/>
  <c r="O20" i="112"/>
  <c r="M20" i="112" a="1"/>
  <c r="M20" i="112" s="1"/>
  <c r="N20" i="112" s="1"/>
  <c r="L20" i="112"/>
  <c r="AZ19" i="112"/>
  <c r="Y19" i="112"/>
  <c r="X19" i="112"/>
  <c r="W19" i="112"/>
  <c r="V19" i="112"/>
  <c r="U19" i="112"/>
  <c r="T19" i="112"/>
  <c r="S19" i="112"/>
  <c r="Q19" i="112"/>
  <c r="P19" i="112"/>
  <c r="O19" i="112"/>
  <c r="M19" i="112" a="1"/>
  <c r="M19" i="112" s="1"/>
  <c r="N19" i="112" s="1"/>
  <c r="L19" i="112"/>
  <c r="AZ18" i="112"/>
  <c r="Y18" i="112"/>
  <c r="X18" i="112"/>
  <c r="W18" i="112"/>
  <c r="V18" i="112"/>
  <c r="U18" i="112"/>
  <c r="T18" i="112"/>
  <c r="S18" i="112"/>
  <c r="Q18" i="112"/>
  <c r="P18" i="112"/>
  <c r="O18" i="112"/>
  <c r="M18" i="112" a="1"/>
  <c r="M18" i="112" s="1"/>
  <c r="N18" i="112" s="1"/>
  <c r="L18" i="112"/>
  <c r="AZ17" i="112"/>
  <c r="Y17" i="112"/>
  <c r="X17" i="112"/>
  <c r="W17" i="112"/>
  <c r="V17" i="112"/>
  <c r="U17" i="112"/>
  <c r="T17" i="112"/>
  <c r="S17" i="112"/>
  <c r="Q17" i="112"/>
  <c r="P17" i="112"/>
  <c r="O17" i="112"/>
  <c r="M17" i="112" a="1"/>
  <c r="M17" i="112" s="1"/>
  <c r="N17" i="112" s="1"/>
  <c r="L17" i="112"/>
  <c r="AZ16" i="112"/>
  <c r="Y16" i="112"/>
  <c r="X16" i="112"/>
  <c r="W16" i="112"/>
  <c r="V16" i="112"/>
  <c r="U16" i="112"/>
  <c r="T16" i="112"/>
  <c r="S16" i="112"/>
  <c r="Q16" i="112"/>
  <c r="P16" i="112"/>
  <c r="O16" i="112"/>
  <c r="M16" i="112"/>
  <c r="N16" i="112" s="1"/>
  <c r="M16" i="112" a="1"/>
  <c r="L16" i="112"/>
  <c r="AZ15" i="112"/>
  <c r="Y15" i="112"/>
  <c r="X15" i="112"/>
  <c r="W15" i="112"/>
  <c r="V15" i="112"/>
  <c r="U15" i="112"/>
  <c r="T15" i="112"/>
  <c r="S15" i="112"/>
  <c r="Q15" i="112"/>
  <c r="P15" i="112"/>
  <c r="O15" i="112"/>
  <c r="M15" i="112" a="1"/>
  <c r="M15" i="112" s="1"/>
  <c r="N15" i="112" s="1"/>
  <c r="L15" i="112"/>
  <c r="AZ14" i="112"/>
  <c r="Y14" i="112"/>
  <c r="X14" i="112"/>
  <c r="W14" i="112"/>
  <c r="V14" i="112"/>
  <c r="U14" i="112"/>
  <c r="T14" i="112"/>
  <c r="S14" i="112"/>
  <c r="Q14" i="112"/>
  <c r="P14" i="112"/>
  <c r="O14" i="112"/>
  <c r="M14" i="112"/>
  <c r="N14" i="112" s="1"/>
  <c r="M14" i="112" a="1"/>
  <c r="L14" i="112"/>
  <c r="AZ13" i="112"/>
  <c r="Y13" i="112"/>
  <c r="X13" i="112"/>
  <c r="W13" i="112"/>
  <c r="V13" i="112"/>
  <c r="U13" i="112"/>
  <c r="T13" i="112"/>
  <c r="S13" i="112"/>
  <c r="Q13" i="112"/>
  <c r="P13" i="112"/>
  <c r="O13" i="112"/>
  <c r="M13" i="112" a="1"/>
  <c r="M13" i="112" s="1"/>
  <c r="N13" i="112" s="1"/>
  <c r="L13" i="112"/>
  <c r="AZ12" i="112"/>
  <c r="Y12" i="112"/>
  <c r="X12" i="112"/>
  <c r="W12" i="112"/>
  <c r="V12" i="112"/>
  <c r="T12" i="112"/>
  <c r="S12" i="112"/>
  <c r="Q12" i="112"/>
  <c r="P12" i="112"/>
  <c r="O12" i="112"/>
  <c r="M12" i="112" a="1"/>
  <c r="M12" i="112" s="1"/>
  <c r="N12" i="112" s="1"/>
  <c r="L12" i="112"/>
  <c r="AZ11" i="112"/>
  <c r="Y11" i="112"/>
  <c r="X11" i="112"/>
  <c r="W11" i="112"/>
  <c r="V11" i="112"/>
  <c r="U11" i="112"/>
  <c r="T11" i="112"/>
  <c r="S11" i="112"/>
  <c r="Q11" i="112"/>
  <c r="P11" i="112"/>
  <c r="O11" i="112"/>
  <c r="M11" i="112" a="1"/>
  <c r="M11" i="112" s="1"/>
  <c r="N11" i="112" s="1"/>
  <c r="L11" i="112"/>
  <c r="AZ10" i="112"/>
  <c r="Y10" i="112"/>
  <c r="X10" i="112"/>
  <c r="W10" i="112"/>
  <c r="V10" i="112"/>
  <c r="U10" i="112"/>
  <c r="T10" i="112"/>
  <c r="S10" i="112"/>
  <c r="Q10" i="112"/>
  <c r="P10" i="112"/>
  <c r="O10" i="112"/>
  <c r="M10" i="112" a="1"/>
  <c r="M10" i="112" s="1"/>
  <c r="N10" i="112" s="1"/>
  <c r="L10" i="112"/>
  <c r="AZ9" i="112"/>
  <c r="Y9" i="112"/>
  <c r="X9" i="112"/>
  <c r="W9" i="112"/>
  <c r="V9" i="112"/>
  <c r="U9" i="112"/>
  <c r="T9" i="112"/>
  <c r="S9" i="112"/>
  <c r="Q9" i="112"/>
  <c r="P9" i="112"/>
  <c r="O9" i="112"/>
  <c r="M9" i="112" a="1"/>
  <c r="M9" i="112" s="1"/>
  <c r="N9" i="112" s="1"/>
  <c r="L9" i="112"/>
  <c r="AZ8" i="112"/>
  <c r="Y8" i="112"/>
  <c r="X8" i="112"/>
  <c r="W8" i="112"/>
  <c r="V8" i="112"/>
  <c r="U8" i="112"/>
  <c r="T8" i="112"/>
  <c r="S8" i="112"/>
  <c r="Q8" i="112"/>
  <c r="P8" i="112"/>
  <c r="O8" i="112"/>
  <c r="M8" i="112" a="1"/>
  <c r="M8" i="112" s="1"/>
  <c r="N8" i="112" s="1"/>
  <c r="L8" i="112"/>
  <c r="AZ7" i="112"/>
  <c r="Y7" i="112"/>
  <c r="X7" i="112"/>
  <c r="W7" i="112"/>
  <c r="V7" i="112"/>
  <c r="U7" i="112"/>
  <c r="T7" i="112"/>
  <c r="S7" i="112"/>
  <c r="Q7" i="112"/>
  <c r="P7" i="112"/>
  <c r="O7" i="112"/>
  <c r="M7" i="112" a="1"/>
  <c r="M7" i="112" s="1"/>
  <c r="N7" i="112" s="1"/>
  <c r="L7" i="112"/>
  <c r="AZ6" i="112"/>
  <c r="Y6" i="112"/>
  <c r="X6" i="112"/>
  <c r="W6" i="112"/>
  <c r="V6" i="112"/>
  <c r="U6" i="112"/>
  <c r="T6" i="112"/>
  <c r="S6" i="112"/>
  <c r="Q6" i="112"/>
  <c r="P6" i="112"/>
  <c r="O6" i="112"/>
  <c r="M6" i="112" a="1"/>
  <c r="M6" i="112" s="1"/>
  <c r="N6" i="112" s="1"/>
  <c r="L6" i="112"/>
  <c r="AZ5" i="112"/>
  <c r="Y5" i="112"/>
  <c r="X5" i="112"/>
  <c r="W5" i="112"/>
  <c r="V5" i="112"/>
  <c r="U5" i="112"/>
  <c r="T5" i="112"/>
  <c r="S5" i="112"/>
  <c r="Q5" i="112"/>
  <c r="P5" i="112"/>
  <c r="O5" i="112"/>
  <c r="M5" i="112" a="1"/>
  <c r="M5" i="112" s="1"/>
  <c r="N5" i="112" s="1"/>
  <c r="L5" i="112"/>
  <c r="AZ4" i="112"/>
  <c r="Y4" i="112"/>
  <c r="X4" i="112"/>
  <c r="W4" i="112"/>
  <c r="V4" i="112"/>
  <c r="U4" i="112"/>
  <c r="T4" i="112"/>
  <c r="S4" i="112"/>
  <c r="Q4" i="112"/>
  <c r="P4" i="112"/>
  <c r="O4" i="112"/>
  <c r="M4" i="112" a="1"/>
  <c r="M4" i="112" s="1"/>
  <c r="N4" i="112" s="1"/>
  <c r="L4" i="112"/>
  <c r="M80" i="111"/>
  <c r="M81" i="111" s="1"/>
  <c r="L80" i="111"/>
  <c r="L81" i="111" s="1"/>
  <c r="J80" i="111"/>
  <c r="J81" i="111" s="1"/>
  <c r="M69" i="111"/>
  <c r="M68" i="111"/>
  <c r="L68" i="111"/>
  <c r="L69" i="111" s="1"/>
  <c r="L82" i="111" s="1"/>
  <c r="J68" i="111"/>
  <c r="J69" i="111" s="1"/>
  <c r="J82" i="111" s="1"/>
  <c r="J56" i="111"/>
  <c r="M55" i="111"/>
  <c r="M56" i="111" s="1"/>
  <c r="L55" i="111"/>
  <c r="L56" i="111" s="1"/>
  <c r="J55" i="111"/>
  <c r="L50" i="111"/>
  <c r="L57" i="111" s="1"/>
  <c r="J50" i="111"/>
  <c r="J57" i="111" s="1"/>
  <c r="M49" i="111"/>
  <c r="M50" i="111" s="1"/>
  <c r="L49" i="111"/>
  <c r="J49" i="111"/>
  <c r="J43" i="111"/>
  <c r="M42" i="111"/>
  <c r="M43" i="111" s="1"/>
  <c r="L42" i="111"/>
  <c r="L43" i="111" s="1"/>
  <c r="J42" i="111"/>
  <c r="M37" i="111"/>
  <c r="M44" i="111" s="1"/>
  <c r="L37" i="111"/>
  <c r="M36" i="111"/>
  <c r="L36" i="111"/>
  <c r="J36" i="111"/>
  <c r="J37" i="111" s="1"/>
  <c r="J44" i="111" s="1"/>
  <c r="J17" i="111"/>
  <c r="M16" i="111"/>
  <c r="M17" i="111" s="1"/>
  <c r="L16" i="111"/>
  <c r="L17" i="111" s="1"/>
  <c r="J16" i="111"/>
  <c r="J12" i="111"/>
  <c r="J18" i="111" s="1"/>
  <c r="M11" i="111"/>
  <c r="M12" i="111" s="1"/>
  <c r="M18" i="111" s="1"/>
  <c r="L11" i="111"/>
  <c r="L12" i="111" s="1"/>
  <c r="L18" i="111" s="1"/>
  <c r="J11" i="111"/>
  <c r="N4" i="111"/>
  <c r="N28" i="111" s="1"/>
  <c r="M28" i="111" s="1"/>
  <c r="M29" i="111" s="1"/>
  <c r="M30" i="111" s="1"/>
  <c r="N3" i="111"/>
  <c r="N22" i="111" s="1"/>
  <c r="J81" i="110"/>
  <c r="M80" i="110"/>
  <c r="M81" i="110" s="1"/>
  <c r="L80" i="110"/>
  <c r="L81" i="110" s="1"/>
  <c r="J80" i="110"/>
  <c r="L69" i="110"/>
  <c r="L82" i="110" s="1"/>
  <c r="M68" i="110"/>
  <c r="M69" i="110" s="1"/>
  <c r="M82" i="110" s="1"/>
  <c r="L68" i="110"/>
  <c r="J68" i="110"/>
  <c r="J69" i="110" s="1"/>
  <c r="J82" i="110" s="1"/>
  <c r="L56" i="110"/>
  <c r="L57" i="110" s="1"/>
  <c r="J56" i="110"/>
  <c r="M55" i="110"/>
  <c r="M56" i="110" s="1"/>
  <c r="L55" i="110"/>
  <c r="J55" i="110"/>
  <c r="M50" i="110"/>
  <c r="M57" i="110" s="1"/>
  <c r="L50" i="110"/>
  <c r="M49" i="110"/>
  <c r="L49" i="110"/>
  <c r="J49" i="110"/>
  <c r="J50" i="110" s="1"/>
  <c r="J57" i="110" s="1"/>
  <c r="M43" i="110"/>
  <c r="L43" i="110"/>
  <c r="M42" i="110"/>
  <c r="L42" i="110"/>
  <c r="J42" i="110"/>
  <c r="J43" i="110" s="1"/>
  <c r="J44" i="110" s="1"/>
  <c r="J37" i="110"/>
  <c r="M36" i="110"/>
  <c r="M37" i="110" s="1"/>
  <c r="M44" i="110" s="1"/>
  <c r="L36" i="110"/>
  <c r="L37" i="110" s="1"/>
  <c r="L44" i="110" s="1"/>
  <c r="J36" i="110"/>
  <c r="M17" i="110"/>
  <c r="L17" i="110"/>
  <c r="M16" i="110"/>
  <c r="L16" i="110"/>
  <c r="J16" i="110"/>
  <c r="J17" i="110" s="1"/>
  <c r="M12" i="110"/>
  <c r="M18" i="110" s="1"/>
  <c r="L12" i="110"/>
  <c r="L18" i="110" s="1"/>
  <c r="M11" i="110"/>
  <c r="L11" i="110"/>
  <c r="J11" i="110"/>
  <c r="J12" i="110" s="1"/>
  <c r="N4" i="110"/>
  <c r="N28" i="110" s="1"/>
  <c r="N3" i="110"/>
  <c r="N22" i="110" s="1"/>
  <c r="J81" i="109"/>
  <c r="M80" i="109"/>
  <c r="M81" i="109" s="1"/>
  <c r="L80" i="109"/>
  <c r="L81" i="109" s="1"/>
  <c r="J80" i="109"/>
  <c r="M68" i="109"/>
  <c r="M69" i="109" s="1"/>
  <c r="L68" i="109"/>
  <c r="L69" i="109" s="1"/>
  <c r="J68" i="109"/>
  <c r="J69" i="109" s="1"/>
  <c r="J82" i="109" s="1"/>
  <c r="J56" i="109"/>
  <c r="M55" i="109"/>
  <c r="M56" i="109" s="1"/>
  <c r="M57" i="109" s="1"/>
  <c r="L55" i="109"/>
  <c r="L56" i="109" s="1"/>
  <c r="J55" i="109"/>
  <c r="M50" i="109"/>
  <c r="L50" i="109"/>
  <c r="M49" i="109"/>
  <c r="L49" i="109"/>
  <c r="J49" i="109"/>
  <c r="J50" i="109" s="1"/>
  <c r="J57" i="109" s="1"/>
  <c r="L43" i="109"/>
  <c r="J43" i="109"/>
  <c r="M42" i="109"/>
  <c r="M43" i="109" s="1"/>
  <c r="L42" i="109"/>
  <c r="J42" i="109"/>
  <c r="M37" i="109"/>
  <c r="L37" i="109"/>
  <c r="L44" i="109" s="1"/>
  <c r="M36" i="109"/>
  <c r="L36" i="109"/>
  <c r="J36" i="109"/>
  <c r="J37" i="109" s="1"/>
  <c r="J44" i="109" s="1"/>
  <c r="L17" i="109"/>
  <c r="J17" i="109"/>
  <c r="M16" i="109"/>
  <c r="M17" i="109" s="1"/>
  <c r="L16" i="109"/>
  <c r="J16" i="109"/>
  <c r="L12" i="109"/>
  <c r="L18" i="109" s="1"/>
  <c r="J12" i="109"/>
  <c r="J18" i="109" s="1"/>
  <c r="M11" i="109"/>
  <c r="M12" i="109" s="1"/>
  <c r="M18" i="109" s="1"/>
  <c r="L11" i="109"/>
  <c r="J11" i="109"/>
  <c r="N4" i="109"/>
  <c r="N28" i="109" s="1"/>
  <c r="M28" i="109" s="1"/>
  <c r="M29" i="109" s="1"/>
  <c r="M30" i="109" s="1"/>
  <c r="N3" i="109"/>
  <c r="N22" i="109" s="1"/>
  <c r="J81" i="108"/>
  <c r="M80" i="108"/>
  <c r="M81" i="108" s="1"/>
  <c r="L80" i="108"/>
  <c r="L81" i="108" s="1"/>
  <c r="J80" i="108"/>
  <c r="L69" i="108"/>
  <c r="L82" i="108" s="1"/>
  <c r="M68" i="108"/>
  <c r="M69" i="108" s="1"/>
  <c r="M82" i="108" s="1"/>
  <c r="L68" i="108"/>
  <c r="J68" i="108"/>
  <c r="J69" i="108" s="1"/>
  <c r="J82" i="108" s="1"/>
  <c r="J56" i="108"/>
  <c r="M55" i="108"/>
  <c r="M56" i="108" s="1"/>
  <c r="L55" i="108"/>
  <c r="L56" i="108" s="1"/>
  <c r="L57" i="108" s="1"/>
  <c r="J55" i="108"/>
  <c r="M50" i="108"/>
  <c r="M57" i="108" s="1"/>
  <c r="L50" i="108"/>
  <c r="M49" i="108"/>
  <c r="L49" i="108"/>
  <c r="J49" i="108"/>
  <c r="J50" i="108" s="1"/>
  <c r="J57" i="108" s="1"/>
  <c r="L43" i="108"/>
  <c r="J43" i="108"/>
  <c r="M42" i="108"/>
  <c r="M43" i="108" s="1"/>
  <c r="M44" i="108" s="1"/>
  <c r="L42" i="108"/>
  <c r="J42" i="108"/>
  <c r="M37" i="108"/>
  <c r="L37" i="108"/>
  <c r="L44" i="108" s="1"/>
  <c r="J37" i="108"/>
  <c r="J44" i="108" s="1"/>
  <c r="M36" i="108"/>
  <c r="L36" i="108"/>
  <c r="J36" i="108"/>
  <c r="L17" i="108"/>
  <c r="J17" i="108"/>
  <c r="M16" i="108"/>
  <c r="M17" i="108" s="1"/>
  <c r="L16" i="108"/>
  <c r="J16" i="108"/>
  <c r="L12" i="108"/>
  <c r="L18" i="108" s="1"/>
  <c r="J12" i="108"/>
  <c r="J18" i="108" s="1"/>
  <c r="M11" i="108"/>
  <c r="M12" i="108" s="1"/>
  <c r="L11" i="108"/>
  <c r="J11" i="108"/>
  <c r="N4" i="108"/>
  <c r="N28" i="108" s="1"/>
  <c r="N3" i="108"/>
  <c r="N22" i="108" s="1"/>
  <c r="L81" i="107"/>
  <c r="J81" i="107"/>
  <c r="M80" i="107"/>
  <c r="M81" i="107" s="1"/>
  <c r="L80" i="107"/>
  <c r="J80" i="107"/>
  <c r="J69" i="107"/>
  <c r="J82" i="107" s="1"/>
  <c r="M68" i="107"/>
  <c r="M69" i="107" s="1"/>
  <c r="M82" i="107" s="1"/>
  <c r="L68" i="107"/>
  <c r="L69" i="107" s="1"/>
  <c r="L82" i="107" s="1"/>
  <c r="J68" i="107"/>
  <c r="M57" i="107"/>
  <c r="M56" i="107"/>
  <c r="J56" i="107"/>
  <c r="M55" i="107"/>
  <c r="L55" i="107"/>
  <c r="L56" i="107" s="1"/>
  <c r="J55" i="107"/>
  <c r="M50" i="107"/>
  <c r="L50" i="107"/>
  <c r="L57" i="107" s="1"/>
  <c r="M49" i="107"/>
  <c r="L49" i="107"/>
  <c r="J49" i="107"/>
  <c r="J50" i="107" s="1"/>
  <c r="J57" i="107" s="1"/>
  <c r="L43" i="107"/>
  <c r="J43" i="107"/>
  <c r="M42" i="107"/>
  <c r="M43" i="107" s="1"/>
  <c r="L42" i="107"/>
  <c r="J42" i="107"/>
  <c r="M37" i="107"/>
  <c r="L37" i="107"/>
  <c r="L44" i="107" s="1"/>
  <c r="M36" i="107"/>
  <c r="L36" i="107"/>
  <c r="J36" i="107"/>
  <c r="J37" i="107" s="1"/>
  <c r="J44" i="107" s="1"/>
  <c r="L17" i="107"/>
  <c r="J17" i="107"/>
  <c r="M16" i="107"/>
  <c r="M17" i="107" s="1"/>
  <c r="L16" i="107"/>
  <c r="J16" i="107"/>
  <c r="L12" i="107"/>
  <c r="L18" i="107" s="1"/>
  <c r="J12" i="107"/>
  <c r="J18" i="107" s="1"/>
  <c r="M11" i="107"/>
  <c r="M12" i="107" s="1"/>
  <c r="M18" i="107" s="1"/>
  <c r="L11" i="107"/>
  <c r="J11" i="107"/>
  <c r="N4" i="107"/>
  <c r="N28" i="107" s="1"/>
  <c r="M28" i="107" s="1"/>
  <c r="M29" i="107" s="1"/>
  <c r="M30" i="107" s="1"/>
  <c r="N3" i="107"/>
  <c r="N22" i="107" s="1"/>
  <c r="J81" i="106"/>
  <c r="M80" i="106"/>
  <c r="M81" i="106" s="1"/>
  <c r="L80" i="106"/>
  <c r="L81" i="106" s="1"/>
  <c r="J80" i="106"/>
  <c r="L69" i="106"/>
  <c r="L82" i="106" s="1"/>
  <c r="M68" i="106"/>
  <c r="M69" i="106" s="1"/>
  <c r="M82" i="106" s="1"/>
  <c r="L68" i="106"/>
  <c r="J68" i="106"/>
  <c r="J69" i="106" s="1"/>
  <c r="J82" i="106" s="1"/>
  <c r="J56" i="106"/>
  <c r="M55" i="106"/>
  <c r="M56" i="106" s="1"/>
  <c r="L55" i="106"/>
  <c r="L56" i="106" s="1"/>
  <c r="L57" i="106" s="1"/>
  <c r="J55" i="106"/>
  <c r="M50" i="106"/>
  <c r="M57" i="106" s="1"/>
  <c r="L50" i="106"/>
  <c r="M49" i="106"/>
  <c r="L49" i="106"/>
  <c r="J49" i="106"/>
  <c r="J50" i="106" s="1"/>
  <c r="J57" i="106" s="1"/>
  <c r="L43" i="106"/>
  <c r="J43" i="106"/>
  <c r="M42" i="106"/>
  <c r="M43" i="106" s="1"/>
  <c r="L42" i="106"/>
  <c r="J42" i="106"/>
  <c r="L37" i="106"/>
  <c r="L44" i="106" s="1"/>
  <c r="J37" i="106"/>
  <c r="J44" i="106" s="1"/>
  <c r="M36" i="106"/>
  <c r="M37" i="106" s="1"/>
  <c r="L36" i="106"/>
  <c r="J36" i="106"/>
  <c r="L17" i="106"/>
  <c r="J17" i="106"/>
  <c r="M16" i="106"/>
  <c r="M17" i="106" s="1"/>
  <c r="L16" i="106"/>
  <c r="J16" i="106"/>
  <c r="L12" i="106"/>
  <c r="L18" i="106" s="1"/>
  <c r="J12" i="106"/>
  <c r="J18" i="106" s="1"/>
  <c r="M11" i="106"/>
  <c r="M12" i="106" s="1"/>
  <c r="L11" i="106"/>
  <c r="J11" i="106"/>
  <c r="N4" i="106"/>
  <c r="N28" i="106" s="1"/>
  <c r="N3" i="106"/>
  <c r="N22" i="106" s="1"/>
  <c r="L81" i="105"/>
  <c r="M80" i="105"/>
  <c r="M81" i="105" s="1"/>
  <c r="L80" i="105"/>
  <c r="J80" i="105"/>
  <c r="J81" i="105" s="1"/>
  <c r="M69" i="105"/>
  <c r="J69" i="105"/>
  <c r="J82" i="105" s="1"/>
  <c r="M68" i="105"/>
  <c r="L68" i="105"/>
  <c r="L69" i="105" s="1"/>
  <c r="L82" i="105" s="1"/>
  <c r="J68" i="105"/>
  <c r="M56" i="105"/>
  <c r="M55" i="105"/>
  <c r="L55" i="105"/>
  <c r="L56" i="105" s="1"/>
  <c r="J55" i="105"/>
  <c r="J56" i="105" s="1"/>
  <c r="J50" i="105"/>
  <c r="J57" i="105" s="1"/>
  <c r="M49" i="105"/>
  <c r="M50" i="105" s="1"/>
  <c r="M57" i="105" s="1"/>
  <c r="L49" i="105"/>
  <c r="L50" i="105" s="1"/>
  <c r="L57" i="105" s="1"/>
  <c r="J49" i="105"/>
  <c r="M42" i="105"/>
  <c r="M43" i="105" s="1"/>
  <c r="L42" i="105"/>
  <c r="L43" i="105" s="1"/>
  <c r="J42" i="105"/>
  <c r="J43" i="105" s="1"/>
  <c r="M36" i="105"/>
  <c r="M37" i="105" s="1"/>
  <c r="L36" i="105"/>
  <c r="L37" i="105" s="1"/>
  <c r="L44" i="105" s="1"/>
  <c r="J36" i="105"/>
  <c r="J37" i="105" s="1"/>
  <c r="J44" i="105" s="1"/>
  <c r="M16" i="105"/>
  <c r="M17" i="105" s="1"/>
  <c r="L16" i="105"/>
  <c r="L17" i="105" s="1"/>
  <c r="J16" i="105"/>
  <c r="J17" i="105" s="1"/>
  <c r="M11" i="105"/>
  <c r="M12" i="105" s="1"/>
  <c r="L11" i="105"/>
  <c r="L12" i="105" s="1"/>
  <c r="J11" i="105"/>
  <c r="J12" i="105" s="1"/>
  <c r="J18" i="105" s="1"/>
  <c r="N4" i="105"/>
  <c r="N28" i="105" s="1"/>
  <c r="M28" i="105" s="1"/>
  <c r="M29" i="105" s="1"/>
  <c r="M30" i="105" s="1"/>
  <c r="N3" i="105"/>
  <c r="N22" i="105" s="1"/>
  <c r="M80" i="104"/>
  <c r="M81" i="104" s="1"/>
  <c r="L80" i="104"/>
  <c r="L81" i="104" s="1"/>
  <c r="J80" i="104"/>
  <c r="J81" i="104" s="1"/>
  <c r="M69" i="104"/>
  <c r="M68" i="104"/>
  <c r="L68" i="104"/>
  <c r="L69" i="104" s="1"/>
  <c r="J68" i="104"/>
  <c r="J69" i="104" s="1"/>
  <c r="J56" i="104"/>
  <c r="M55" i="104"/>
  <c r="M56" i="104" s="1"/>
  <c r="L55" i="104"/>
  <c r="L56" i="104" s="1"/>
  <c r="J55" i="104"/>
  <c r="L50" i="104"/>
  <c r="J50" i="104"/>
  <c r="J57" i="104" s="1"/>
  <c r="M49" i="104"/>
  <c r="M50" i="104" s="1"/>
  <c r="L49" i="104"/>
  <c r="J49" i="104"/>
  <c r="M42" i="104"/>
  <c r="M43" i="104" s="1"/>
  <c r="L42" i="104"/>
  <c r="L43" i="104" s="1"/>
  <c r="J42" i="104"/>
  <c r="J43" i="104" s="1"/>
  <c r="M37" i="104"/>
  <c r="M36" i="104"/>
  <c r="L36" i="104"/>
  <c r="L37" i="104" s="1"/>
  <c r="J36" i="104"/>
  <c r="J37" i="104" s="1"/>
  <c r="M16" i="104"/>
  <c r="M17" i="104" s="1"/>
  <c r="L16" i="104"/>
  <c r="L17" i="104" s="1"/>
  <c r="J16" i="104"/>
  <c r="J17" i="104" s="1"/>
  <c r="M11" i="104"/>
  <c r="M12" i="104" s="1"/>
  <c r="L11" i="104"/>
  <c r="L12" i="104" s="1"/>
  <c r="J11" i="104"/>
  <c r="J12" i="104" s="1"/>
  <c r="N4" i="104"/>
  <c r="N28" i="104" s="1"/>
  <c r="M28" i="104" s="1"/>
  <c r="M29" i="104" s="1"/>
  <c r="M30" i="104" s="1"/>
  <c r="N3" i="104"/>
  <c r="N22" i="104" s="1"/>
  <c r="J81" i="103"/>
  <c r="M80" i="103"/>
  <c r="M81" i="103" s="1"/>
  <c r="L80" i="103"/>
  <c r="L81" i="103" s="1"/>
  <c r="J80" i="103"/>
  <c r="M68" i="103"/>
  <c r="M69" i="103" s="1"/>
  <c r="L68" i="103"/>
  <c r="L69" i="103" s="1"/>
  <c r="L82" i="103" s="1"/>
  <c r="J68" i="103"/>
  <c r="J69" i="103" s="1"/>
  <c r="J82" i="103" s="1"/>
  <c r="J56" i="103"/>
  <c r="M55" i="103"/>
  <c r="M56" i="103" s="1"/>
  <c r="M57" i="103" s="1"/>
  <c r="L55" i="103"/>
  <c r="L56" i="103" s="1"/>
  <c r="J55" i="103"/>
  <c r="M50" i="103"/>
  <c r="L50" i="103"/>
  <c r="M49" i="103"/>
  <c r="L49" i="103"/>
  <c r="J49" i="103"/>
  <c r="J50" i="103" s="1"/>
  <c r="J57" i="103" s="1"/>
  <c r="L43" i="103"/>
  <c r="M42" i="103"/>
  <c r="M43" i="103" s="1"/>
  <c r="L42" i="103"/>
  <c r="J42" i="103"/>
  <c r="J43" i="103" s="1"/>
  <c r="M37" i="103"/>
  <c r="M36" i="103"/>
  <c r="L36" i="103"/>
  <c r="L37" i="103" s="1"/>
  <c r="L44" i="103" s="1"/>
  <c r="J36" i="103"/>
  <c r="J37" i="103" s="1"/>
  <c r="J44" i="103" s="1"/>
  <c r="L17" i="103"/>
  <c r="M16" i="103"/>
  <c r="M17" i="103" s="1"/>
  <c r="L16" i="103"/>
  <c r="J16" i="103"/>
  <c r="J17" i="103" s="1"/>
  <c r="L12" i="103"/>
  <c r="L18" i="103" s="1"/>
  <c r="M11" i="103"/>
  <c r="M12" i="103" s="1"/>
  <c r="M18" i="103" s="1"/>
  <c r="L11" i="103"/>
  <c r="J11" i="103"/>
  <c r="J12" i="103" s="1"/>
  <c r="J18" i="103" s="1"/>
  <c r="N4" i="103"/>
  <c r="N28" i="103" s="1"/>
  <c r="M28" i="103" s="1"/>
  <c r="M29" i="103" s="1"/>
  <c r="M30" i="103" s="1"/>
  <c r="N3" i="103"/>
  <c r="N22" i="103" s="1"/>
  <c r="M80" i="102"/>
  <c r="M81" i="102" s="1"/>
  <c r="L80" i="102"/>
  <c r="L81" i="102" s="1"/>
  <c r="J80" i="102"/>
  <c r="J81" i="102" s="1"/>
  <c r="M69" i="102"/>
  <c r="M82" i="102" s="1"/>
  <c r="M68" i="102"/>
  <c r="L68" i="102"/>
  <c r="L69" i="102" s="1"/>
  <c r="J68" i="102"/>
  <c r="J69" i="102" s="1"/>
  <c r="J82" i="102" s="1"/>
  <c r="J56" i="102"/>
  <c r="M55" i="102"/>
  <c r="M56" i="102" s="1"/>
  <c r="L55" i="102"/>
  <c r="L56" i="102" s="1"/>
  <c r="J55" i="102"/>
  <c r="L50" i="102"/>
  <c r="L57" i="102" s="1"/>
  <c r="J50" i="102"/>
  <c r="J57" i="102" s="1"/>
  <c r="M49" i="102"/>
  <c r="M50" i="102" s="1"/>
  <c r="M57" i="102" s="1"/>
  <c r="L49" i="102"/>
  <c r="J49" i="102"/>
  <c r="J43" i="102"/>
  <c r="M42" i="102"/>
  <c r="M43" i="102" s="1"/>
  <c r="L42" i="102"/>
  <c r="L43" i="102" s="1"/>
  <c r="J42" i="102"/>
  <c r="M37" i="102"/>
  <c r="L37" i="102"/>
  <c r="L44" i="102" s="1"/>
  <c r="M36" i="102"/>
  <c r="L36" i="102"/>
  <c r="J36" i="102"/>
  <c r="J37" i="102" s="1"/>
  <c r="J44" i="102" s="1"/>
  <c r="J17" i="102"/>
  <c r="M16" i="102"/>
  <c r="M17" i="102" s="1"/>
  <c r="L16" i="102"/>
  <c r="L17" i="102" s="1"/>
  <c r="J16" i="102"/>
  <c r="J12" i="102"/>
  <c r="J18" i="102" s="1"/>
  <c r="M11" i="102"/>
  <c r="M12" i="102" s="1"/>
  <c r="L11" i="102"/>
  <c r="L12" i="102" s="1"/>
  <c r="J11" i="102"/>
  <c r="N4" i="102"/>
  <c r="N28" i="102" s="1"/>
  <c r="M28" i="102" s="1"/>
  <c r="M29" i="102" s="1"/>
  <c r="M30" i="102" s="1"/>
  <c r="N3" i="102"/>
  <c r="N22" i="102" s="1"/>
  <c r="J81" i="101"/>
  <c r="M80" i="101"/>
  <c r="M81" i="101" s="1"/>
  <c r="L80" i="101"/>
  <c r="L81" i="101" s="1"/>
  <c r="J80" i="101"/>
  <c r="M68" i="101"/>
  <c r="M69" i="101" s="1"/>
  <c r="M82" i="101" s="1"/>
  <c r="L68" i="101"/>
  <c r="L69" i="101" s="1"/>
  <c r="L82" i="101" s="1"/>
  <c r="J68" i="101"/>
  <c r="J69" i="101" s="1"/>
  <c r="J82" i="101" s="1"/>
  <c r="L56" i="101"/>
  <c r="L57" i="101" s="1"/>
  <c r="J56" i="101"/>
  <c r="M55" i="101"/>
  <c r="M56" i="101" s="1"/>
  <c r="L55" i="101"/>
  <c r="J55" i="101"/>
  <c r="M50" i="101"/>
  <c r="M57" i="101" s="1"/>
  <c r="L50" i="101"/>
  <c r="M49" i="101"/>
  <c r="L49" i="101"/>
  <c r="J49" i="101"/>
  <c r="J50" i="101" s="1"/>
  <c r="J57" i="101" s="1"/>
  <c r="M43" i="101"/>
  <c r="M44" i="101" s="1"/>
  <c r="L43" i="101"/>
  <c r="M42" i="101"/>
  <c r="L42" i="101"/>
  <c r="J42" i="101"/>
  <c r="J43" i="101" s="1"/>
  <c r="M37" i="101"/>
  <c r="M36" i="101"/>
  <c r="L36" i="101"/>
  <c r="L37" i="101" s="1"/>
  <c r="L44" i="101" s="1"/>
  <c r="J36" i="101"/>
  <c r="J37" i="101" s="1"/>
  <c r="M17" i="101"/>
  <c r="L17" i="101"/>
  <c r="M16" i="101"/>
  <c r="L16" i="101"/>
  <c r="J16" i="101"/>
  <c r="J17" i="101" s="1"/>
  <c r="M12" i="101"/>
  <c r="M18" i="101" s="1"/>
  <c r="L12" i="101"/>
  <c r="L18" i="101" s="1"/>
  <c r="M11" i="101"/>
  <c r="L11" i="101"/>
  <c r="J11" i="101"/>
  <c r="J12" i="101" s="1"/>
  <c r="N4" i="101"/>
  <c r="N28" i="101" s="1"/>
  <c r="N3" i="101"/>
  <c r="N22" i="101" s="1"/>
  <c r="J81" i="100"/>
  <c r="M80" i="100"/>
  <c r="M81" i="100" s="1"/>
  <c r="L80" i="100"/>
  <c r="L81" i="100" s="1"/>
  <c r="J80" i="100"/>
  <c r="M68" i="100"/>
  <c r="M69" i="100" s="1"/>
  <c r="M82" i="100" s="1"/>
  <c r="L68" i="100"/>
  <c r="L69" i="100" s="1"/>
  <c r="L82" i="100" s="1"/>
  <c r="J68" i="100"/>
  <c r="J69" i="100" s="1"/>
  <c r="J82" i="100" s="1"/>
  <c r="L56" i="100"/>
  <c r="L57" i="100" s="1"/>
  <c r="J56" i="100"/>
  <c r="M55" i="100"/>
  <c r="M56" i="100" s="1"/>
  <c r="L55" i="100"/>
  <c r="J55" i="100"/>
  <c r="M50" i="100"/>
  <c r="M57" i="100" s="1"/>
  <c r="L50" i="100"/>
  <c r="M49" i="100"/>
  <c r="L49" i="100"/>
  <c r="J49" i="100"/>
  <c r="J50" i="100" s="1"/>
  <c r="J57" i="100" s="1"/>
  <c r="M43" i="100"/>
  <c r="L43" i="100"/>
  <c r="M42" i="100"/>
  <c r="L42" i="100"/>
  <c r="J42" i="100"/>
  <c r="J43" i="100" s="1"/>
  <c r="M36" i="100"/>
  <c r="M37" i="100" s="1"/>
  <c r="M44" i="100" s="1"/>
  <c r="L36" i="100"/>
  <c r="L37" i="100" s="1"/>
  <c r="L44" i="100" s="1"/>
  <c r="J36" i="100"/>
  <c r="J37" i="100" s="1"/>
  <c r="J44" i="100" s="1"/>
  <c r="M17" i="100"/>
  <c r="L17" i="100"/>
  <c r="M16" i="100"/>
  <c r="L16" i="100"/>
  <c r="J16" i="100"/>
  <c r="J17" i="100" s="1"/>
  <c r="M12" i="100"/>
  <c r="M18" i="100" s="1"/>
  <c r="L12" i="100"/>
  <c r="L18" i="100" s="1"/>
  <c r="M11" i="100"/>
  <c r="L11" i="100"/>
  <c r="J11" i="100"/>
  <c r="J12" i="100" s="1"/>
  <c r="N4" i="100"/>
  <c r="N28" i="100" s="1"/>
  <c r="N3" i="100"/>
  <c r="N22" i="100" s="1"/>
  <c r="J81" i="99"/>
  <c r="M80" i="99"/>
  <c r="M81" i="99" s="1"/>
  <c r="L80" i="99"/>
  <c r="L81" i="99" s="1"/>
  <c r="J80" i="99"/>
  <c r="M68" i="99"/>
  <c r="M69" i="99" s="1"/>
  <c r="L68" i="99"/>
  <c r="L69" i="99" s="1"/>
  <c r="L82" i="99" s="1"/>
  <c r="J68" i="99"/>
  <c r="J69" i="99" s="1"/>
  <c r="J82" i="99" s="1"/>
  <c r="L56" i="99"/>
  <c r="M55" i="99"/>
  <c r="M56" i="99" s="1"/>
  <c r="L55" i="99"/>
  <c r="J55" i="99"/>
  <c r="J56" i="99" s="1"/>
  <c r="M50" i="99"/>
  <c r="M57" i="99" s="1"/>
  <c r="M49" i="99"/>
  <c r="L49" i="99"/>
  <c r="L50" i="99" s="1"/>
  <c r="L57" i="99" s="1"/>
  <c r="J49" i="99"/>
  <c r="J50" i="99" s="1"/>
  <c r="J57" i="99" s="1"/>
  <c r="M43" i="99"/>
  <c r="L43" i="99"/>
  <c r="M42" i="99"/>
  <c r="L42" i="99"/>
  <c r="J42" i="99"/>
  <c r="J43" i="99" s="1"/>
  <c r="M36" i="99"/>
  <c r="M37" i="99" s="1"/>
  <c r="M44" i="99" s="1"/>
  <c r="L36" i="99"/>
  <c r="L37" i="99" s="1"/>
  <c r="L44" i="99" s="1"/>
  <c r="J36" i="99"/>
  <c r="J37" i="99" s="1"/>
  <c r="J44" i="99" s="1"/>
  <c r="M17" i="99"/>
  <c r="L17" i="99"/>
  <c r="M16" i="99"/>
  <c r="L16" i="99"/>
  <c r="J16" i="99"/>
  <c r="J17" i="99" s="1"/>
  <c r="M12" i="99"/>
  <c r="M18" i="99" s="1"/>
  <c r="L12" i="99"/>
  <c r="L18" i="99" s="1"/>
  <c r="M11" i="99"/>
  <c r="L11" i="99"/>
  <c r="J11" i="99"/>
  <c r="J12" i="99" s="1"/>
  <c r="N4" i="99"/>
  <c r="N28" i="99" s="1"/>
  <c r="N3" i="99"/>
  <c r="N22" i="99" s="1"/>
  <c r="N125" i="127" l="1"/>
  <c r="N55" i="127"/>
  <c r="Z116" i="112"/>
  <c r="Z121" i="112"/>
  <c r="Z127" i="112"/>
  <c r="Z145" i="112"/>
  <c r="N83" i="127"/>
  <c r="N48" i="127"/>
  <c r="N6" i="127"/>
  <c r="N66" i="127"/>
  <c r="N27" i="127"/>
  <c r="N14" i="127"/>
  <c r="N86" i="127"/>
  <c r="Q126" i="123"/>
  <c r="Q127" i="123" s="1"/>
  <c r="M14" i="124"/>
  <c r="M14" i="127" s="1"/>
  <c r="M82" i="124"/>
  <c r="M82" i="127" s="1"/>
  <c r="N82" i="127" s="1"/>
  <c r="Q109" i="123"/>
  <c r="Q110" i="123" s="1"/>
  <c r="Z135" i="112"/>
  <c r="Z143" i="112"/>
  <c r="Y146" i="112"/>
  <c r="Y148" i="112" s="1"/>
  <c r="P146" i="112"/>
  <c r="Z96" i="112"/>
  <c r="Z46" i="112"/>
  <c r="Z68" i="112"/>
  <c r="Z82" i="112"/>
  <c r="Z104" i="112"/>
  <c r="Z55" i="112"/>
  <c r="Z72" i="112"/>
  <c r="Z74" i="112"/>
  <c r="Z78" i="112"/>
  <c r="Z100" i="112"/>
  <c r="Z54" i="112"/>
  <c r="Z24" i="112"/>
  <c r="Z29" i="112"/>
  <c r="Q146" i="112"/>
  <c r="Q148" i="112" s="1"/>
  <c r="AZ146" i="112"/>
  <c r="Z6" i="112"/>
  <c r="Z12" i="112"/>
  <c r="Z19" i="112"/>
  <c r="Z33" i="112"/>
  <c r="Z41" i="112"/>
  <c r="Z47" i="112"/>
  <c r="Z60" i="112"/>
  <c r="Z66" i="112"/>
  <c r="Z77" i="112"/>
  <c r="Z87" i="112"/>
  <c r="Z91" i="112"/>
  <c r="Z107" i="112"/>
  <c r="Z111" i="112"/>
  <c r="Z119" i="112"/>
  <c r="Z130" i="112"/>
  <c r="Z138" i="112"/>
  <c r="Z18" i="112"/>
  <c r="Z26" i="112"/>
  <c r="Z31" i="112"/>
  <c r="Z38" i="112"/>
  <c r="T146" i="112"/>
  <c r="T148" i="112" s="1"/>
  <c r="Z8" i="112"/>
  <c r="Z11" i="112"/>
  <c r="Z17" i="112"/>
  <c r="Z23" i="112"/>
  <c r="Z28" i="112"/>
  <c r="Z35" i="112"/>
  <c r="Z45" i="112"/>
  <c r="Z53" i="112"/>
  <c r="Z57" i="112"/>
  <c r="Z65" i="112"/>
  <c r="Z93" i="112"/>
  <c r="Z109" i="112"/>
  <c r="Z113" i="112"/>
  <c r="Z124" i="112"/>
  <c r="Z132" i="112"/>
  <c r="Z140" i="112"/>
  <c r="Z36" i="112"/>
  <c r="Z16" i="112"/>
  <c r="Z40" i="112"/>
  <c r="Z44" i="112"/>
  <c r="Z52" i="112"/>
  <c r="Z59" i="112"/>
  <c r="Z62" i="112"/>
  <c r="Z71" i="112"/>
  <c r="Z76" i="112"/>
  <c r="Z81" i="112"/>
  <c r="Z85" i="112"/>
  <c r="Z99" i="112"/>
  <c r="Z103" i="112"/>
  <c r="Z118" i="112"/>
  <c r="Z123" i="112"/>
  <c r="Z129" i="112"/>
  <c r="Z137" i="112"/>
  <c r="Z5" i="112"/>
  <c r="V146" i="112"/>
  <c r="V148" i="112" s="1"/>
  <c r="Z10" i="112"/>
  <c r="Z25" i="112"/>
  <c r="Z30" i="112"/>
  <c r="Z37" i="112"/>
  <c r="Z43" i="112"/>
  <c r="Z51" i="112"/>
  <c r="Z64" i="112"/>
  <c r="Z90" i="112"/>
  <c r="Z95" i="112"/>
  <c r="Z115" i="112"/>
  <c r="Z126" i="112"/>
  <c r="Z134" i="112"/>
  <c r="Z142" i="112"/>
  <c r="S146" i="112"/>
  <c r="S148" i="112" s="1"/>
  <c r="Z34" i="112"/>
  <c r="Z50" i="112"/>
  <c r="Z56" i="112"/>
  <c r="Z61" i="112"/>
  <c r="Z70" i="112"/>
  <c r="Z80" i="112"/>
  <c r="Z84" i="112"/>
  <c r="Z92" i="112"/>
  <c r="Z98" i="112"/>
  <c r="Z102" i="112"/>
  <c r="Z108" i="112"/>
  <c r="Z110" i="112"/>
  <c r="Z112" i="112"/>
  <c r="Z120" i="112"/>
  <c r="Z131" i="112"/>
  <c r="Z139" i="112"/>
  <c r="Z144" i="112"/>
  <c r="Z20" i="112"/>
  <c r="U146" i="112"/>
  <c r="U148" i="112" s="1"/>
  <c r="Z15" i="112"/>
  <c r="W146" i="112"/>
  <c r="Z7" i="112"/>
  <c r="Z14" i="112"/>
  <c r="O146" i="112"/>
  <c r="X146" i="112"/>
  <c r="Z13" i="112"/>
  <c r="Z21" i="112"/>
  <c r="Z27" i="112"/>
  <c r="Z39" i="112"/>
  <c r="Z49" i="112"/>
  <c r="Z67" i="112"/>
  <c r="Z75" i="112"/>
  <c r="Z117" i="112"/>
  <c r="Z122" i="112"/>
  <c r="Z128" i="112"/>
  <c r="Z136" i="112"/>
  <c r="Z9" i="112"/>
  <c r="Z48" i="112"/>
  <c r="Z58" i="112"/>
  <c r="Z69" i="112"/>
  <c r="Z73" i="112"/>
  <c r="Z79" i="112"/>
  <c r="Z83" i="112"/>
  <c r="Z89" i="112"/>
  <c r="Z94" i="112"/>
  <c r="Z97" i="112"/>
  <c r="Z101" i="112"/>
  <c r="Z105" i="112"/>
  <c r="Z114" i="112"/>
  <c r="Z125" i="112"/>
  <c r="Z133" i="112"/>
  <c r="Z141" i="112"/>
  <c r="W148" i="112"/>
  <c r="X148" i="112"/>
  <c r="P148" i="112"/>
  <c r="Z4" i="112"/>
  <c r="L44" i="111"/>
  <c r="M57" i="111"/>
  <c r="J22" i="111"/>
  <c r="J23" i="111" s="1"/>
  <c r="J24" i="111" s="1"/>
  <c r="M22" i="111"/>
  <c r="M23" i="111" s="1"/>
  <c r="M24" i="111" s="1"/>
  <c r="M31" i="111" s="1"/>
  <c r="M83" i="111" s="1"/>
  <c r="K22" i="111"/>
  <c r="L22" i="111"/>
  <c r="L23" i="111" s="1"/>
  <c r="L24" i="111" s="1"/>
  <c r="M82" i="111"/>
  <c r="N5" i="111"/>
  <c r="J28" i="111"/>
  <c r="J29" i="111" s="1"/>
  <c r="J30" i="111" s="1"/>
  <c r="K28" i="111"/>
  <c r="L28" i="111"/>
  <c r="L29" i="111" s="1"/>
  <c r="L30" i="111" s="1"/>
  <c r="N5" i="110"/>
  <c r="J22" i="110"/>
  <c r="J23" i="110" s="1"/>
  <c r="J24" i="110" s="1"/>
  <c r="L22" i="110"/>
  <c r="L23" i="110" s="1"/>
  <c r="L24" i="110" s="1"/>
  <c r="M22" i="110"/>
  <c r="M23" i="110" s="1"/>
  <c r="M24" i="110" s="1"/>
  <c r="K22" i="110"/>
  <c r="M28" i="110"/>
  <c r="M29" i="110" s="1"/>
  <c r="M30" i="110" s="1"/>
  <c r="L28" i="110"/>
  <c r="L29" i="110" s="1"/>
  <c r="L30" i="110" s="1"/>
  <c r="K28" i="110"/>
  <c r="J28" i="110"/>
  <c r="J29" i="110" s="1"/>
  <c r="J30" i="110" s="1"/>
  <c r="J18" i="110"/>
  <c r="L57" i="109"/>
  <c r="M82" i="109"/>
  <c r="J22" i="109"/>
  <c r="J23" i="109" s="1"/>
  <c r="J24" i="109" s="1"/>
  <c r="L22" i="109"/>
  <c r="L23" i="109" s="1"/>
  <c r="L24" i="109" s="1"/>
  <c r="K22" i="109"/>
  <c r="M22" i="109"/>
  <c r="M23" i="109" s="1"/>
  <c r="M24" i="109" s="1"/>
  <c r="M31" i="109" s="1"/>
  <c r="M83" i="109" s="1"/>
  <c r="M44" i="109"/>
  <c r="L82" i="109"/>
  <c r="N5" i="109"/>
  <c r="J28" i="109"/>
  <c r="J29" i="109" s="1"/>
  <c r="J30" i="109" s="1"/>
  <c r="K28" i="109"/>
  <c r="L28" i="109"/>
  <c r="L29" i="109" s="1"/>
  <c r="L30" i="109" s="1"/>
  <c r="M28" i="108"/>
  <c r="M29" i="108" s="1"/>
  <c r="M30" i="108" s="1"/>
  <c r="L28" i="108"/>
  <c r="L29" i="108" s="1"/>
  <c r="L30" i="108" s="1"/>
  <c r="K28" i="108"/>
  <c r="J28" i="108"/>
  <c r="J29" i="108" s="1"/>
  <c r="J30" i="108" s="1"/>
  <c r="M18" i="108"/>
  <c r="J22" i="108"/>
  <c r="J23" i="108" s="1"/>
  <c r="J24" i="108" s="1"/>
  <c r="M22" i="108"/>
  <c r="M23" i="108" s="1"/>
  <c r="M24" i="108" s="1"/>
  <c r="L22" i="108"/>
  <c r="L23" i="108" s="1"/>
  <c r="L24" i="108" s="1"/>
  <c r="K22" i="108"/>
  <c r="N5" i="108"/>
  <c r="J22" i="107"/>
  <c r="J23" i="107" s="1"/>
  <c r="J24" i="107" s="1"/>
  <c r="M22" i="107"/>
  <c r="M23" i="107" s="1"/>
  <c r="M24" i="107" s="1"/>
  <c r="M31" i="107" s="1"/>
  <c r="L22" i="107"/>
  <c r="L23" i="107" s="1"/>
  <c r="L24" i="107" s="1"/>
  <c r="K22" i="107"/>
  <c r="M44" i="107"/>
  <c r="N5" i="107"/>
  <c r="J28" i="107"/>
  <c r="J29" i="107" s="1"/>
  <c r="J30" i="107" s="1"/>
  <c r="K28" i="107"/>
  <c r="L28" i="107"/>
  <c r="L29" i="107" s="1"/>
  <c r="L30" i="107" s="1"/>
  <c r="M28" i="106"/>
  <c r="M29" i="106" s="1"/>
  <c r="M30" i="106" s="1"/>
  <c r="L28" i="106"/>
  <c r="L29" i="106" s="1"/>
  <c r="L30" i="106" s="1"/>
  <c r="K28" i="106"/>
  <c r="J28" i="106"/>
  <c r="J29" i="106" s="1"/>
  <c r="J30" i="106" s="1"/>
  <c r="M18" i="106"/>
  <c r="J22" i="106"/>
  <c r="J23" i="106" s="1"/>
  <c r="J24" i="106" s="1"/>
  <c r="M22" i="106"/>
  <c r="M23" i="106" s="1"/>
  <c r="M24" i="106" s="1"/>
  <c r="K22" i="106"/>
  <c r="L22" i="106"/>
  <c r="L23" i="106" s="1"/>
  <c r="L24" i="106" s="1"/>
  <c r="M44" i="106"/>
  <c r="N5" i="106"/>
  <c r="J22" i="105"/>
  <c r="J23" i="105" s="1"/>
  <c r="J24" i="105" s="1"/>
  <c r="M22" i="105"/>
  <c r="M23" i="105" s="1"/>
  <c r="M24" i="105" s="1"/>
  <c r="M31" i="105" s="1"/>
  <c r="L22" i="105"/>
  <c r="L23" i="105" s="1"/>
  <c r="L24" i="105" s="1"/>
  <c r="K22" i="105"/>
  <c r="M82" i="105"/>
  <c r="L18" i="105"/>
  <c r="M44" i="105"/>
  <c r="M18" i="105"/>
  <c r="N5" i="105"/>
  <c r="J28" i="105"/>
  <c r="J29" i="105" s="1"/>
  <c r="J30" i="105" s="1"/>
  <c r="K28" i="105"/>
  <c r="L28" i="105"/>
  <c r="L29" i="105" s="1"/>
  <c r="L30" i="105" s="1"/>
  <c r="J44" i="104"/>
  <c r="J82" i="104"/>
  <c r="J18" i="104"/>
  <c r="L44" i="104"/>
  <c r="M57" i="104"/>
  <c r="L82" i="104"/>
  <c r="J22" i="104"/>
  <c r="J23" i="104" s="1"/>
  <c r="J24" i="104" s="1"/>
  <c r="K22" i="104"/>
  <c r="M22" i="104"/>
  <c r="M23" i="104" s="1"/>
  <c r="M24" i="104" s="1"/>
  <c r="M31" i="104" s="1"/>
  <c r="L22" i="104"/>
  <c r="L23" i="104" s="1"/>
  <c r="L24" i="104" s="1"/>
  <c r="L18" i="104"/>
  <c r="M18" i="104"/>
  <c r="M44" i="104"/>
  <c r="L57" i="104"/>
  <c r="M82" i="104"/>
  <c r="N5" i="104"/>
  <c r="J28" i="104"/>
  <c r="J29" i="104" s="1"/>
  <c r="J30" i="104" s="1"/>
  <c r="K28" i="104"/>
  <c r="L28" i="104"/>
  <c r="L29" i="104" s="1"/>
  <c r="L30" i="104" s="1"/>
  <c r="M44" i="103"/>
  <c r="L57" i="103"/>
  <c r="M82" i="103"/>
  <c r="J22" i="103"/>
  <c r="J23" i="103" s="1"/>
  <c r="J24" i="103" s="1"/>
  <c r="M22" i="103"/>
  <c r="M23" i="103" s="1"/>
  <c r="M24" i="103" s="1"/>
  <c r="M31" i="103" s="1"/>
  <c r="K22" i="103"/>
  <c r="L22" i="103"/>
  <c r="L23" i="103" s="1"/>
  <c r="L24" i="103" s="1"/>
  <c r="N5" i="103"/>
  <c r="J28" i="103"/>
  <c r="J29" i="103" s="1"/>
  <c r="J30" i="103" s="1"/>
  <c r="K28" i="103"/>
  <c r="L28" i="103"/>
  <c r="L29" i="103" s="1"/>
  <c r="L30" i="103" s="1"/>
  <c r="M18" i="102"/>
  <c r="L82" i="102"/>
  <c r="M44" i="102"/>
  <c r="J22" i="102"/>
  <c r="J23" i="102" s="1"/>
  <c r="J24" i="102" s="1"/>
  <c r="K22" i="102"/>
  <c r="M22" i="102"/>
  <c r="M23" i="102" s="1"/>
  <c r="M24" i="102" s="1"/>
  <c r="M31" i="102" s="1"/>
  <c r="L22" i="102"/>
  <c r="L23" i="102" s="1"/>
  <c r="L24" i="102" s="1"/>
  <c r="L18" i="102"/>
  <c r="N5" i="102"/>
  <c r="J28" i="102"/>
  <c r="J29" i="102" s="1"/>
  <c r="J30" i="102" s="1"/>
  <c r="K28" i="102"/>
  <c r="L28" i="102"/>
  <c r="L29" i="102" s="1"/>
  <c r="L30" i="102" s="1"/>
  <c r="N5" i="101"/>
  <c r="J18" i="101"/>
  <c r="J22" i="101"/>
  <c r="J23" i="101" s="1"/>
  <c r="J24" i="101" s="1"/>
  <c r="K22" i="101"/>
  <c r="M22" i="101"/>
  <c r="M23" i="101" s="1"/>
  <c r="M24" i="101" s="1"/>
  <c r="L22" i="101"/>
  <c r="L23" i="101" s="1"/>
  <c r="L24" i="101" s="1"/>
  <c r="M28" i="101"/>
  <c r="M29" i="101" s="1"/>
  <c r="M30" i="101" s="1"/>
  <c r="L28" i="101"/>
  <c r="L29" i="101" s="1"/>
  <c r="L30" i="101" s="1"/>
  <c r="K28" i="101"/>
  <c r="J28" i="101"/>
  <c r="J29" i="101" s="1"/>
  <c r="J30" i="101" s="1"/>
  <c r="J44" i="101"/>
  <c r="N5" i="100"/>
  <c r="M28" i="100"/>
  <c r="M29" i="100" s="1"/>
  <c r="M30" i="100" s="1"/>
  <c r="L28" i="100"/>
  <c r="L29" i="100" s="1"/>
  <c r="L30" i="100" s="1"/>
  <c r="K28" i="100"/>
  <c r="J28" i="100"/>
  <c r="J29" i="100" s="1"/>
  <c r="J30" i="100" s="1"/>
  <c r="J22" i="100"/>
  <c r="J23" i="100" s="1"/>
  <c r="J24" i="100" s="1"/>
  <c r="L22" i="100"/>
  <c r="L23" i="100" s="1"/>
  <c r="L24" i="100" s="1"/>
  <c r="M22" i="100"/>
  <c r="M23" i="100" s="1"/>
  <c r="M24" i="100" s="1"/>
  <c r="K22" i="100"/>
  <c r="J18" i="100"/>
  <c r="N5" i="99"/>
  <c r="M82" i="99"/>
  <c r="J22" i="99"/>
  <c r="J23" i="99" s="1"/>
  <c r="J24" i="99" s="1"/>
  <c r="L22" i="99"/>
  <c r="L23" i="99" s="1"/>
  <c r="L24" i="99" s="1"/>
  <c r="M22" i="99"/>
  <c r="M23" i="99" s="1"/>
  <c r="M24" i="99" s="1"/>
  <c r="K22" i="99"/>
  <c r="M28" i="99"/>
  <c r="M29" i="99" s="1"/>
  <c r="M30" i="99" s="1"/>
  <c r="L28" i="99"/>
  <c r="L29" i="99" s="1"/>
  <c r="L30" i="99" s="1"/>
  <c r="K28" i="99"/>
  <c r="J28" i="99"/>
  <c r="J29" i="99" s="1"/>
  <c r="J30" i="99" s="1"/>
  <c r="J18" i="99"/>
  <c r="M80" i="98"/>
  <c r="M81" i="98" s="1"/>
  <c r="L80" i="98"/>
  <c r="L81" i="98" s="1"/>
  <c r="J80" i="98"/>
  <c r="J81" i="98" s="1"/>
  <c r="M69" i="98"/>
  <c r="M68" i="98"/>
  <c r="L68" i="98"/>
  <c r="L69" i="98" s="1"/>
  <c r="L82" i="98" s="1"/>
  <c r="J68" i="98"/>
  <c r="J69" i="98" s="1"/>
  <c r="J82" i="98" s="1"/>
  <c r="J56" i="98"/>
  <c r="M55" i="98"/>
  <c r="M56" i="98" s="1"/>
  <c r="L55" i="98"/>
  <c r="L56" i="98" s="1"/>
  <c r="J55" i="98"/>
  <c r="L50" i="98"/>
  <c r="L57" i="98" s="1"/>
  <c r="J50" i="98"/>
  <c r="J57" i="98" s="1"/>
  <c r="M49" i="98"/>
  <c r="M50" i="98" s="1"/>
  <c r="L49" i="98"/>
  <c r="J49" i="98"/>
  <c r="J43" i="98"/>
  <c r="M42" i="98"/>
  <c r="M43" i="98" s="1"/>
  <c r="L42" i="98"/>
  <c r="L43" i="98" s="1"/>
  <c r="J42" i="98"/>
  <c r="M37" i="98"/>
  <c r="M44" i="98" s="1"/>
  <c r="L37" i="98"/>
  <c r="L44" i="98" s="1"/>
  <c r="M36" i="98"/>
  <c r="L36" i="98"/>
  <c r="J36" i="98"/>
  <c r="J37" i="98" s="1"/>
  <c r="J44" i="98" s="1"/>
  <c r="M16" i="98"/>
  <c r="M17" i="98" s="1"/>
  <c r="L16" i="98"/>
  <c r="L17" i="98" s="1"/>
  <c r="J16" i="98"/>
  <c r="J17" i="98" s="1"/>
  <c r="M11" i="98"/>
  <c r="M12" i="98" s="1"/>
  <c r="M18" i="98" s="1"/>
  <c r="L11" i="98"/>
  <c r="L12" i="98" s="1"/>
  <c r="L18" i="98" s="1"/>
  <c r="J11" i="98"/>
  <c r="J12" i="98" s="1"/>
  <c r="J18" i="98" s="1"/>
  <c r="N4" i="98"/>
  <c r="N28" i="98" s="1"/>
  <c r="M28" i="98" s="1"/>
  <c r="M29" i="98" s="1"/>
  <c r="M30" i="98" s="1"/>
  <c r="N3" i="98"/>
  <c r="N22" i="98" s="1"/>
  <c r="J81" i="97"/>
  <c r="M80" i="97"/>
  <c r="M81" i="97" s="1"/>
  <c r="L80" i="97"/>
  <c r="L81" i="97" s="1"/>
  <c r="J80" i="97"/>
  <c r="M68" i="97"/>
  <c r="M69" i="97" s="1"/>
  <c r="L68" i="97"/>
  <c r="L69" i="97" s="1"/>
  <c r="L82" i="97" s="1"/>
  <c r="J68" i="97"/>
  <c r="J69" i="97" s="1"/>
  <c r="J82" i="97" s="1"/>
  <c r="L56" i="97"/>
  <c r="L57" i="97" s="1"/>
  <c r="J56" i="97"/>
  <c r="M55" i="97"/>
  <c r="M56" i="97" s="1"/>
  <c r="L55" i="97"/>
  <c r="J55" i="97"/>
  <c r="M50" i="97"/>
  <c r="L50" i="97"/>
  <c r="M49" i="97"/>
  <c r="L49" i="97"/>
  <c r="J49" i="97"/>
  <c r="J50" i="97" s="1"/>
  <c r="J57" i="97" s="1"/>
  <c r="M43" i="97"/>
  <c r="M44" i="97" s="1"/>
  <c r="L43" i="97"/>
  <c r="M42" i="97"/>
  <c r="L42" i="97"/>
  <c r="J42" i="97"/>
  <c r="J43" i="97" s="1"/>
  <c r="M37" i="97"/>
  <c r="M36" i="97"/>
  <c r="L36" i="97"/>
  <c r="L37" i="97" s="1"/>
  <c r="L44" i="97" s="1"/>
  <c r="J36" i="97"/>
  <c r="J37" i="97" s="1"/>
  <c r="J44" i="97" s="1"/>
  <c r="M17" i="97"/>
  <c r="L17" i="97"/>
  <c r="M16" i="97"/>
  <c r="L16" i="97"/>
  <c r="J16" i="97"/>
  <c r="J17" i="97" s="1"/>
  <c r="M12" i="97"/>
  <c r="M18" i="97" s="1"/>
  <c r="L12" i="97"/>
  <c r="L18" i="97" s="1"/>
  <c r="M11" i="97"/>
  <c r="L11" i="97"/>
  <c r="J11" i="97"/>
  <c r="J12" i="97" s="1"/>
  <c r="J18" i="97" s="1"/>
  <c r="N4" i="97"/>
  <c r="N28" i="97" s="1"/>
  <c r="N3" i="97"/>
  <c r="N22" i="97" s="1"/>
  <c r="M81" i="96"/>
  <c r="J81" i="96"/>
  <c r="M80" i="96"/>
  <c r="L80" i="96"/>
  <c r="L81" i="96" s="1"/>
  <c r="J80" i="96"/>
  <c r="M68" i="96"/>
  <c r="M69" i="96" s="1"/>
  <c r="M82" i="96" s="1"/>
  <c r="L68" i="96"/>
  <c r="L69" i="96" s="1"/>
  <c r="J68" i="96"/>
  <c r="J69" i="96" s="1"/>
  <c r="J82" i="96" s="1"/>
  <c r="J56" i="96"/>
  <c r="M55" i="96"/>
  <c r="M56" i="96" s="1"/>
  <c r="L55" i="96"/>
  <c r="L56" i="96" s="1"/>
  <c r="J55" i="96"/>
  <c r="M50" i="96"/>
  <c r="L50" i="96"/>
  <c r="L57" i="96" s="1"/>
  <c r="M49" i="96"/>
  <c r="L49" i="96"/>
  <c r="J49" i="96"/>
  <c r="J50" i="96" s="1"/>
  <c r="J57" i="96" s="1"/>
  <c r="M43" i="96"/>
  <c r="L43" i="96"/>
  <c r="M42" i="96"/>
  <c r="L42" i="96"/>
  <c r="J42" i="96"/>
  <c r="J43" i="96" s="1"/>
  <c r="M37" i="96"/>
  <c r="M44" i="96" s="1"/>
  <c r="M36" i="96"/>
  <c r="L36" i="96"/>
  <c r="L37" i="96" s="1"/>
  <c r="L44" i="96" s="1"/>
  <c r="J36" i="96"/>
  <c r="J37" i="96" s="1"/>
  <c r="J44" i="96" s="1"/>
  <c r="M17" i="96"/>
  <c r="L17" i="96"/>
  <c r="M16" i="96"/>
  <c r="L16" i="96"/>
  <c r="J16" i="96"/>
  <c r="J17" i="96" s="1"/>
  <c r="M12" i="96"/>
  <c r="M18" i="96" s="1"/>
  <c r="L12" i="96"/>
  <c r="L18" i="96" s="1"/>
  <c r="M11" i="96"/>
  <c r="L11" i="96"/>
  <c r="J11" i="96"/>
  <c r="J12" i="96" s="1"/>
  <c r="J18" i="96" s="1"/>
  <c r="N4" i="96"/>
  <c r="N28" i="96" s="1"/>
  <c r="N3" i="96"/>
  <c r="N22" i="96" s="1"/>
  <c r="J81" i="95"/>
  <c r="M80" i="95"/>
  <c r="M81" i="95" s="1"/>
  <c r="L80" i="95"/>
  <c r="L81" i="95" s="1"/>
  <c r="J80" i="95"/>
  <c r="M68" i="95"/>
  <c r="M69" i="95" s="1"/>
  <c r="L68" i="95"/>
  <c r="L69" i="95" s="1"/>
  <c r="L82" i="95" s="1"/>
  <c r="J68" i="95"/>
  <c r="J69" i="95" s="1"/>
  <c r="J82" i="95" s="1"/>
  <c r="L56" i="95"/>
  <c r="L57" i="95" s="1"/>
  <c r="J56" i="95"/>
  <c r="M55" i="95"/>
  <c r="M56" i="95" s="1"/>
  <c r="L55" i="95"/>
  <c r="J55" i="95"/>
  <c r="M50" i="95"/>
  <c r="L50" i="95"/>
  <c r="M49" i="95"/>
  <c r="L49" i="95"/>
  <c r="J49" i="95"/>
  <c r="J50" i="95" s="1"/>
  <c r="J57" i="95" s="1"/>
  <c r="M43" i="95"/>
  <c r="M44" i="95" s="1"/>
  <c r="L43" i="95"/>
  <c r="M42" i="95"/>
  <c r="L42" i="95"/>
  <c r="J42" i="95"/>
  <c r="J43" i="95" s="1"/>
  <c r="M37" i="95"/>
  <c r="M36" i="95"/>
  <c r="L36" i="95"/>
  <c r="L37" i="95" s="1"/>
  <c r="L44" i="95" s="1"/>
  <c r="J36" i="95"/>
  <c r="J37" i="95" s="1"/>
  <c r="J44" i="95" s="1"/>
  <c r="M17" i="95"/>
  <c r="L17" i="95"/>
  <c r="M16" i="95"/>
  <c r="L16" i="95"/>
  <c r="J16" i="95"/>
  <c r="J17" i="95" s="1"/>
  <c r="M12" i="95"/>
  <c r="M18" i="95" s="1"/>
  <c r="L12" i="95"/>
  <c r="L18" i="95" s="1"/>
  <c r="M11" i="95"/>
  <c r="L11" i="95"/>
  <c r="J11" i="95"/>
  <c r="J12" i="95" s="1"/>
  <c r="J18" i="95" s="1"/>
  <c r="N4" i="95"/>
  <c r="N28" i="95" s="1"/>
  <c r="N3" i="95"/>
  <c r="N22" i="95" s="1"/>
  <c r="J81" i="94"/>
  <c r="M80" i="94"/>
  <c r="M81" i="94" s="1"/>
  <c r="L80" i="94"/>
  <c r="L81" i="94" s="1"/>
  <c r="J80" i="94"/>
  <c r="M68" i="94"/>
  <c r="M69" i="94" s="1"/>
  <c r="L68" i="94"/>
  <c r="L69" i="94" s="1"/>
  <c r="L82" i="94" s="1"/>
  <c r="J68" i="94"/>
  <c r="J69" i="94" s="1"/>
  <c r="J82" i="94" s="1"/>
  <c r="J56" i="94"/>
  <c r="M55" i="94"/>
  <c r="M56" i="94" s="1"/>
  <c r="L55" i="94"/>
  <c r="L56" i="94" s="1"/>
  <c r="J55" i="94"/>
  <c r="M50" i="94"/>
  <c r="M57" i="94" s="1"/>
  <c r="L50" i="94"/>
  <c r="M49" i="94"/>
  <c r="L49" i="94"/>
  <c r="J49" i="94"/>
  <c r="J50" i="94" s="1"/>
  <c r="J57" i="94" s="1"/>
  <c r="L43" i="94"/>
  <c r="J43" i="94"/>
  <c r="M42" i="94"/>
  <c r="M43" i="94" s="1"/>
  <c r="L42" i="94"/>
  <c r="J42" i="94"/>
  <c r="M37" i="94"/>
  <c r="M44" i="94" s="1"/>
  <c r="L37" i="94"/>
  <c r="L44" i="94" s="1"/>
  <c r="M36" i="94"/>
  <c r="L36" i="94"/>
  <c r="J36" i="94"/>
  <c r="J37" i="94" s="1"/>
  <c r="J44" i="94" s="1"/>
  <c r="L17" i="94"/>
  <c r="J17" i="94"/>
  <c r="M16" i="94"/>
  <c r="M17" i="94" s="1"/>
  <c r="L16" i="94"/>
  <c r="J16" i="94"/>
  <c r="L12" i="94"/>
  <c r="L18" i="94" s="1"/>
  <c r="J12" i="94"/>
  <c r="J18" i="94" s="1"/>
  <c r="M11" i="94"/>
  <c r="M12" i="94" s="1"/>
  <c r="L11" i="94"/>
  <c r="J11" i="94"/>
  <c r="N4" i="94"/>
  <c r="N28" i="94" s="1"/>
  <c r="M28" i="94" s="1"/>
  <c r="M29" i="94" s="1"/>
  <c r="M30" i="94" s="1"/>
  <c r="N3" i="94"/>
  <c r="N22" i="94" s="1"/>
  <c r="M81" i="93"/>
  <c r="J81" i="93"/>
  <c r="M80" i="93"/>
  <c r="L80" i="93"/>
  <c r="L81" i="93" s="1"/>
  <c r="J80" i="93"/>
  <c r="M68" i="93"/>
  <c r="M69" i="93" s="1"/>
  <c r="M82" i="93" s="1"/>
  <c r="L68" i="93"/>
  <c r="L69" i="93" s="1"/>
  <c r="J68" i="93"/>
  <c r="J69" i="93" s="1"/>
  <c r="J82" i="93" s="1"/>
  <c r="J56" i="93"/>
  <c r="M55" i="93"/>
  <c r="M56" i="93" s="1"/>
  <c r="L55" i="93"/>
  <c r="L56" i="93" s="1"/>
  <c r="J55" i="93"/>
  <c r="M50" i="93"/>
  <c r="L50" i="93"/>
  <c r="L57" i="93" s="1"/>
  <c r="M49" i="93"/>
  <c r="L49" i="93"/>
  <c r="J49" i="93"/>
  <c r="J50" i="93" s="1"/>
  <c r="J57" i="93" s="1"/>
  <c r="M43" i="93"/>
  <c r="L43" i="93"/>
  <c r="M42" i="93"/>
  <c r="L42" i="93"/>
  <c r="J42" i="93"/>
  <c r="J43" i="93" s="1"/>
  <c r="M36" i="93"/>
  <c r="M37" i="93" s="1"/>
  <c r="M44" i="93" s="1"/>
  <c r="L36" i="93"/>
  <c r="L37" i="93" s="1"/>
  <c r="L44" i="93" s="1"/>
  <c r="J36" i="93"/>
  <c r="J37" i="93" s="1"/>
  <c r="M17" i="93"/>
  <c r="L17" i="93"/>
  <c r="M16" i="93"/>
  <c r="L16" i="93"/>
  <c r="J16" i="93"/>
  <c r="J17" i="93" s="1"/>
  <c r="M12" i="93"/>
  <c r="M18" i="93" s="1"/>
  <c r="L12" i="93"/>
  <c r="L18" i="93" s="1"/>
  <c r="M11" i="93"/>
  <c r="L11" i="93"/>
  <c r="J11" i="93"/>
  <c r="J12" i="93" s="1"/>
  <c r="N4" i="93"/>
  <c r="N28" i="93" s="1"/>
  <c r="N3" i="93"/>
  <c r="N22" i="93" s="1"/>
  <c r="J81" i="92"/>
  <c r="M80" i="92"/>
  <c r="M81" i="92" s="1"/>
  <c r="L80" i="92"/>
  <c r="L81" i="92" s="1"/>
  <c r="J80" i="92"/>
  <c r="M68" i="92"/>
  <c r="M69" i="92" s="1"/>
  <c r="M82" i="92" s="1"/>
  <c r="L68" i="92"/>
  <c r="L69" i="92" s="1"/>
  <c r="L82" i="92" s="1"/>
  <c r="J68" i="92"/>
  <c r="J69" i="92" s="1"/>
  <c r="J82" i="92" s="1"/>
  <c r="L56" i="92"/>
  <c r="M55" i="92"/>
  <c r="M56" i="92" s="1"/>
  <c r="L55" i="92"/>
  <c r="J55" i="92"/>
  <c r="J56" i="92" s="1"/>
  <c r="M50" i="92"/>
  <c r="M57" i="92" s="1"/>
  <c r="M49" i="92"/>
  <c r="L49" i="92"/>
  <c r="L50" i="92" s="1"/>
  <c r="L57" i="92" s="1"/>
  <c r="J49" i="92"/>
  <c r="J50" i="92" s="1"/>
  <c r="J57" i="92" s="1"/>
  <c r="M43" i="92"/>
  <c r="L43" i="92"/>
  <c r="M42" i="92"/>
  <c r="L42" i="92"/>
  <c r="J42" i="92"/>
  <c r="J43" i="92" s="1"/>
  <c r="J37" i="92"/>
  <c r="M36" i="92"/>
  <c r="M37" i="92" s="1"/>
  <c r="M44" i="92" s="1"/>
  <c r="L36" i="92"/>
  <c r="L37" i="92" s="1"/>
  <c r="L44" i="92" s="1"/>
  <c r="J36" i="92"/>
  <c r="M17" i="92"/>
  <c r="L17" i="92"/>
  <c r="M16" i="92"/>
  <c r="L16" i="92"/>
  <c r="J16" i="92"/>
  <c r="J17" i="92" s="1"/>
  <c r="M12" i="92"/>
  <c r="M18" i="92" s="1"/>
  <c r="L12" i="92"/>
  <c r="L18" i="92" s="1"/>
  <c r="M11" i="92"/>
  <c r="L11" i="92"/>
  <c r="J11" i="92"/>
  <c r="J12" i="92" s="1"/>
  <c r="N4" i="92"/>
  <c r="N28" i="92" s="1"/>
  <c r="N3" i="92"/>
  <c r="N22" i="92" s="1"/>
  <c r="M80" i="91"/>
  <c r="M81" i="91" s="1"/>
  <c r="L80" i="91"/>
  <c r="L81" i="91" s="1"/>
  <c r="J80" i="91"/>
  <c r="J81" i="91" s="1"/>
  <c r="M69" i="91"/>
  <c r="M82" i="91" s="1"/>
  <c r="M68" i="91"/>
  <c r="L68" i="91"/>
  <c r="L69" i="91" s="1"/>
  <c r="J68" i="91"/>
  <c r="J69" i="91" s="1"/>
  <c r="J56" i="91"/>
  <c r="M55" i="91"/>
  <c r="M56" i="91" s="1"/>
  <c r="L55" i="91"/>
  <c r="L56" i="91" s="1"/>
  <c r="J55" i="91"/>
  <c r="L50" i="91"/>
  <c r="L57" i="91" s="1"/>
  <c r="J50" i="91"/>
  <c r="J57" i="91" s="1"/>
  <c r="M49" i="91"/>
  <c r="M50" i="91" s="1"/>
  <c r="M57" i="91" s="1"/>
  <c r="L49" i="91"/>
  <c r="J49" i="91"/>
  <c r="J43" i="91"/>
  <c r="M42" i="91"/>
  <c r="M43" i="91" s="1"/>
  <c r="L42" i="91"/>
  <c r="L43" i="91" s="1"/>
  <c r="J42" i="91"/>
  <c r="M37" i="91"/>
  <c r="L37" i="91"/>
  <c r="L44" i="91" s="1"/>
  <c r="M36" i="91"/>
  <c r="L36" i="91"/>
  <c r="J36" i="91"/>
  <c r="J37" i="91" s="1"/>
  <c r="J44" i="91" s="1"/>
  <c r="J17" i="91"/>
  <c r="M16" i="91"/>
  <c r="M17" i="91" s="1"/>
  <c r="L16" i="91"/>
  <c r="L17" i="91" s="1"/>
  <c r="J16" i="91"/>
  <c r="M11" i="91"/>
  <c r="M12" i="91" s="1"/>
  <c r="L11" i="91"/>
  <c r="L12" i="91" s="1"/>
  <c r="L18" i="91" s="1"/>
  <c r="J11" i="91"/>
  <c r="J12" i="91" s="1"/>
  <c r="J18" i="91" s="1"/>
  <c r="N4" i="91"/>
  <c r="N28" i="91" s="1"/>
  <c r="M28" i="91" s="1"/>
  <c r="M29" i="91" s="1"/>
  <c r="M30" i="91" s="1"/>
  <c r="N3" i="91"/>
  <c r="N22" i="91" s="1"/>
  <c r="J81" i="90"/>
  <c r="M80" i="90"/>
  <c r="M81" i="90" s="1"/>
  <c r="L80" i="90"/>
  <c r="L81" i="90" s="1"/>
  <c r="J80" i="90"/>
  <c r="L69" i="90"/>
  <c r="M68" i="90"/>
  <c r="M69" i="90" s="1"/>
  <c r="M82" i="90" s="1"/>
  <c r="L68" i="90"/>
  <c r="J68" i="90"/>
  <c r="J69" i="90" s="1"/>
  <c r="J82" i="90" s="1"/>
  <c r="J56" i="90"/>
  <c r="M55" i="90"/>
  <c r="M56" i="90" s="1"/>
  <c r="L55" i="90"/>
  <c r="L56" i="90" s="1"/>
  <c r="L57" i="90" s="1"/>
  <c r="J55" i="90"/>
  <c r="M50" i="90"/>
  <c r="M57" i="90" s="1"/>
  <c r="L50" i="90"/>
  <c r="M49" i="90"/>
  <c r="L49" i="90"/>
  <c r="J49" i="90"/>
  <c r="J50" i="90" s="1"/>
  <c r="J57" i="90" s="1"/>
  <c r="L43" i="90"/>
  <c r="J43" i="90"/>
  <c r="M42" i="90"/>
  <c r="M43" i="90" s="1"/>
  <c r="M44" i="90" s="1"/>
  <c r="L42" i="90"/>
  <c r="J42" i="90"/>
  <c r="M37" i="90"/>
  <c r="L37" i="90"/>
  <c r="L44" i="90" s="1"/>
  <c r="J37" i="90"/>
  <c r="J44" i="90" s="1"/>
  <c r="M36" i="90"/>
  <c r="L36" i="90"/>
  <c r="J36" i="90"/>
  <c r="L17" i="90"/>
  <c r="J17" i="90"/>
  <c r="M16" i="90"/>
  <c r="M17" i="90" s="1"/>
  <c r="L16" i="90"/>
  <c r="J16" i="90"/>
  <c r="L12" i="90"/>
  <c r="L18" i="90" s="1"/>
  <c r="J12" i="90"/>
  <c r="J18" i="90" s="1"/>
  <c r="M11" i="90"/>
  <c r="M12" i="90" s="1"/>
  <c r="L11" i="90"/>
  <c r="J11" i="90"/>
  <c r="N4" i="90"/>
  <c r="N28" i="90" s="1"/>
  <c r="N3" i="90"/>
  <c r="N22" i="90" s="1"/>
  <c r="M80" i="89"/>
  <c r="M81" i="89" s="1"/>
  <c r="L80" i="89"/>
  <c r="L81" i="89" s="1"/>
  <c r="J80" i="89"/>
  <c r="J81" i="89" s="1"/>
  <c r="M69" i="89"/>
  <c r="M82" i="89" s="1"/>
  <c r="M68" i="89"/>
  <c r="L68" i="89"/>
  <c r="L69" i="89" s="1"/>
  <c r="J68" i="89"/>
  <c r="J69" i="89" s="1"/>
  <c r="J82" i="89" s="1"/>
  <c r="L56" i="89"/>
  <c r="J56" i="89"/>
  <c r="M55" i="89"/>
  <c r="M56" i="89" s="1"/>
  <c r="L55" i="89"/>
  <c r="J55" i="89"/>
  <c r="L50" i="89"/>
  <c r="L57" i="89" s="1"/>
  <c r="J50" i="89"/>
  <c r="J57" i="89" s="1"/>
  <c r="M49" i="89"/>
  <c r="M50" i="89" s="1"/>
  <c r="L49" i="89"/>
  <c r="J49" i="89"/>
  <c r="M43" i="89"/>
  <c r="J43" i="89"/>
  <c r="M42" i="89"/>
  <c r="L42" i="89"/>
  <c r="L43" i="89" s="1"/>
  <c r="J42" i="89"/>
  <c r="M37" i="89"/>
  <c r="M44" i="89" s="1"/>
  <c r="L37" i="89"/>
  <c r="L44" i="89" s="1"/>
  <c r="M36" i="89"/>
  <c r="L36" i="89"/>
  <c r="J36" i="89"/>
  <c r="J37" i="89" s="1"/>
  <c r="J44" i="89" s="1"/>
  <c r="M17" i="89"/>
  <c r="M16" i="89"/>
  <c r="L16" i="89"/>
  <c r="L17" i="89" s="1"/>
  <c r="J16" i="89"/>
  <c r="J17" i="89" s="1"/>
  <c r="M12" i="89"/>
  <c r="M18" i="89" s="1"/>
  <c r="M11" i="89"/>
  <c r="L11" i="89"/>
  <c r="L12" i="89" s="1"/>
  <c r="J11" i="89"/>
  <c r="J12" i="89" s="1"/>
  <c r="N4" i="89"/>
  <c r="N28" i="89" s="1"/>
  <c r="M28" i="89" s="1"/>
  <c r="M29" i="89" s="1"/>
  <c r="M30" i="89" s="1"/>
  <c r="N3" i="89"/>
  <c r="N22" i="89" s="1"/>
  <c r="M80" i="88"/>
  <c r="M81" i="88" s="1"/>
  <c r="L80" i="88"/>
  <c r="L81" i="88" s="1"/>
  <c r="J80" i="88"/>
  <c r="J81" i="88" s="1"/>
  <c r="M69" i="88"/>
  <c r="M68" i="88"/>
  <c r="L68" i="88"/>
  <c r="L69" i="88" s="1"/>
  <c r="J68" i="88"/>
  <c r="J69" i="88" s="1"/>
  <c r="J82" i="88" s="1"/>
  <c r="J56" i="88"/>
  <c r="M55" i="88"/>
  <c r="M56" i="88" s="1"/>
  <c r="L55" i="88"/>
  <c r="L56" i="88" s="1"/>
  <c r="J55" i="88"/>
  <c r="L50" i="88"/>
  <c r="J50" i="88"/>
  <c r="J57" i="88" s="1"/>
  <c r="M49" i="88"/>
  <c r="M50" i="88" s="1"/>
  <c r="M57" i="88" s="1"/>
  <c r="L49" i="88"/>
  <c r="J49" i="88"/>
  <c r="J43" i="88"/>
  <c r="M42" i="88"/>
  <c r="M43" i="88" s="1"/>
  <c r="L42" i="88"/>
  <c r="L43" i="88" s="1"/>
  <c r="J42" i="88"/>
  <c r="M37" i="88"/>
  <c r="L37" i="88"/>
  <c r="L44" i="88" s="1"/>
  <c r="M36" i="88"/>
  <c r="L36" i="88"/>
  <c r="J36" i="88"/>
  <c r="J37" i="88" s="1"/>
  <c r="J44" i="88" s="1"/>
  <c r="M16" i="88"/>
  <c r="M17" i="88" s="1"/>
  <c r="L16" i="88"/>
  <c r="L17" i="88" s="1"/>
  <c r="J16" i="88"/>
  <c r="J17" i="88" s="1"/>
  <c r="M11" i="88"/>
  <c r="M12" i="88" s="1"/>
  <c r="M18" i="88" s="1"/>
  <c r="L11" i="88"/>
  <c r="L12" i="88" s="1"/>
  <c r="J11" i="88"/>
  <c r="J12" i="88" s="1"/>
  <c r="J18" i="88" s="1"/>
  <c r="N4" i="88"/>
  <c r="N28" i="88" s="1"/>
  <c r="M28" i="88" s="1"/>
  <c r="M29" i="88" s="1"/>
  <c r="M30" i="88" s="1"/>
  <c r="N3" i="88"/>
  <c r="N22" i="88" s="1"/>
  <c r="M81" i="87"/>
  <c r="M80" i="87"/>
  <c r="L80" i="87"/>
  <c r="L81" i="87" s="1"/>
  <c r="J80" i="87"/>
  <c r="J81" i="87" s="1"/>
  <c r="M69" i="87"/>
  <c r="M82" i="87" s="1"/>
  <c r="M68" i="87"/>
  <c r="L68" i="87"/>
  <c r="L69" i="87" s="1"/>
  <c r="J68" i="87"/>
  <c r="J69" i="87" s="1"/>
  <c r="J82" i="87" s="1"/>
  <c r="J56" i="87"/>
  <c r="M55" i="87"/>
  <c r="M56" i="87" s="1"/>
  <c r="L55" i="87"/>
  <c r="L56" i="87" s="1"/>
  <c r="J55" i="87"/>
  <c r="L50" i="87"/>
  <c r="J50" i="87"/>
  <c r="J57" i="87" s="1"/>
  <c r="M49" i="87"/>
  <c r="M50" i="87" s="1"/>
  <c r="L49" i="87"/>
  <c r="J49" i="87"/>
  <c r="M42" i="87"/>
  <c r="M43" i="87" s="1"/>
  <c r="L42" i="87"/>
  <c r="L43" i="87" s="1"/>
  <c r="J42" i="87"/>
  <c r="J43" i="87" s="1"/>
  <c r="M37" i="87"/>
  <c r="M36" i="87"/>
  <c r="L36" i="87"/>
  <c r="L37" i="87" s="1"/>
  <c r="J36" i="87"/>
  <c r="J37" i="87" s="1"/>
  <c r="J44" i="87" s="1"/>
  <c r="M16" i="87"/>
  <c r="M17" i="87" s="1"/>
  <c r="L16" i="87"/>
  <c r="L17" i="87" s="1"/>
  <c r="J16" i="87"/>
  <c r="J17" i="87" s="1"/>
  <c r="M11" i="87"/>
  <c r="M12" i="87" s="1"/>
  <c r="L11" i="87"/>
  <c r="L12" i="87" s="1"/>
  <c r="J11" i="87"/>
  <c r="J12" i="87" s="1"/>
  <c r="N4" i="87"/>
  <c r="N28" i="87" s="1"/>
  <c r="M28" i="87" s="1"/>
  <c r="M29" i="87" s="1"/>
  <c r="M30" i="87" s="1"/>
  <c r="N3" i="87"/>
  <c r="N22" i="87" s="1"/>
  <c r="M80" i="86"/>
  <c r="M81" i="86" s="1"/>
  <c r="L80" i="86"/>
  <c r="L81" i="86" s="1"/>
  <c r="J80" i="86"/>
  <c r="J81" i="86" s="1"/>
  <c r="M69" i="86"/>
  <c r="M68" i="86"/>
  <c r="L68" i="86"/>
  <c r="L69" i="86" s="1"/>
  <c r="L82" i="86" s="1"/>
  <c r="J68" i="86"/>
  <c r="J69" i="86" s="1"/>
  <c r="J82" i="86" s="1"/>
  <c r="J56" i="86"/>
  <c r="M55" i="86"/>
  <c r="M56" i="86" s="1"/>
  <c r="L55" i="86"/>
  <c r="L56" i="86" s="1"/>
  <c r="J55" i="86"/>
  <c r="L50" i="86"/>
  <c r="L57" i="86" s="1"/>
  <c r="J50" i="86"/>
  <c r="J57" i="86" s="1"/>
  <c r="M49" i="86"/>
  <c r="M50" i="86" s="1"/>
  <c r="L49" i="86"/>
  <c r="J49" i="86"/>
  <c r="J43" i="86"/>
  <c r="M42" i="86"/>
  <c r="M43" i="86" s="1"/>
  <c r="L42" i="86"/>
  <c r="L43" i="86" s="1"/>
  <c r="J42" i="86"/>
  <c r="M37" i="86"/>
  <c r="M44" i="86" s="1"/>
  <c r="M36" i="86"/>
  <c r="L36" i="86"/>
  <c r="L37" i="86" s="1"/>
  <c r="L44" i="86" s="1"/>
  <c r="J36" i="86"/>
  <c r="J37" i="86" s="1"/>
  <c r="J44" i="86" s="1"/>
  <c r="M16" i="86"/>
  <c r="M17" i="86" s="1"/>
  <c r="L16" i="86"/>
  <c r="L17" i="86" s="1"/>
  <c r="J16" i="86"/>
  <c r="J17" i="86" s="1"/>
  <c r="M11" i="86"/>
  <c r="M12" i="86" s="1"/>
  <c r="M18" i="86" s="1"/>
  <c r="L11" i="86"/>
  <c r="L12" i="86" s="1"/>
  <c r="L18" i="86" s="1"/>
  <c r="J11" i="86"/>
  <c r="J12" i="86" s="1"/>
  <c r="J18" i="86" s="1"/>
  <c r="N4" i="86"/>
  <c r="N28" i="86" s="1"/>
  <c r="M28" i="86" s="1"/>
  <c r="M29" i="86" s="1"/>
  <c r="M30" i="86" s="1"/>
  <c r="N3" i="86"/>
  <c r="N22" i="86" s="1"/>
  <c r="J81" i="85"/>
  <c r="M80" i="85"/>
  <c r="M81" i="85" s="1"/>
  <c r="L80" i="85"/>
  <c r="L81" i="85" s="1"/>
  <c r="J80" i="85"/>
  <c r="L69" i="85"/>
  <c r="L82" i="85" s="1"/>
  <c r="M68" i="85"/>
  <c r="M69" i="85" s="1"/>
  <c r="M82" i="85" s="1"/>
  <c r="L68" i="85"/>
  <c r="J68" i="85"/>
  <c r="J69" i="85" s="1"/>
  <c r="J82" i="85" s="1"/>
  <c r="J56" i="85"/>
  <c r="M55" i="85"/>
  <c r="M56" i="85" s="1"/>
  <c r="L55" i="85"/>
  <c r="L56" i="85" s="1"/>
  <c r="L57" i="85" s="1"/>
  <c r="J55" i="85"/>
  <c r="M50" i="85"/>
  <c r="M57" i="85" s="1"/>
  <c r="L50" i="85"/>
  <c r="M49" i="85"/>
  <c r="L49" i="85"/>
  <c r="J49" i="85"/>
  <c r="J50" i="85" s="1"/>
  <c r="J57" i="85" s="1"/>
  <c r="L43" i="85"/>
  <c r="J43" i="85"/>
  <c r="M42" i="85"/>
  <c r="M43" i="85" s="1"/>
  <c r="M44" i="85" s="1"/>
  <c r="L42" i="85"/>
  <c r="J42" i="85"/>
  <c r="M37" i="85"/>
  <c r="L37" i="85"/>
  <c r="L44" i="85" s="1"/>
  <c r="J37" i="85"/>
  <c r="J44" i="85" s="1"/>
  <c r="M36" i="85"/>
  <c r="L36" i="85"/>
  <c r="J36" i="85"/>
  <c r="L17" i="85"/>
  <c r="J17" i="85"/>
  <c r="M16" i="85"/>
  <c r="M17" i="85" s="1"/>
  <c r="L16" i="85"/>
  <c r="J16" i="85"/>
  <c r="L12" i="85"/>
  <c r="L18" i="85" s="1"/>
  <c r="J12" i="85"/>
  <c r="J18" i="85" s="1"/>
  <c r="M11" i="85"/>
  <c r="M12" i="85" s="1"/>
  <c r="L11" i="85"/>
  <c r="J11" i="85"/>
  <c r="N4" i="85"/>
  <c r="N28" i="85" s="1"/>
  <c r="N3" i="85"/>
  <c r="N22" i="85" s="1"/>
  <c r="M80" i="84"/>
  <c r="M81" i="84" s="1"/>
  <c r="L80" i="84"/>
  <c r="L81" i="84" s="1"/>
  <c r="J80" i="84"/>
  <c r="J81" i="84" s="1"/>
  <c r="M69" i="84"/>
  <c r="M82" i="84" s="1"/>
  <c r="M68" i="84"/>
  <c r="L68" i="84"/>
  <c r="L69" i="84" s="1"/>
  <c r="J68" i="84"/>
  <c r="J69" i="84" s="1"/>
  <c r="J82" i="84" s="1"/>
  <c r="J56" i="84"/>
  <c r="M55" i="84"/>
  <c r="M56" i="84" s="1"/>
  <c r="L55" i="84"/>
  <c r="L56" i="84" s="1"/>
  <c r="J55" i="84"/>
  <c r="L50" i="84"/>
  <c r="L57" i="84" s="1"/>
  <c r="M49" i="84"/>
  <c r="M50" i="84" s="1"/>
  <c r="L49" i="84"/>
  <c r="J49" i="84"/>
  <c r="J50" i="84" s="1"/>
  <c r="J57" i="84" s="1"/>
  <c r="J43" i="84"/>
  <c r="M42" i="84"/>
  <c r="M43" i="84" s="1"/>
  <c r="L42" i="84"/>
  <c r="L43" i="84" s="1"/>
  <c r="J42" i="84"/>
  <c r="M37" i="84"/>
  <c r="M44" i="84" s="1"/>
  <c r="M36" i="84"/>
  <c r="L36" i="84"/>
  <c r="L37" i="84" s="1"/>
  <c r="J36" i="84"/>
  <c r="J37" i="84" s="1"/>
  <c r="J44" i="84" s="1"/>
  <c r="M16" i="84"/>
  <c r="M17" i="84" s="1"/>
  <c r="L16" i="84"/>
  <c r="L17" i="84" s="1"/>
  <c r="J16" i="84"/>
  <c r="J17" i="84" s="1"/>
  <c r="M11" i="84"/>
  <c r="M12" i="84" s="1"/>
  <c r="M18" i="84" s="1"/>
  <c r="L11" i="84"/>
  <c r="L12" i="84" s="1"/>
  <c r="J11" i="84"/>
  <c r="J12" i="84" s="1"/>
  <c r="J18" i="84" s="1"/>
  <c r="N4" i="84"/>
  <c r="N28" i="84" s="1"/>
  <c r="M28" i="84" s="1"/>
  <c r="M29" i="84" s="1"/>
  <c r="M30" i="84" s="1"/>
  <c r="N3" i="84"/>
  <c r="N22" i="84" s="1"/>
  <c r="J81" i="83"/>
  <c r="M80" i="83"/>
  <c r="M81" i="83" s="1"/>
  <c r="L80" i="83"/>
  <c r="L81" i="83" s="1"/>
  <c r="J80" i="83"/>
  <c r="M68" i="83"/>
  <c r="M69" i="83" s="1"/>
  <c r="L68" i="83"/>
  <c r="L69" i="83" s="1"/>
  <c r="L82" i="83" s="1"/>
  <c r="J68" i="83"/>
  <c r="J69" i="83" s="1"/>
  <c r="J82" i="83" s="1"/>
  <c r="J56" i="83"/>
  <c r="M55" i="83"/>
  <c r="M56" i="83" s="1"/>
  <c r="M57" i="83" s="1"/>
  <c r="L55" i="83"/>
  <c r="L56" i="83" s="1"/>
  <c r="J55" i="83"/>
  <c r="M50" i="83"/>
  <c r="L50" i="83"/>
  <c r="M49" i="83"/>
  <c r="L49" i="83"/>
  <c r="J49" i="83"/>
  <c r="J50" i="83" s="1"/>
  <c r="J57" i="83" s="1"/>
  <c r="M43" i="83"/>
  <c r="L43" i="83"/>
  <c r="M42" i="83"/>
  <c r="L42" i="83"/>
  <c r="J42" i="83"/>
  <c r="J43" i="83" s="1"/>
  <c r="M37" i="83"/>
  <c r="M44" i="83" s="1"/>
  <c r="M36" i="83"/>
  <c r="L36" i="83"/>
  <c r="L37" i="83" s="1"/>
  <c r="L44" i="83" s="1"/>
  <c r="J36" i="83"/>
  <c r="J37" i="83" s="1"/>
  <c r="J44" i="83" s="1"/>
  <c r="L17" i="83"/>
  <c r="M16" i="83"/>
  <c r="M17" i="83" s="1"/>
  <c r="L16" i="83"/>
  <c r="J16" i="83"/>
  <c r="J17" i="83" s="1"/>
  <c r="L12" i="83"/>
  <c r="L18" i="83" s="1"/>
  <c r="M11" i="83"/>
  <c r="M12" i="83" s="1"/>
  <c r="M18" i="83" s="1"/>
  <c r="L11" i="83"/>
  <c r="J11" i="83"/>
  <c r="J12" i="83" s="1"/>
  <c r="J18" i="83" s="1"/>
  <c r="N4" i="83"/>
  <c r="N28" i="83" s="1"/>
  <c r="M28" i="83" s="1"/>
  <c r="M29" i="83" s="1"/>
  <c r="M30" i="83" s="1"/>
  <c r="N3" i="83"/>
  <c r="N22" i="83" s="1"/>
  <c r="M80" i="82"/>
  <c r="M81" i="82" s="1"/>
  <c r="L80" i="82"/>
  <c r="L81" i="82" s="1"/>
  <c r="J80" i="82"/>
  <c r="J81" i="82" s="1"/>
  <c r="M69" i="82"/>
  <c r="M82" i="82" s="1"/>
  <c r="M68" i="82"/>
  <c r="L68" i="82"/>
  <c r="L69" i="82" s="1"/>
  <c r="L82" i="82" s="1"/>
  <c r="J68" i="82"/>
  <c r="J69" i="82" s="1"/>
  <c r="J82" i="82" s="1"/>
  <c r="J56" i="82"/>
  <c r="M55" i="82"/>
  <c r="M56" i="82" s="1"/>
  <c r="L55" i="82"/>
  <c r="L56" i="82" s="1"/>
  <c r="J55" i="82"/>
  <c r="L50" i="82"/>
  <c r="L57" i="82" s="1"/>
  <c r="J50" i="82"/>
  <c r="J57" i="82" s="1"/>
  <c r="M49" i="82"/>
  <c r="M50" i="82" s="1"/>
  <c r="L49" i="82"/>
  <c r="J49" i="82"/>
  <c r="M42" i="82"/>
  <c r="M43" i="82" s="1"/>
  <c r="L42" i="82"/>
  <c r="L43" i="82" s="1"/>
  <c r="J42" i="82"/>
  <c r="J43" i="82" s="1"/>
  <c r="M37" i="82"/>
  <c r="M44" i="82" s="1"/>
  <c r="M36" i="82"/>
  <c r="L36" i="82"/>
  <c r="L37" i="82" s="1"/>
  <c r="L44" i="82" s="1"/>
  <c r="J36" i="82"/>
  <c r="J37" i="82" s="1"/>
  <c r="J44" i="82" s="1"/>
  <c r="M16" i="82"/>
  <c r="M17" i="82" s="1"/>
  <c r="L16" i="82"/>
  <c r="L17" i="82" s="1"/>
  <c r="J16" i="82"/>
  <c r="J17" i="82" s="1"/>
  <c r="M11" i="82"/>
  <c r="M12" i="82" s="1"/>
  <c r="M18" i="82" s="1"/>
  <c r="L11" i="82"/>
  <c r="L12" i="82" s="1"/>
  <c r="L18" i="82" s="1"/>
  <c r="J11" i="82"/>
  <c r="J12" i="82" s="1"/>
  <c r="J18" i="82" s="1"/>
  <c r="N4" i="82"/>
  <c r="N28" i="82" s="1"/>
  <c r="M28" i="82" s="1"/>
  <c r="M29" i="82" s="1"/>
  <c r="M30" i="82" s="1"/>
  <c r="N3" i="82"/>
  <c r="N22" i="82" s="1"/>
  <c r="M80" i="81"/>
  <c r="M81" i="81" s="1"/>
  <c r="L80" i="81"/>
  <c r="L81" i="81" s="1"/>
  <c r="J80" i="81"/>
  <c r="J81" i="81" s="1"/>
  <c r="M69" i="81"/>
  <c r="M82" i="81" s="1"/>
  <c r="M68" i="81"/>
  <c r="L68" i="81"/>
  <c r="L69" i="81" s="1"/>
  <c r="L82" i="81" s="1"/>
  <c r="J68" i="81"/>
  <c r="J69" i="81" s="1"/>
  <c r="J82" i="81" s="1"/>
  <c r="J56" i="81"/>
  <c r="M55" i="81"/>
  <c r="M56" i="81" s="1"/>
  <c r="L55" i="81"/>
  <c r="L56" i="81" s="1"/>
  <c r="J55" i="81"/>
  <c r="L50" i="81"/>
  <c r="L57" i="81" s="1"/>
  <c r="J50" i="81"/>
  <c r="J57" i="81" s="1"/>
  <c r="M49" i="81"/>
  <c r="M50" i="81" s="1"/>
  <c r="M57" i="81" s="1"/>
  <c r="L49" i="81"/>
  <c r="J49" i="81"/>
  <c r="J43" i="81"/>
  <c r="M42" i="81"/>
  <c r="M43" i="81" s="1"/>
  <c r="L42" i="81"/>
  <c r="L43" i="81" s="1"/>
  <c r="J42" i="81"/>
  <c r="M37" i="81"/>
  <c r="M44" i="81" s="1"/>
  <c r="L37" i="81"/>
  <c r="L44" i="81" s="1"/>
  <c r="M36" i="81"/>
  <c r="L36" i="81"/>
  <c r="J36" i="81"/>
  <c r="J37" i="81" s="1"/>
  <c r="J44" i="81" s="1"/>
  <c r="M16" i="81"/>
  <c r="M17" i="81" s="1"/>
  <c r="L16" i="81"/>
  <c r="L17" i="81" s="1"/>
  <c r="J16" i="81"/>
  <c r="J17" i="81" s="1"/>
  <c r="M11" i="81"/>
  <c r="M12" i="81" s="1"/>
  <c r="M18" i="81" s="1"/>
  <c r="L11" i="81"/>
  <c r="L12" i="81" s="1"/>
  <c r="L18" i="81" s="1"/>
  <c r="J11" i="81"/>
  <c r="J12" i="81" s="1"/>
  <c r="J18" i="81" s="1"/>
  <c r="N4" i="81"/>
  <c r="N28" i="81" s="1"/>
  <c r="M28" i="81" s="1"/>
  <c r="M29" i="81" s="1"/>
  <c r="M30" i="81" s="1"/>
  <c r="N3" i="81"/>
  <c r="N22" i="81" s="1"/>
  <c r="M80" i="80"/>
  <c r="M81" i="80" s="1"/>
  <c r="L80" i="80"/>
  <c r="L81" i="80" s="1"/>
  <c r="J80" i="80"/>
  <c r="J81" i="80" s="1"/>
  <c r="M69" i="80"/>
  <c r="M68" i="80"/>
  <c r="L68" i="80"/>
  <c r="L69" i="80" s="1"/>
  <c r="L82" i="80" s="1"/>
  <c r="J68" i="80"/>
  <c r="J69" i="80" s="1"/>
  <c r="J82" i="80" s="1"/>
  <c r="J56" i="80"/>
  <c r="M55" i="80"/>
  <c r="M56" i="80" s="1"/>
  <c r="L55" i="80"/>
  <c r="L56" i="80" s="1"/>
  <c r="J55" i="80"/>
  <c r="L50" i="80"/>
  <c r="L57" i="80" s="1"/>
  <c r="J50" i="80"/>
  <c r="J57" i="80" s="1"/>
  <c r="M49" i="80"/>
  <c r="M50" i="80" s="1"/>
  <c r="M57" i="80" s="1"/>
  <c r="L49" i="80"/>
  <c r="J49" i="80"/>
  <c r="J43" i="80"/>
  <c r="M42" i="80"/>
  <c r="M43" i="80" s="1"/>
  <c r="L42" i="80"/>
  <c r="L43" i="80" s="1"/>
  <c r="J42" i="80"/>
  <c r="M37" i="80"/>
  <c r="M44" i="80" s="1"/>
  <c r="L37" i="80"/>
  <c r="L44" i="80" s="1"/>
  <c r="M36" i="80"/>
  <c r="L36" i="80"/>
  <c r="J36" i="80"/>
  <c r="J37" i="80" s="1"/>
  <c r="J44" i="80" s="1"/>
  <c r="M16" i="80"/>
  <c r="M17" i="80" s="1"/>
  <c r="L16" i="80"/>
  <c r="L17" i="80" s="1"/>
  <c r="J16" i="80"/>
  <c r="J17" i="80" s="1"/>
  <c r="M11" i="80"/>
  <c r="M12" i="80" s="1"/>
  <c r="M18" i="80" s="1"/>
  <c r="L11" i="80"/>
  <c r="L12" i="80" s="1"/>
  <c r="L18" i="80" s="1"/>
  <c r="J11" i="80"/>
  <c r="J12" i="80" s="1"/>
  <c r="J18" i="80" s="1"/>
  <c r="N4" i="80"/>
  <c r="N28" i="80" s="1"/>
  <c r="M28" i="80" s="1"/>
  <c r="M29" i="80" s="1"/>
  <c r="M30" i="80" s="1"/>
  <c r="N3" i="80"/>
  <c r="N22" i="80" s="1"/>
  <c r="J81" i="79"/>
  <c r="M80" i="79"/>
  <c r="M81" i="79" s="1"/>
  <c r="L80" i="79"/>
  <c r="L81" i="79" s="1"/>
  <c r="J80" i="79"/>
  <c r="M68" i="79"/>
  <c r="M69" i="79" s="1"/>
  <c r="M82" i="79" s="1"/>
  <c r="L68" i="79"/>
  <c r="L69" i="79" s="1"/>
  <c r="L82" i="79" s="1"/>
  <c r="J68" i="79"/>
  <c r="J69" i="79" s="1"/>
  <c r="J82" i="79" s="1"/>
  <c r="L56" i="79"/>
  <c r="M55" i="79"/>
  <c r="M56" i="79" s="1"/>
  <c r="L55" i="79"/>
  <c r="J55" i="79"/>
  <c r="J56" i="79" s="1"/>
  <c r="M50" i="79"/>
  <c r="M57" i="79" s="1"/>
  <c r="M49" i="79"/>
  <c r="L49" i="79"/>
  <c r="L50" i="79" s="1"/>
  <c r="L57" i="79" s="1"/>
  <c r="J49" i="79"/>
  <c r="J50" i="79" s="1"/>
  <c r="J57" i="79" s="1"/>
  <c r="M43" i="79"/>
  <c r="L43" i="79"/>
  <c r="M42" i="79"/>
  <c r="L42" i="79"/>
  <c r="J42" i="79"/>
  <c r="J43" i="79" s="1"/>
  <c r="J37" i="79"/>
  <c r="M36" i="79"/>
  <c r="M37" i="79" s="1"/>
  <c r="M44" i="79" s="1"/>
  <c r="L36" i="79"/>
  <c r="L37" i="79" s="1"/>
  <c r="L44" i="79" s="1"/>
  <c r="J36" i="79"/>
  <c r="M17" i="79"/>
  <c r="L17" i="79"/>
  <c r="M16" i="79"/>
  <c r="L16" i="79"/>
  <c r="J16" i="79"/>
  <c r="J17" i="79" s="1"/>
  <c r="M12" i="79"/>
  <c r="M18" i="79" s="1"/>
  <c r="L12" i="79"/>
  <c r="L18" i="79" s="1"/>
  <c r="M11" i="79"/>
  <c r="L11" i="79"/>
  <c r="J11" i="79"/>
  <c r="J12" i="79" s="1"/>
  <c r="N4" i="79"/>
  <c r="N28" i="79" s="1"/>
  <c r="N3" i="79"/>
  <c r="N22" i="79" s="1"/>
  <c r="J81" i="78"/>
  <c r="M80" i="78"/>
  <c r="M81" i="78" s="1"/>
  <c r="L80" i="78"/>
  <c r="L81" i="78" s="1"/>
  <c r="J80" i="78"/>
  <c r="M68" i="78"/>
  <c r="M69" i="78" s="1"/>
  <c r="M82" i="78" s="1"/>
  <c r="L68" i="78"/>
  <c r="L69" i="78" s="1"/>
  <c r="L82" i="78" s="1"/>
  <c r="J68" i="78"/>
  <c r="J69" i="78" s="1"/>
  <c r="J82" i="78" s="1"/>
  <c r="L56" i="78"/>
  <c r="L57" i="78" s="1"/>
  <c r="J56" i="78"/>
  <c r="M55" i="78"/>
  <c r="M56" i="78" s="1"/>
  <c r="L55" i="78"/>
  <c r="J55" i="78"/>
  <c r="M50" i="78"/>
  <c r="M57" i="78" s="1"/>
  <c r="L50" i="78"/>
  <c r="M49" i="78"/>
  <c r="L49" i="78"/>
  <c r="J49" i="78"/>
  <c r="J50" i="78" s="1"/>
  <c r="J57" i="78" s="1"/>
  <c r="M43" i="78"/>
  <c r="M44" i="78" s="1"/>
  <c r="L43" i="78"/>
  <c r="M42" i="78"/>
  <c r="L42" i="78"/>
  <c r="J42" i="78"/>
  <c r="J43" i="78" s="1"/>
  <c r="M37" i="78"/>
  <c r="M36" i="78"/>
  <c r="L36" i="78"/>
  <c r="L37" i="78" s="1"/>
  <c r="L44" i="78" s="1"/>
  <c r="J36" i="78"/>
  <c r="J37" i="78" s="1"/>
  <c r="M17" i="78"/>
  <c r="L17" i="78"/>
  <c r="M16" i="78"/>
  <c r="L16" i="78"/>
  <c r="J16" i="78"/>
  <c r="J17" i="78" s="1"/>
  <c r="M12" i="78"/>
  <c r="M18" i="78" s="1"/>
  <c r="L12" i="78"/>
  <c r="L18" i="78" s="1"/>
  <c r="M11" i="78"/>
  <c r="L11" i="78"/>
  <c r="J11" i="78"/>
  <c r="J12" i="78" s="1"/>
  <c r="N4" i="78"/>
  <c r="N28" i="78" s="1"/>
  <c r="N3" i="78"/>
  <c r="N22" i="78" s="1"/>
  <c r="L81" i="77"/>
  <c r="J81" i="77"/>
  <c r="M80" i="77"/>
  <c r="M81" i="77" s="1"/>
  <c r="L80" i="77"/>
  <c r="J80" i="77"/>
  <c r="J69" i="77"/>
  <c r="J82" i="77" s="1"/>
  <c r="M68" i="77"/>
  <c r="M69" i="77" s="1"/>
  <c r="L68" i="77"/>
  <c r="L69" i="77" s="1"/>
  <c r="L82" i="77" s="1"/>
  <c r="J68" i="77"/>
  <c r="M57" i="77"/>
  <c r="M56" i="77"/>
  <c r="J56" i="77"/>
  <c r="M55" i="77"/>
  <c r="L55" i="77"/>
  <c r="L56" i="77" s="1"/>
  <c r="J55" i="77"/>
  <c r="M50" i="77"/>
  <c r="L50" i="77"/>
  <c r="L57" i="77" s="1"/>
  <c r="M49" i="77"/>
  <c r="L49" i="77"/>
  <c r="J49" i="77"/>
  <c r="J50" i="77" s="1"/>
  <c r="J57" i="77" s="1"/>
  <c r="L43" i="77"/>
  <c r="J43" i="77"/>
  <c r="M42" i="77"/>
  <c r="M43" i="77" s="1"/>
  <c r="L42" i="77"/>
  <c r="J42" i="77"/>
  <c r="M37" i="77"/>
  <c r="M44" i="77" s="1"/>
  <c r="L37" i="77"/>
  <c r="L44" i="77" s="1"/>
  <c r="M36" i="77"/>
  <c r="L36" i="77"/>
  <c r="J36" i="77"/>
  <c r="J37" i="77" s="1"/>
  <c r="J44" i="77" s="1"/>
  <c r="L17" i="77"/>
  <c r="J17" i="77"/>
  <c r="M16" i="77"/>
  <c r="M17" i="77" s="1"/>
  <c r="L16" i="77"/>
  <c r="J16" i="77"/>
  <c r="L12" i="77"/>
  <c r="L18" i="77" s="1"/>
  <c r="J12" i="77"/>
  <c r="J18" i="77" s="1"/>
  <c r="M11" i="77"/>
  <c r="M12" i="77" s="1"/>
  <c r="L11" i="77"/>
  <c r="J11" i="77"/>
  <c r="N4" i="77"/>
  <c r="N28" i="77" s="1"/>
  <c r="M28" i="77" s="1"/>
  <c r="M29" i="77" s="1"/>
  <c r="M30" i="77" s="1"/>
  <c r="N3" i="77"/>
  <c r="N22" i="77" s="1"/>
  <c r="J81" i="76"/>
  <c r="M80" i="76"/>
  <c r="M81" i="76" s="1"/>
  <c r="L80" i="76"/>
  <c r="L81" i="76" s="1"/>
  <c r="J80" i="76"/>
  <c r="M68" i="76"/>
  <c r="M69" i="76" s="1"/>
  <c r="L68" i="76"/>
  <c r="L69" i="76" s="1"/>
  <c r="J68" i="76"/>
  <c r="J69" i="76" s="1"/>
  <c r="J82" i="76" s="1"/>
  <c r="J56" i="76"/>
  <c r="M55" i="76"/>
  <c r="M56" i="76" s="1"/>
  <c r="L55" i="76"/>
  <c r="L56" i="76" s="1"/>
  <c r="J55" i="76"/>
  <c r="M50" i="76"/>
  <c r="M57" i="76" s="1"/>
  <c r="L50" i="76"/>
  <c r="M49" i="76"/>
  <c r="L49" i="76"/>
  <c r="J49" i="76"/>
  <c r="J50" i="76" s="1"/>
  <c r="J57" i="76" s="1"/>
  <c r="M43" i="76"/>
  <c r="L43" i="76"/>
  <c r="M42" i="76"/>
  <c r="L42" i="76"/>
  <c r="J42" i="76"/>
  <c r="J43" i="76" s="1"/>
  <c r="M37" i="76"/>
  <c r="M44" i="76" s="1"/>
  <c r="M36" i="76"/>
  <c r="L36" i="76"/>
  <c r="L37" i="76" s="1"/>
  <c r="L44" i="76" s="1"/>
  <c r="J36" i="76"/>
  <c r="J37" i="76" s="1"/>
  <c r="J44" i="76" s="1"/>
  <c r="M17" i="76"/>
  <c r="L17" i="76"/>
  <c r="M16" i="76"/>
  <c r="L16" i="76"/>
  <c r="J16" i="76"/>
  <c r="J17" i="76" s="1"/>
  <c r="M12" i="76"/>
  <c r="M18" i="76" s="1"/>
  <c r="L12" i="76"/>
  <c r="L18" i="76" s="1"/>
  <c r="M11" i="76"/>
  <c r="L11" i="76"/>
  <c r="J11" i="76"/>
  <c r="J12" i="76" s="1"/>
  <c r="J18" i="76" s="1"/>
  <c r="N4" i="76"/>
  <c r="N28" i="76" s="1"/>
  <c r="N3" i="76"/>
  <c r="N22" i="76" s="1"/>
  <c r="J81" i="75"/>
  <c r="M80" i="75"/>
  <c r="M81" i="75" s="1"/>
  <c r="L80" i="75"/>
  <c r="L81" i="75" s="1"/>
  <c r="J80" i="75"/>
  <c r="M68" i="75"/>
  <c r="M69" i="75" s="1"/>
  <c r="M82" i="75" s="1"/>
  <c r="L68" i="75"/>
  <c r="L69" i="75" s="1"/>
  <c r="L82" i="75" s="1"/>
  <c r="J68" i="75"/>
  <c r="J69" i="75" s="1"/>
  <c r="J82" i="75" s="1"/>
  <c r="J56" i="75"/>
  <c r="M55" i="75"/>
  <c r="M56" i="75" s="1"/>
  <c r="M57" i="75" s="1"/>
  <c r="L55" i="75"/>
  <c r="L56" i="75" s="1"/>
  <c r="J55" i="75"/>
  <c r="M50" i="75"/>
  <c r="L50" i="75"/>
  <c r="L57" i="75" s="1"/>
  <c r="M49" i="75"/>
  <c r="L49" i="75"/>
  <c r="J49" i="75"/>
  <c r="J50" i="75" s="1"/>
  <c r="J57" i="75" s="1"/>
  <c r="L43" i="75"/>
  <c r="J43" i="75"/>
  <c r="M42" i="75"/>
  <c r="M43" i="75" s="1"/>
  <c r="L42" i="75"/>
  <c r="J42" i="75"/>
  <c r="M37" i="75"/>
  <c r="M44" i="75" s="1"/>
  <c r="L37" i="75"/>
  <c r="L44" i="75" s="1"/>
  <c r="M36" i="75"/>
  <c r="L36" i="75"/>
  <c r="J36" i="75"/>
  <c r="J37" i="75" s="1"/>
  <c r="J44" i="75" s="1"/>
  <c r="L17" i="75"/>
  <c r="J17" i="75"/>
  <c r="M16" i="75"/>
  <c r="M17" i="75" s="1"/>
  <c r="L16" i="75"/>
  <c r="J16" i="75"/>
  <c r="L12" i="75"/>
  <c r="L18" i="75" s="1"/>
  <c r="M11" i="75"/>
  <c r="M12" i="75" s="1"/>
  <c r="L11" i="75"/>
  <c r="J11" i="75"/>
  <c r="J12" i="75" s="1"/>
  <c r="J18" i="75" s="1"/>
  <c r="N4" i="75"/>
  <c r="N28" i="75" s="1"/>
  <c r="M28" i="75" s="1"/>
  <c r="M29" i="75" s="1"/>
  <c r="M30" i="75" s="1"/>
  <c r="N3" i="75"/>
  <c r="N22" i="75" s="1"/>
  <c r="J81" i="74"/>
  <c r="M80" i="74"/>
  <c r="M81" i="74" s="1"/>
  <c r="L80" i="74"/>
  <c r="L81" i="74" s="1"/>
  <c r="J80" i="74"/>
  <c r="M68" i="74"/>
  <c r="M69" i="74" s="1"/>
  <c r="L68" i="74"/>
  <c r="L69" i="74" s="1"/>
  <c r="J68" i="74"/>
  <c r="J69" i="74" s="1"/>
  <c r="J82" i="74" s="1"/>
  <c r="J56" i="74"/>
  <c r="M55" i="74"/>
  <c r="M56" i="74" s="1"/>
  <c r="M57" i="74" s="1"/>
  <c r="L55" i="74"/>
  <c r="L56" i="74" s="1"/>
  <c r="J55" i="74"/>
  <c r="M50" i="74"/>
  <c r="L50" i="74"/>
  <c r="M49" i="74"/>
  <c r="L49" i="74"/>
  <c r="J49" i="74"/>
  <c r="J50" i="74" s="1"/>
  <c r="J57" i="74" s="1"/>
  <c r="L43" i="74"/>
  <c r="M42" i="74"/>
  <c r="M43" i="74" s="1"/>
  <c r="L42" i="74"/>
  <c r="J42" i="74"/>
  <c r="J43" i="74" s="1"/>
  <c r="M37" i="74"/>
  <c r="M36" i="74"/>
  <c r="L36" i="74"/>
  <c r="L37" i="74" s="1"/>
  <c r="L44" i="74" s="1"/>
  <c r="J36" i="74"/>
  <c r="J37" i="74" s="1"/>
  <c r="J44" i="74" s="1"/>
  <c r="L17" i="74"/>
  <c r="M16" i="74"/>
  <c r="M17" i="74" s="1"/>
  <c r="L16" i="74"/>
  <c r="J16" i="74"/>
  <c r="J17" i="74" s="1"/>
  <c r="L12" i="74"/>
  <c r="L18" i="74" s="1"/>
  <c r="M11" i="74"/>
  <c r="M12" i="74" s="1"/>
  <c r="L11" i="74"/>
  <c r="J11" i="74"/>
  <c r="J12" i="74" s="1"/>
  <c r="J18" i="74" s="1"/>
  <c r="N4" i="74"/>
  <c r="N28" i="74" s="1"/>
  <c r="M28" i="74" s="1"/>
  <c r="M29" i="74" s="1"/>
  <c r="M30" i="74" s="1"/>
  <c r="N3" i="74"/>
  <c r="N22" i="74" s="1"/>
  <c r="M80" i="73"/>
  <c r="M81" i="73" s="1"/>
  <c r="L80" i="73"/>
  <c r="L81" i="73" s="1"/>
  <c r="J80" i="73"/>
  <c r="J81" i="73" s="1"/>
  <c r="M69" i="73"/>
  <c r="M68" i="73"/>
  <c r="L68" i="73"/>
  <c r="L69" i="73" s="1"/>
  <c r="J68" i="73"/>
  <c r="J69" i="73" s="1"/>
  <c r="J56" i="73"/>
  <c r="M55" i="73"/>
  <c r="M56" i="73" s="1"/>
  <c r="L55" i="73"/>
  <c r="L56" i="73" s="1"/>
  <c r="J55" i="73"/>
  <c r="L50" i="73"/>
  <c r="L57" i="73" s="1"/>
  <c r="J50" i="73"/>
  <c r="J57" i="73" s="1"/>
  <c r="M49" i="73"/>
  <c r="M50" i="73" s="1"/>
  <c r="L49" i="73"/>
  <c r="J49" i="73"/>
  <c r="J43" i="73"/>
  <c r="M42" i="73"/>
  <c r="M43" i="73" s="1"/>
  <c r="L42" i="73"/>
  <c r="L43" i="73" s="1"/>
  <c r="J42" i="73"/>
  <c r="M37" i="73"/>
  <c r="L37" i="73"/>
  <c r="M36" i="73"/>
  <c r="L36" i="73"/>
  <c r="J36" i="73"/>
  <c r="J37" i="73" s="1"/>
  <c r="J44" i="73" s="1"/>
  <c r="J17" i="73"/>
  <c r="M16" i="73"/>
  <c r="M17" i="73" s="1"/>
  <c r="L16" i="73"/>
  <c r="L17" i="73" s="1"/>
  <c r="J16" i="73"/>
  <c r="J12" i="73"/>
  <c r="J18" i="73" s="1"/>
  <c r="M11" i="73"/>
  <c r="M12" i="73" s="1"/>
  <c r="M18" i="73" s="1"/>
  <c r="L11" i="73"/>
  <c r="L12" i="73" s="1"/>
  <c r="L18" i="73" s="1"/>
  <c r="J11" i="73"/>
  <c r="N4" i="73"/>
  <c r="N28" i="73" s="1"/>
  <c r="M28" i="73" s="1"/>
  <c r="M29" i="73" s="1"/>
  <c r="M30" i="73" s="1"/>
  <c r="N3" i="73"/>
  <c r="N22" i="73" s="1"/>
  <c r="M80" i="72"/>
  <c r="M81" i="72" s="1"/>
  <c r="L80" i="72"/>
  <c r="L81" i="72" s="1"/>
  <c r="J80" i="72"/>
  <c r="J81" i="72" s="1"/>
  <c r="M69" i="72"/>
  <c r="M82" i="72" s="1"/>
  <c r="M68" i="72"/>
  <c r="L68" i="72"/>
  <c r="L69" i="72" s="1"/>
  <c r="J68" i="72"/>
  <c r="J69" i="72" s="1"/>
  <c r="J82" i="72" s="1"/>
  <c r="J56" i="72"/>
  <c r="M55" i="72"/>
  <c r="M56" i="72" s="1"/>
  <c r="L55" i="72"/>
  <c r="L56" i="72" s="1"/>
  <c r="J55" i="72"/>
  <c r="L50" i="72"/>
  <c r="L57" i="72" s="1"/>
  <c r="J50" i="72"/>
  <c r="J57" i="72" s="1"/>
  <c r="M49" i="72"/>
  <c r="M50" i="72" s="1"/>
  <c r="M57" i="72" s="1"/>
  <c r="L49" i="72"/>
  <c r="J49" i="72"/>
  <c r="J43" i="72"/>
  <c r="M42" i="72"/>
  <c r="M43" i="72" s="1"/>
  <c r="L42" i="72"/>
  <c r="L43" i="72" s="1"/>
  <c r="J42" i="72"/>
  <c r="M37" i="72"/>
  <c r="L37" i="72"/>
  <c r="L44" i="72" s="1"/>
  <c r="M36" i="72"/>
  <c r="L36" i="72"/>
  <c r="J36" i="72"/>
  <c r="J37" i="72" s="1"/>
  <c r="J44" i="72" s="1"/>
  <c r="J17" i="72"/>
  <c r="M16" i="72"/>
  <c r="M17" i="72" s="1"/>
  <c r="L16" i="72"/>
  <c r="L17" i="72" s="1"/>
  <c r="J16" i="72"/>
  <c r="J12" i="72"/>
  <c r="J18" i="72" s="1"/>
  <c r="M11" i="72"/>
  <c r="M12" i="72" s="1"/>
  <c r="M18" i="72" s="1"/>
  <c r="L11" i="72"/>
  <c r="L12" i="72" s="1"/>
  <c r="L18" i="72" s="1"/>
  <c r="J11" i="72"/>
  <c r="N4" i="72"/>
  <c r="N28" i="72" s="1"/>
  <c r="M28" i="72" s="1"/>
  <c r="M29" i="72" s="1"/>
  <c r="M30" i="72" s="1"/>
  <c r="N3" i="72"/>
  <c r="N22" i="72" s="1"/>
  <c r="J81" i="71"/>
  <c r="M80" i="71"/>
  <c r="M81" i="71" s="1"/>
  <c r="L80" i="71"/>
  <c r="L81" i="71" s="1"/>
  <c r="J80" i="71"/>
  <c r="M68" i="71"/>
  <c r="M69" i="71" s="1"/>
  <c r="M82" i="71" s="1"/>
  <c r="L68" i="71"/>
  <c r="L69" i="71" s="1"/>
  <c r="L82" i="71" s="1"/>
  <c r="J68" i="71"/>
  <c r="J69" i="71" s="1"/>
  <c r="J82" i="71" s="1"/>
  <c r="L56" i="71"/>
  <c r="J56" i="71"/>
  <c r="M55" i="71"/>
  <c r="M56" i="71" s="1"/>
  <c r="M57" i="71" s="1"/>
  <c r="L55" i="71"/>
  <c r="J55" i="71"/>
  <c r="M50" i="71"/>
  <c r="L50" i="71"/>
  <c r="L57" i="71" s="1"/>
  <c r="M49" i="71"/>
  <c r="L49" i="71"/>
  <c r="J49" i="71"/>
  <c r="J50" i="71" s="1"/>
  <c r="J57" i="71" s="1"/>
  <c r="M43" i="71"/>
  <c r="L43" i="71"/>
  <c r="M42" i="71"/>
  <c r="L42" i="71"/>
  <c r="J42" i="71"/>
  <c r="J43" i="71" s="1"/>
  <c r="M37" i="71"/>
  <c r="M44" i="71" s="1"/>
  <c r="M36" i="71"/>
  <c r="L36" i="71"/>
  <c r="L37" i="71" s="1"/>
  <c r="L44" i="71" s="1"/>
  <c r="J36" i="71"/>
  <c r="J37" i="71" s="1"/>
  <c r="M17" i="71"/>
  <c r="L17" i="71"/>
  <c r="M16" i="71"/>
  <c r="L16" i="71"/>
  <c r="J16" i="71"/>
  <c r="J17" i="71" s="1"/>
  <c r="M12" i="71"/>
  <c r="M18" i="71" s="1"/>
  <c r="L12" i="71"/>
  <c r="L18" i="71" s="1"/>
  <c r="M11" i="71"/>
  <c r="L11" i="71"/>
  <c r="J11" i="71"/>
  <c r="J12" i="71" s="1"/>
  <c r="N4" i="71"/>
  <c r="N28" i="71" s="1"/>
  <c r="M28" i="71" s="1"/>
  <c r="M29" i="71" s="1"/>
  <c r="M30" i="71" s="1"/>
  <c r="N3" i="71"/>
  <c r="N22" i="71" s="1"/>
  <c r="L81" i="70"/>
  <c r="J81" i="70"/>
  <c r="M80" i="70"/>
  <c r="M81" i="70" s="1"/>
  <c r="L80" i="70"/>
  <c r="J80" i="70"/>
  <c r="J69" i="70"/>
  <c r="J82" i="70" s="1"/>
  <c r="M68" i="70"/>
  <c r="M69" i="70" s="1"/>
  <c r="M82" i="70" s="1"/>
  <c r="L68" i="70"/>
  <c r="L69" i="70" s="1"/>
  <c r="L82" i="70" s="1"/>
  <c r="J68" i="70"/>
  <c r="M57" i="70"/>
  <c r="M56" i="70"/>
  <c r="J56" i="70"/>
  <c r="M55" i="70"/>
  <c r="L55" i="70"/>
  <c r="L56" i="70" s="1"/>
  <c r="J55" i="70"/>
  <c r="M50" i="70"/>
  <c r="L50" i="70"/>
  <c r="M49" i="70"/>
  <c r="L49" i="70"/>
  <c r="J49" i="70"/>
  <c r="J50" i="70" s="1"/>
  <c r="J57" i="70" s="1"/>
  <c r="L43" i="70"/>
  <c r="M42" i="70"/>
  <c r="M43" i="70" s="1"/>
  <c r="L42" i="70"/>
  <c r="J42" i="70"/>
  <c r="J43" i="70" s="1"/>
  <c r="M37" i="70"/>
  <c r="M36" i="70"/>
  <c r="L36" i="70"/>
  <c r="L37" i="70" s="1"/>
  <c r="L44" i="70" s="1"/>
  <c r="J36" i="70"/>
  <c r="J37" i="70" s="1"/>
  <c r="L17" i="70"/>
  <c r="M16" i="70"/>
  <c r="M17" i="70" s="1"/>
  <c r="L16" i="70"/>
  <c r="J16" i="70"/>
  <c r="J17" i="70" s="1"/>
  <c r="L12" i="70"/>
  <c r="L18" i="70" s="1"/>
  <c r="M11" i="70"/>
  <c r="M12" i="70" s="1"/>
  <c r="L11" i="70"/>
  <c r="J11" i="70"/>
  <c r="J12" i="70" s="1"/>
  <c r="J18" i="70" s="1"/>
  <c r="N4" i="70"/>
  <c r="N28" i="70" s="1"/>
  <c r="M28" i="70" s="1"/>
  <c r="M29" i="70" s="1"/>
  <c r="M30" i="70" s="1"/>
  <c r="N3" i="70"/>
  <c r="N22" i="70" s="1"/>
  <c r="J81" i="69"/>
  <c r="M80" i="69"/>
  <c r="M81" i="69" s="1"/>
  <c r="L80" i="69"/>
  <c r="L81" i="69" s="1"/>
  <c r="J80" i="69"/>
  <c r="M68" i="69"/>
  <c r="M69" i="69" s="1"/>
  <c r="M82" i="69" s="1"/>
  <c r="L68" i="69"/>
  <c r="L69" i="69" s="1"/>
  <c r="L82" i="69" s="1"/>
  <c r="J68" i="69"/>
  <c r="J69" i="69" s="1"/>
  <c r="J82" i="69" s="1"/>
  <c r="J56" i="69"/>
  <c r="M55" i="69"/>
  <c r="M56" i="69" s="1"/>
  <c r="M57" i="69" s="1"/>
  <c r="L55" i="69"/>
  <c r="L56" i="69" s="1"/>
  <c r="J55" i="69"/>
  <c r="M50" i="69"/>
  <c r="L50" i="69"/>
  <c r="L57" i="69" s="1"/>
  <c r="M49" i="69"/>
  <c r="L49" i="69"/>
  <c r="J49" i="69"/>
  <c r="J50" i="69" s="1"/>
  <c r="J57" i="69" s="1"/>
  <c r="L43" i="69"/>
  <c r="J43" i="69"/>
  <c r="M42" i="69"/>
  <c r="M43" i="69" s="1"/>
  <c r="L42" i="69"/>
  <c r="J42" i="69"/>
  <c r="M37" i="69"/>
  <c r="M44" i="69" s="1"/>
  <c r="L37" i="69"/>
  <c r="L44" i="69" s="1"/>
  <c r="M36" i="69"/>
  <c r="L36" i="69"/>
  <c r="J36" i="69"/>
  <c r="J37" i="69" s="1"/>
  <c r="J44" i="69" s="1"/>
  <c r="L17" i="69"/>
  <c r="J17" i="69"/>
  <c r="M16" i="69"/>
  <c r="M17" i="69" s="1"/>
  <c r="L16" i="69"/>
  <c r="J16" i="69"/>
  <c r="L12" i="69"/>
  <c r="L18" i="69" s="1"/>
  <c r="J12" i="69"/>
  <c r="J18" i="69" s="1"/>
  <c r="M11" i="69"/>
  <c r="M12" i="69" s="1"/>
  <c r="L11" i="69"/>
  <c r="J11" i="69"/>
  <c r="N4" i="69"/>
  <c r="N28" i="69" s="1"/>
  <c r="M28" i="69" s="1"/>
  <c r="M29" i="69" s="1"/>
  <c r="M30" i="69" s="1"/>
  <c r="N3" i="69"/>
  <c r="N22" i="69" s="1"/>
  <c r="J81" i="68"/>
  <c r="M80" i="68"/>
  <c r="M81" i="68" s="1"/>
  <c r="L80" i="68"/>
  <c r="L81" i="68" s="1"/>
  <c r="J80" i="68"/>
  <c r="M68" i="68"/>
  <c r="M69" i="68" s="1"/>
  <c r="M82" i="68" s="1"/>
  <c r="L68" i="68"/>
  <c r="L69" i="68" s="1"/>
  <c r="L82" i="68" s="1"/>
  <c r="J68" i="68"/>
  <c r="J69" i="68" s="1"/>
  <c r="J82" i="68" s="1"/>
  <c r="J56" i="68"/>
  <c r="M55" i="68"/>
  <c r="M56" i="68" s="1"/>
  <c r="M57" i="68" s="1"/>
  <c r="L55" i="68"/>
  <c r="L56" i="68" s="1"/>
  <c r="J55" i="68"/>
  <c r="M50" i="68"/>
  <c r="L50" i="68"/>
  <c r="L57" i="68" s="1"/>
  <c r="M49" i="68"/>
  <c r="L49" i="68"/>
  <c r="J49" i="68"/>
  <c r="J50" i="68" s="1"/>
  <c r="J57" i="68" s="1"/>
  <c r="L43" i="68"/>
  <c r="J43" i="68"/>
  <c r="M42" i="68"/>
  <c r="M43" i="68" s="1"/>
  <c r="L42" i="68"/>
  <c r="J42" i="68"/>
  <c r="M37" i="68"/>
  <c r="M44" i="68" s="1"/>
  <c r="L37" i="68"/>
  <c r="L44" i="68" s="1"/>
  <c r="M36" i="68"/>
  <c r="L36" i="68"/>
  <c r="J36" i="68"/>
  <c r="J37" i="68" s="1"/>
  <c r="J44" i="68" s="1"/>
  <c r="L17" i="68"/>
  <c r="M16" i="68"/>
  <c r="M17" i="68" s="1"/>
  <c r="L16" i="68"/>
  <c r="J16" i="68"/>
  <c r="J17" i="68" s="1"/>
  <c r="L12" i="68"/>
  <c r="L18" i="68" s="1"/>
  <c r="M11" i="68"/>
  <c r="M12" i="68" s="1"/>
  <c r="M18" i="68" s="1"/>
  <c r="L11" i="68"/>
  <c r="J11" i="68"/>
  <c r="J12" i="68" s="1"/>
  <c r="N4" i="68"/>
  <c r="N28" i="68" s="1"/>
  <c r="M28" i="68" s="1"/>
  <c r="M29" i="68" s="1"/>
  <c r="M30" i="68" s="1"/>
  <c r="N3" i="68"/>
  <c r="N22" i="68" s="1"/>
  <c r="J81" i="67"/>
  <c r="M80" i="67"/>
  <c r="M81" i="67" s="1"/>
  <c r="L80" i="67"/>
  <c r="L81" i="67" s="1"/>
  <c r="J80" i="67"/>
  <c r="M68" i="67"/>
  <c r="M69" i="67" s="1"/>
  <c r="L68" i="67"/>
  <c r="L69" i="67" s="1"/>
  <c r="L82" i="67" s="1"/>
  <c r="J68" i="67"/>
  <c r="J69" i="67" s="1"/>
  <c r="J82" i="67" s="1"/>
  <c r="L56" i="67"/>
  <c r="L57" i="67" s="1"/>
  <c r="J56" i="67"/>
  <c r="M55" i="67"/>
  <c r="M56" i="67" s="1"/>
  <c r="L55" i="67"/>
  <c r="J55" i="67"/>
  <c r="M50" i="67"/>
  <c r="L50" i="67"/>
  <c r="M49" i="67"/>
  <c r="L49" i="67"/>
  <c r="J49" i="67"/>
  <c r="J50" i="67" s="1"/>
  <c r="J57" i="67" s="1"/>
  <c r="M43" i="67"/>
  <c r="M44" i="67" s="1"/>
  <c r="L43" i="67"/>
  <c r="M42" i="67"/>
  <c r="L42" i="67"/>
  <c r="J42" i="67"/>
  <c r="J43" i="67" s="1"/>
  <c r="M37" i="67"/>
  <c r="M36" i="67"/>
  <c r="L36" i="67"/>
  <c r="L37" i="67" s="1"/>
  <c r="L44" i="67" s="1"/>
  <c r="J36" i="67"/>
  <c r="J37" i="67" s="1"/>
  <c r="J44" i="67" s="1"/>
  <c r="M17" i="67"/>
  <c r="L17" i="67"/>
  <c r="M16" i="67"/>
  <c r="L16" i="67"/>
  <c r="J16" i="67"/>
  <c r="J17" i="67" s="1"/>
  <c r="M12" i="67"/>
  <c r="M18" i="67" s="1"/>
  <c r="L12" i="67"/>
  <c r="L18" i="67" s="1"/>
  <c r="M11" i="67"/>
  <c r="L11" i="67"/>
  <c r="J11" i="67"/>
  <c r="J12" i="67" s="1"/>
  <c r="J18" i="67" s="1"/>
  <c r="N4" i="67"/>
  <c r="N28" i="67" s="1"/>
  <c r="N3" i="67"/>
  <c r="N22" i="67" s="1"/>
  <c r="J81" i="66"/>
  <c r="M80" i="66"/>
  <c r="M81" i="66" s="1"/>
  <c r="L80" i="66"/>
  <c r="L81" i="66" s="1"/>
  <c r="J80" i="66"/>
  <c r="M68" i="66"/>
  <c r="M69" i="66" s="1"/>
  <c r="M82" i="66" s="1"/>
  <c r="L68" i="66"/>
  <c r="L69" i="66" s="1"/>
  <c r="L82" i="66" s="1"/>
  <c r="J68" i="66"/>
  <c r="J69" i="66" s="1"/>
  <c r="J82" i="66" s="1"/>
  <c r="L56" i="66"/>
  <c r="L57" i="66" s="1"/>
  <c r="J56" i="66"/>
  <c r="M55" i="66"/>
  <c r="M56" i="66" s="1"/>
  <c r="L55" i="66"/>
  <c r="J55" i="66"/>
  <c r="M50" i="66"/>
  <c r="M57" i="66" s="1"/>
  <c r="L50" i="66"/>
  <c r="M49" i="66"/>
  <c r="L49" i="66"/>
  <c r="J49" i="66"/>
  <c r="J50" i="66" s="1"/>
  <c r="J57" i="66" s="1"/>
  <c r="M43" i="66"/>
  <c r="M44" i="66" s="1"/>
  <c r="L43" i="66"/>
  <c r="M42" i="66"/>
  <c r="L42" i="66"/>
  <c r="J42" i="66"/>
  <c r="J43" i="66" s="1"/>
  <c r="M37" i="66"/>
  <c r="M36" i="66"/>
  <c r="L36" i="66"/>
  <c r="L37" i="66" s="1"/>
  <c r="L44" i="66" s="1"/>
  <c r="J36" i="66"/>
  <c r="J37" i="66" s="1"/>
  <c r="M17" i="66"/>
  <c r="L17" i="66"/>
  <c r="M16" i="66"/>
  <c r="L16" i="66"/>
  <c r="J16" i="66"/>
  <c r="J17" i="66" s="1"/>
  <c r="M12" i="66"/>
  <c r="M18" i="66" s="1"/>
  <c r="L12" i="66"/>
  <c r="L18" i="66" s="1"/>
  <c r="M11" i="66"/>
  <c r="L11" i="66"/>
  <c r="J11" i="66"/>
  <c r="J12" i="66" s="1"/>
  <c r="N4" i="66"/>
  <c r="N28" i="66" s="1"/>
  <c r="N3" i="66"/>
  <c r="N22" i="66" s="1"/>
  <c r="J81" i="65"/>
  <c r="M80" i="65"/>
  <c r="M81" i="65" s="1"/>
  <c r="L80" i="65"/>
  <c r="L81" i="65" s="1"/>
  <c r="J80" i="65"/>
  <c r="M68" i="65"/>
  <c r="M69" i="65" s="1"/>
  <c r="M82" i="65" s="1"/>
  <c r="L68" i="65"/>
  <c r="L69" i="65" s="1"/>
  <c r="L82" i="65" s="1"/>
  <c r="J68" i="65"/>
  <c r="J69" i="65" s="1"/>
  <c r="J82" i="65" s="1"/>
  <c r="L56" i="65"/>
  <c r="M55" i="65"/>
  <c r="M56" i="65" s="1"/>
  <c r="L55" i="65"/>
  <c r="J55" i="65"/>
  <c r="J56" i="65" s="1"/>
  <c r="M50" i="65"/>
  <c r="M49" i="65"/>
  <c r="L49" i="65"/>
  <c r="L50" i="65" s="1"/>
  <c r="L57" i="65" s="1"/>
  <c r="J49" i="65"/>
  <c r="J50" i="65" s="1"/>
  <c r="J57" i="65" s="1"/>
  <c r="M43" i="65"/>
  <c r="L43" i="65"/>
  <c r="M42" i="65"/>
  <c r="L42" i="65"/>
  <c r="J42" i="65"/>
  <c r="J43" i="65" s="1"/>
  <c r="M36" i="65"/>
  <c r="M37" i="65" s="1"/>
  <c r="M44" i="65" s="1"/>
  <c r="L36" i="65"/>
  <c r="L37" i="65" s="1"/>
  <c r="L44" i="65" s="1"/>
  <c r="J36" i="65"/>
  <c r="J37" i="65" s="1"/>
  <c r="J44" i="65" s="1"/>
  <c r="M17" i="65"/>
  <c r="L17" i="65"/>
  <c r="M16" i="65"/>
  <c r="L16" i="65"/>
  <c r="J16" i="65"/>
  <c r="J17" i="65" s="1"/>
  <c r="M12" i="65"/>
  <c r="M18" i="65" s="1"/>
  <c r="L12" i="65"/>
  <c r="L18" i="65" s="1"/>
  <c r="M11" i="65"/>
  <c r="L11" i="65"/>
  <c r="J11" i="65"/>
  <c r="J12" i="65" s="1"/>
  <c r="N4" i="65"/>
  <c r="N28" i="65" s="1"/>
  <c r="N3" i="65"/>
  <c r="N22" i="65" s="1"/>
  <c r="J81" i="64"/>
  <c r="M80" i="64"/>
  <c r="M81" i="64" s="1"/>
  <c r="L80" i="64"/>
  <c r="L81" i="64" s="1"/>
  <c r="J80" i="64"/>
  <c r="L69" i="64"/>
  <c r="L82" i="64" s="1"/>
  <c r="M68" i="64"/>
  <c r="M69" i="64" s="1"/>
  <c r="L68" i="64"/>
  <c r="J68" i="64"/>
  <c r="J69" i="64" s="1"/>
  <c r="J82" i="64" s="1"/>
  <c r="L56" i="64"/>
  <c r="L57" i="64" s="1"/>
  <c r="J56" i="64"/>
  <c r="M55" i="64"/>
  <c r="M56" i="64" s="1"/>
  <c r="L55" i="64"/>
  <c r="J55" i="64"/>
  <c r="M50" i="64"/>
  <c r="M57" i="64" s="1"/>
  <c r="L50" i="64"/>
  <c r="M49" i="64"/>
  <c r="L49" i="64"/>
  <c r="J49" i="64"/>
  <c r="J50" i="64" s="1"/>
  <c r="J57" i="64" s="1"/>
  <c r="M43" i="64"/>
  <c r="M44" i="64" s="1"/>
  <c r="L43" i="64"/>
  <c r="M42" i="64"/>
  <c r="L42" i="64"/>
  <c r="J42" i="64"/>
  <c r="J43" i="64" s="1"/>
  <c r="M37" i="64"/>
  <c r="J37" i="64"/>
  <c r="M36" i="64"/>
  <c r="L36" i="64"/>
  <c r="L37" i="64" s="1"/>
  <c r="L44" i="64" s="1"/>
  <c r="J36" i="64"/>
  <c r="M17" i="64"/>
  <c r="L17" i="64"/>
  <c r="M16" i="64"/>
  <c r="L16" i="64"/>
  <c r="J16" i="64"/>
  <c r="J17" i="64" s="1"/>
  <c r="M12" i="64"/>
  <c r="M18" i="64" s="1"/>
  <c r="L12" i="64"/>
  <c r="L18" i="64" s="1"/>
  <c r="M11" i="64"/>
  <c r="L11" i="64"/>
  <c r="J11" i="64"/>
  <c r="J12" i="64" s="1"/>
  <c r="J18" i="64" s="1"/>
  <c r="N4" i="64"/>
  <c r="N28" i="64" s="1"/>
  <c r="N3" i="64"/>
  <c r="N22" i="64" s="1"/>
  <c r="M80" i="63"/>
  <c r="M81" i="63" s="1"/>
  <c r="L80" i="63"/>
  <c r="L81" i="63" s="1"/>
  <c r="J80" i="63"/>
  <c r="J81" i="63" s="1"/>
  <c r="M69" i="63"/>
  <c r="M82" i="63" s="1"/>
  <c r="M68" i="63"/>
  <c r="L68" i="63"/>
  <c r="L69" i="63" s="1"/>
  <c r="J68" i="63"/>
  <c r="J69" i="63" s="1"/>
  <c r="J82" i="63" s="1"/>
  <c r="J56" i="63"/>
  <c r="M55" i="63"/>
  <c r="M56" i="63" s="1"/>
  <c r="L55" i="63"/>
  <c r="L56" i="63" s="1"/>
  <c r="J55" i="63"/>
  <c r="L50" i="63"/>
  <c r="J50" i="63"/>
  <c r="J57" i="63" s="1"/>
  <c r="M49" i="63"/>
  <c r="M50" i="63" s="1"/>
  <c r="M57" i="63" s="1"/>
  <c r="L49" i="63"/>
  <c r="J49" i="63"/>
  <c r="J43" i="63"/>
  <c r="M42" i="63"/>
  <c r="M43" i="63" s="1"/>
  <c r="L42" i="63"/>
  <c r="L43" i="63" s="1"/>
  <c r="L44" i="63" s="1"/>
  <c r="J42" i="63"/>
  <c r="M37" i="63"/>
  <c r="L37" i="63"/>
  <c r="M36" i="63"/>
  <c r="L36" i="63"/>
  <c r="J36" i="63"/>
  <c r="J37" i="63" s="1"/>
  <c r="J44" i="63" s="1"/>
  <c r="J17" i="63"/>
  <c r="M16" i="63"/>
  <c r="M17" i="63" s="1"/>
  <c r="L16" i="63"/>
  <c r="L17" i="63" s="1"/>
  <c r="J16" i="63"/>
  <c r="J12" i="63"/>
  <c r="J18" i="63" s="1"/>
  <c r="M11" i="63"/>
  <c r="M12" i="63" s="1"/>
  <c r="M18" i="63" s="1"/>
  <c r="L11" i="63"/>
  <c r="L12" i="63" s="1"/>
  <c r="L18" i="63" s="1"/>
  <c r="J11" i="63"/>
  <c r="N4" i="63"/>
  <c r="N28" i="63" s="1"/>
  <c r="N3" i="63"/>
  <c r="N22" i="63" s="1"/>
  <c r="J81" i="62"/>
  <c r="M80" i="62"/>
  <c r="M81" i="62" s="1"/>
  <c r="L80" i="62"/>
  <c r="L81" i="62" s="1"/>
  <c r="J80" i="62"/>
  <c r="L69" i="62"/>
  <c r="L82" i="62" s="1"/>
  <c r="M68" i="62"/>
  <c r="M69" i="62" s="1"/>
  <c r="L68" i="62"/>
  <c r="J68" i="62"/>
  <c r="J69" i="62" s="1"/>
  <c r="J82" i="62" s="1"/>
  <c r="M55" i="62"/>
  <c r="M56" i="62" s="1"/>
  <c r="L55" i="62"/>
  <c r="L56" i="62" s="1"/>
  <c r="J55" i="62"/>
  <c r="J56" i="62" s="1"/>
  <c r="M50" i="62"/>
  <c r="M57" i="62" s="1"/>
  <c r="M49" i="62"/>
  <c r="L49" i="62"/>
  <c r="L50" i="62" s="1"/>
  <c r="J49" i="62"/>
  <c r="J50" i="62" s="1"/>
  <c r="J57" i="62" s="1"/>
  <c r="L43" i="62"/>
  <c r="M42" i="62"/>
  <c r="M43" i="62" s="1"/>
  <c r="L42" i="62"/>
  <c r="J42" i="62"/>
  <c r="J43" i="62" s="1"/>
  <c r="M36" i="62"/>
  <c r="M37" i="62" s="1"/>
  <c r="M44" i="62" s="1"/>
  <c r="L36" i="62"/>
  <c r="L37" i="62" s="1"/>
  <c r="L44" i="62" s="1"/>
  <c r="J36" i="62"/>
  <c r="J37" i="62" s="1"/>
  <c r="J44" i="62" s="1"/>
  <c r="L17" i="62"/>
  <c r="M16" i="62"/>
  <c r="M17" i="62" s="1"/>
  <c r="L16" i="62"/>
  <c r="J16" i="62"/>
  <c r="J17" i="62" s="1"/>
  <c r="L12" i="62"/>
  <c r="L18" i="62" s="1"/>
  <c r="M11" i="62"/>
  <c r="M12" i="62" s="1"/>
  <c r="L11" i="62"/>
  <c r="J11" i="62"/>
  <c r="J12" i="62" s="1"/>
  <c r="N4" i="62"/>
  <c r="N28" i="62" s="1"/>
  <c r="N3" i="62"/>
  <c r="N22" i="62" s="1"/>
  <c r="J81" i="61"/>
  <c r="M80" i="61"/>
  <c r="M81" i="61" s="1"/>
  <c r="L80" i="61"/>
  <c r="L81" i="61" s="1"/>
  <c r="J80" i="61"/>
  <c r="M68" i="61"/>
  <c r="M69" i="61" s="1"/>
  <c r="L68" i="61"/>
  <c r="L69" i="61" s="1"/>
  <c r="L82" i="61" s="1"/>
  <c r="J68" i="61"/>
  <c r="J69" i="61" s="1"/>
  <c r="J82" i="61" s="1"/>
  <c r="L56" i="61"/>
  <c r="J56" i="61"/>
  <c r="M55" i="61"/>
  <c r="M56" i="61" s="1"/>
  <c r="M57" i="61" s="1"/>
  <c r="L55" i="61"/>
  <c r="J55" i="61"/>
  <c r="M50" i="61"/>
  <c r="L50" i="61"/>
  <c r="L57" i="61" s="1"/>
  <c r="M49" i="61"/>
  <c r="L49" i="61"/>
  <c r="J49" i="61"/>
  <c r="J50" i="61" s="1"/>
  <c r="J57" i="61" s="1"/>
  <c r="M43" i="61"/>
  <c r="L43" i="61"/>
  <c r="M42" i="61"/>
  <c r="L42" i="61"/>
  <c r="J42" i="61"/>
  <c r="J43" i="61" s="1"/>
  <c r="M37" i="61"/>
  <c r="M44" i="61" s="1"/>
  <c r="M36" i="61"/>
  <c r="L36" i="61"/>
  <c r="L37" i="61" s="1"/>
  <c r="L44" i="61" s="1"/>
  <c r="J36" i="61"/>
  <c r="J37" i="61" s="1"/>
  <c r="J44" i="61" s="1"/>
  <c r="M17" i="61"/>
  <c r="L17" i="61"/>
  <c r="M16" i="61"/>
  <c r="L16" i="61"/>
  <c r="J16" i="61"/>
  <c r="J17" i="61" s="1"/>
  <c r="M12" i="61"/>
  <c r="M18" i="61" s="1"/>
  <c r="L12" i="61"/>
  <c r="L18" i="61" s="1"/>
  <c r="M11" i="61"/>
  <c r="L11" i="61"/>
  <c r="J11" i="61"/>
  <c r="J12" i="61" s="1"/>
  <c r="N4" i="61"/>
  <c r="N28" i="61" s="1"/>
  <c r="M28" i="61" s="1"/>
  <c r="M29" i="61" s="1"/>
  <c r="M30" i="61" s="1"/>
  <c r="N3" i="61"/>
  <c r="N22" i="61" s="1"/>
  <c r="J81" i="60"/>
  <c r="M80" i="60"/>
  <c r="M81" i="60" s="1"/>
  <c r="L80" i="60"/>
  <c r="L81" i="60" s="1"/>
  <c r="J80" i="60"/>
  <c r="L69" i="60"/>
  <c r="M68" i="60"/>
  <c r="M69" i="60" s="1"/>
  <c r="L68" i="60"/>
  <c r="J68" i="60"/>
  <c r="J69" i="60" s="1"/>
  <c r="J82" i="60" s="1"/>
  <c r="J56" i="60"/>
  <c r="M55" i="60"/>
  <c r="M56" i="60" s="1"/>
  <c r="L55" i="60"/>
  <c r="L56" i="60" s="1"/>
  <c r="L57" i="60" s="1"/>
  <c r="J55" i="60"/>
  <c r="M50" i="60"/>
  <c r="L50" i="60"/>
  <c r="M49" i="60"/>
  <c r="L49" i="60"/>
  <c r="J49" i="60"/>
  <c r="J50" i="60" s="1"/>
  <c r="J57" i="60" s="1"/>
  <c r="L43" i="60"/>
  <c r="J43" i="60"/>
  <c r="M42" i="60"/>
  <c r="M43" i="60" s="1"/>
  <c r="M44" i="60" s="1"/>
  <c r="L42" i="60"/>
  <c r="J42" i="60"/>
  <c r="M37" i="60"/>
  <c r="L37" i="60"/>
  <c r="L44" i="60" s="1"/>
  <c r="J37" i="60"/>
  <c r="J44" i="60" s="1"/>
  <c r="M36" i="60"/>
  <c r="L36" i="60"/>
  <c r="J36" i="60"/>
  <c r="L17" i="60"/>
  <c r="J17" i="60"/>
  <c r="M16" i="60"/>
  <c r="M17" i="60" s="1"/>
  <c r="L16" i="60"/>
  <c r="J16" i="60"/>
  <c r="L12" i="60"/>
  <c r="L18" i="60" s="1"/>
  <c r="J12" i="60"/>
  <c r="J18" i="60" s="1"/>
  <c r="M11" i="60"/>
  <c r="M12" i="60" s="1"/>
  <c r="M18" i="60" s="1"/>
  <c r="L11" i="60"/>
  <c r="J11" i="60"/>
  <c r="N4" i="60"/>
  <c r="N28" i="60" s="1"/>
  <c r="N3" i="60"/>
  <c r="N22" i="60" s="1"/>
  <c r="J81" i="59"/>
  <c r="M80" i="59"/>
  <c r="M81" i="59" s="1"/>
  <c r="L80" i="59"/>
  <c r="L81" i="59" s="1"/>
  <c r="J80" i="59"/>
  <c r="M68" i="59"/>
  <c r="M69" i="59" s="1"/>
  <c r="M82" i="59" s="1"/>
  <c r="L68" i="59"/>
  <c r="L69" i="59" s="1"/>
  <c r="L82" i="59" s="1"/>
  <c r="J68" i="59"/>
  <c r="J69" i="59" s="1"/>
  <c r="J82" i="59" s="1"/>
  <c r="L56" i="59"/>
  <c r="L57" i="59" s="1"/>
  <c r="J56" i="59"/>
  <c r="M55" i="59"/>
  <c r="M56" i="59" s="1"/>
  <c r="L55" i="59"/>
  <c r="J55" i="59"/>
  <c r="M50" i="59"/>
  <c r="M57" i="59" s="1"/>
  <c r="L50" i="59"/>
  <c r="M49" i="59"/>
  <c r="L49" i="59"/>
  <c r="J49" i="59"/>
  <c r="J50" i="59" s="1"/>
  <c r="J57" i="59" s="1"/>
  <c r="M43" i="59"/>
  <c r="M44" i="59" s="1"/>
  <c r="L43" i="59"/>
  <c r="M42" i="59"/>
  <c r="L42" i="59"/>
  <c r="J42" i="59"/>
  <c r="J43" i="59" s="1"/>
  <c r="M37" i="59"/>
  <c r="M36" i="59"/>
  <c r="L36" i="59"/>
  <c r="L37" i="59" s="1"/>
  <c r="L44" i="59" s="1"/>
  <c r="J36" i="59"/>
  <c r="J37" i="59" s="1"/>
  <c r="M17" i="59"/>
  <c r="L17" i="59"/>
  <c r="M16" i="59"/>
  <c r="L16" i="59"/>
  <c r="J16" i="59"/>
  <c r="J17" i="59" s="1"/>
  <c r="M12" i="59"/>
  <c r="M18" i="59" s="1"/>
  <c r="L12" i="59"/>
  <c r="L18" i="59" s="1"/>
  <c r="M11" i="59"/>
  <c r="L11" i="59"/>
  <c r="J11" i="59"/>
  <c r="J12" i="59" s="1"/>
  <c r="N4" i="59"/>
  <c r="N28" i="59" s="1"/>
  <c r="N3" i="59"/>
  <c r="N22" i="59" s="1"/>
  <c r="J81" i="58"/>
  <c r="M80" i="58"/>
  <c r="M81" i="58" s="1"/>
  <c r="L80" i="58"/>
  <c r="L81" i="58" s="1"/>
  <c r="J80" i="58"/>
  <c r="M68" i="58"/>
  <c r="M69" i="58" s="1"/>
  <c r="M82" i="58" s="1"/>
  <c r="L68" i="58"/>
  <c r="L69" i="58" s="1"/>
  <c r="L82" i="58" s="1"/>
  <c r="J68" i="58"/>
  <c r="J69" i="58" s="1"/>
  <c r="J82" i="58" s="1"/>
  <c r="J56" i="58"/>
  <c r="M55" i="58"/>
  <c r="M56" i="58" s="1"/>
  <c r="M57" i="58" s="1"/>
  <c r="L55" i="58"/>
  <c r="L56" i="58" s="1"/>
  <c r="J55" i="58"/>
  <c r="M50" i="58"/>
  <c r="L50" i="58"/>
  <c r="L57" i="58" s="1"/>
  <c r="M49" i="58"/>
  <c r="L49" i="58"/>
  <c r="J49" i="58"/>
  <c r="J50" i="58" s="1"/>
  <c r="J57" i="58" s="1"/>
  <c r="L43" i="58"/>
  <c r="J43" i="58"/>
  <c r="M42" i="58"/>
  <c r="M43" i="58" s="1"/>
  <c r="L42" i="58"/>
  <c r="J42" i="58"/>
  <c r="M37" i="58"/>
  <c r="M44" i="58" s="1"/>
  <c r="L37" i="58"/>
  <c r="L44" i="58" s="1"/>
  <c r="M36" i="58"/>
  <c r="L36" i="58"/>
  <c r="J36" i="58"/>
  <c r="J37" i="58" s="1"/>
  <c r="J44" i="58" s="1"/>
  <c r="L17" i="58"/>
  <c r="J17" i="58"/>
  <c r="M16" i="58"/>
  <c r="M17" i="58" s="1"/>
  <c r="L16" i="58"/>
  <c r="J16" i="58"/>
  <c r="L12" i="58"/>
  <c r="L18" i="58" s="1"/>
  <c r="J12" i="58"/>
  <c r="J18" i="58" s="1"/>
  <c r="M11" i="58"/>
  <c r="M12" i="58" s="1"/>
  <c r="L11" i="58"/>
  <c r="J11" i="58"/>
  <c r="N4" i="58"/>
  <c r="N28" i="58" s="1"/>
  <c r="M28" i="58" s="1"/>
  <c r="M29" i="58" s="1"/>
  <c r="M30" i="58" s="1"/>
  <c r="N3" i="58"/>
  <c r="N22" i="58" s="1"/>
  <c r="M80" i="57"/>
  <c r="M81" i="57" s="1"/>
  <c r="L80" i="57"/>
  <c r="L81" i="57" s="1"/>
  <c r="J80" i="57"/>
  <c r="J81" i="57" s="1"/>
  <c r="M69" i="57"/>
  <c r="M82" i="57" s="1"/>
  <c r="M68" i="57"/>
  <c r="L68" i="57"/>
  <c r="L69" i="57" s="1"/>
  <c r="J68" i="57"/>
  <c r="J69" i="57" s="1"/>
  <c r="J82" i="57" s="1"/>
  <c r="J56" i="57"/>
  <c r="M55" i="57"/>
  <c r="M56" i="57" s="1"/>
  <c r="L55" i="57"/>
  <c r="L56" i="57" s="1"/>
  <c r="J55" i="57"/>
  <c r="L50" i="57"/>
  <c r="J50" i="57"/>
  <c r="J57" i="57" s="1"/>
  <c r="M49" i="57"/>
  <c r="M50" i="57" s="1"/>
  <c r="M57" i="57" s="1"/>
  <c r="L49" i="57"/>
  <c r="J49" i="57"/>
  <c r="J43" i="57"/>
  <c r="M42" i="57"/>
  <c r="M43" i="57" s="1"/>
  <c r="L42" i="57"/>
  <c r="L43" i="57" s="1"/>
  <c r="J42" i="57"/>
  <c r="M37" i="57"/>
  <c r="L37" i="57"/>
  <c r="L44" i="57" s="1"/>
  <c r="M36" i="57"/>
  <c r="L36" i="57"/>
  <c r="J36" i="57"/>
  <c r="J37" i="57" s="1"/>
  <c r="J44" i="57" s="1"/>
  <c r="J17" i="57"/>
  <c r="M16" i="57"/>
  <c r="M17" i="57" s="1"/>
  <c r="L16" i="57"/>
  <c r="L17" i="57" s="1"/>
  <c r="J16" i="57"/>
  <c r="J12" i="57"/>
  <c r="J18" i="57" s="1"/>
  <c r="M11" i="57"/>
  <c r="M12" i="57" s="1"/>
  <c r="M18" i="57" s="1"/>
  <c r="L11" i="57"/>
  <c r="L12" i="57" s="1"/>
  <c r="L18" i="57" s="1"/>
  <c r="J11" i="57"/>
  <c r="N4" i="57"/>
  <c r="N28" i="57" s="1"/>
  <c r="M28" i="57" s="1"/>
  <c r="M29" i="57" s="1"/>
  <c r="M30" i="57" s="1"/>
  <c r="N3" i="57"/>
  <c r="N22" i="57" s="1"/>
  <c r="M80" i="56"/>
  <c r="M81" i="56" s="1"/>
  <c r="L80" i="56"/>
  <c r="L81" i="56" s="1"/>
  <c r="J80" i="56"/>
  <c r="J81" i="56" s="1"/>
  <c r="M68" i="56"/>
  <c r="M69" i="56" s="1"/>
  <c r="M82" i="56" s="1"/>
  <c r="L68" i="56"/>
  <c r="L69" i="56" s="1"/>
  <c r="L82" i="56" s="1"/>
  <c r="J68" i="56"/>
  <c r="J69" i="56" s="1"/>
  <c r="J82" i="56" s="1"/>
  <c r="J56" i="56"/>
  <c r="M55" i="56"/>
  <c r="M56" i="56" s="1"/>
  <c r="L55" i="56"/>
  <c r="L56" i="56" s="1"/>
  <c r="J55" i="56"/>
  <c r="L50" i="56"/>
  <c r="M49" i="56"/>
  <c r="M50" i="56" s="1"/>
  <c r="L49" i="56"/>
  <c r="J49" i="56"/>
  <c r="J50" i="56" s="1"/>
  <c r="J57" i="56" s="1"/>
  <c r="M42" i="56"/>
  <c r="M43" i="56" s="1"/>
  <c r="L42" i="56"/>
  <c r="L43" i="56" s="1"/>
  <c r="J42" i="56"/>
  <c r="J43" i="56" s="1"/>
  <c r="M37" i="56"/>
  <c r="M36" i="56"/>
  <c r="L36" i="56"/>
  <c r="L37" i="56" s="1"/>
  <c r="J36" i="56"/>
  <c r="J37" i="56" s="1"/>
  <c r="M16" i="56"/>
  <c r="M17" i="56" s="1"/>
  <c r="L16" i="56"/>
  <c r="L17" i="56" s="1"/>
  <c r="J16" i="56"/>
  <c r="J17" i="56" s="1"/>
  <c r="M11" i="56"/>
  <c r="M12" i="56" s="1"/>
  <c r="L11" i="56"/>
  <c r="L12" i="56" s="1"/>
  <c r="J11" i="56"/>
  <c r="J12" i="56" s="1"/>
  <c r="J18" i="56" s="1"/>
  <c r="N4" i="56"/>
  <c r="N28" i="56" s="1"/>
  <c r="M28" i="56" s="1"/>
  <c r="M29" i="56" s="1"/>
  <c r="M30" i="56" s="1"/>
  <c r="N3" i="56"/>
  <c r="N22" i="56" s="1"/>
  <c r="M80" i="55"/>
  <c r="M81" i="55" s="1"/>
  <c r="L80" i="55"/>
  <c r="L81" i="55" s="1"/>
  <c r="J80" i="55"/>
  <c r="J81" i="55" s="1"/>
  <c r="M69" i="55"/>
  <c r="M68" i="55"/>
  <c r="L68" i="55"/>
  <c r="L69" i="55" s="1"/>
  <c r="L82" i="55" s="1"/>
  <c r="J68" i="55"/>
  <c r="J69" i="55" s="1"/>
  <c r="J82" i="55" s="1"/>
  <c r="J56" i="55"/>
  <c r="M55" i="55"/>
  <c r="M56" i="55" s="1"/>
  <c r="L55" i="55"/>
  <c r="L56" i="55" s="1"/>
  <c r="J55" i="55"/>
  <c r="L50" i="55"/>
  <c r="L57" i="55" s="1"/>
  <c r="J50" i="55"/>
  <c r="J57" i="55" s="1"/>
  <c r="M49" i="55"/>
  <c r="M50" i="55" s="1"/>
  <c r="L49" i="55"/>
  <c r="J49" i="55"/>
  <c r="J43" i="55"/>
  <c r="M42" i="55"/>
  <c r="M43" i="55" s="1"/>
  <c r="L42" i="55"/>
  <c r="L43" i="55" s="1"/>
  <c r="J42" i="55"/>
  <c r="M37" i="55"/>
  <c r="M44" i="55" s="1"/>
  <c r="L37" i="55"/>
  <c r="M36" i="55"/>
  <c r="L36" i="55"/>
  <c r="J36" i="55"/>
  <c r="J37" i="55" s="1"/>
  <c r="J44" i="55" s="1"/>
  <c r="J17" i="55"/>
  <c r="M16" i="55"/>
  <c r="M17" i="55" s="1"/>
  <c r="L16" i="55"/>
  <c r="L17" i="55" s="1"/>
  <c r="J16" i="55"/>
  <c r="J12" i="55"/>
  <c r="J18" i="55" s="1"/>
  <c r="M11" i="55"/>
  <c r="M12" i="55" s="1"/>
  <c r="M18" i="55" s="1"/>
  <c r="L11" i="55"/>
  <c r="L12" i="55" s="1"/>
  <c r="L18" i="55" s="1"/>
  <c r="J11" i="55"/>
  <c r="N4" i="55"/>
  <c r="N28" i="55" s="1"/>
  <c r="M28" i="55" s="1"/>
  <c r="M29" i="55" s="1"/>
  <c r="M30" i="55" s="1"/>
  <c r="N3" i="55"/>
  <c r="N22" i="55" s="1"/>
  <c r="M80" i="54"/>
  <c r="M81" i="54" s="1"/>
  <c r="L80" i="54"/>
  <c r="L81" i="54" s="1"/>
  <c r="J80" i="54"/>
  <c r="J81" i="54" s="1"/>
  <c r="M69" i="54"/>
  <c r="M68" i="54"/>
  <c r="L68" i="54"/>
  <c r="L69" i="54" s="1"/>
  <c r="L82" i="54" s="1"/>
  <c r="J68" i="54"/>
  <c r="J69" i="54" s="1"/>
  <c r="J82" i="54" s="1"/>
  <c r="J56" i="54"/>
  <c r="M55" i="54"/>
  <c r="M56" i="54" s="1"/>
  <c r="L55" i="54"/>
  <c r="L56" i="54" s="1"/>
  <c r="J55" i="54"/>
  <c r="L50" i="54"/>
  <c r="L57" i="54" s="1"/>
  <c r="J50" i="54"/>
  <c r="J57" i="54" s="1"/>
  <c r="M49" i="54"/>
  <c r="M50" i="54" s="1"/>
  <c r="M57" i="54" s="1"/>
  <c r="L49" i="54"/>
  <c r="J49" i="54"/>
  <c r="J43" i="54"/>
  <c r="M42" i="54"/>
  <c r="M43" i="54" s="1"/>
  <c r="L42" i="54"/>
  <c r="L43" i="54" s="1"/>
  <c r="J42" i="54"/>
  <c r="M37" i="54"/>
  <c r="L37" i="54"/>
  <c r="L44" i="54" s="1"/>
  <c r="M36" i="54"/>
  <c r="L36" i="54"/>
  <c r="J36" i="54"/>
  <c r="J37" i="54" s="1"/>
  <c r="J44" i="54" s="1"/>
  <c r="J17" i="54"/>
  <c r="M16" i="54"/>
  <c r="M17" i="54" s="1"/>
  <c r="L16" i="54"/>
  <c r="L17" i="54" s="1"/>
  <c r="J16" i="54"/>
  <c r="J12" i="54"/>
  <c r="J18" i="54" s="1"/>
  <c r="M11" i="54"/>
  <c r="M12" i="54" s="1"/>
  <c r="M18" i="54" s="1"/>
  <c r="L11" i="54"/>
  <c r="L12" i="54" s="1"/>
  <c r="L18" i="54" s="1"/>
  <c r="J11" i="54"/>
  <c r="N4" i="54"/>
  <c r="N28" i="54" s="1"/>
  <c r="M28" i="54" s="1"/>
  <c r="M29" i="54" s="1"/>
  <c r="M30" i="54" s="1"/>
  <c r="N3" i="54"/>
  <c r="N22" i="54" s="1"/>
  <c r="M80" i="53"/>
  <c r="M81" i="53" s="1"/>
  <c r="L80" i="53"/>
  <c r="L81" i="53" s="1"/>
  <c r="J80" i="53"/>
  <c r="J81" i="53" s="1"/>
  <c r="M69" i="53"/>
  <c r="M68" i="53"/>
  <c r="L68" i="53"/>
  <c r="L69" i="53" s="1"/>
  <c r="L82" i="53" s="1"/>
  <c r="J68" i="53"/>
  <c r="J69" i="53" s="1"/>
  <c r="J82" i="53" s="1"/>
  <c r="J56" i="53"/>
  <c r="M55" i="53"/>
  <c r="M56" i="53" s="1"/>
  <c r="L55" i="53"/>
  <c r="L56" i="53" s="1"/>
  <c r="J55" i="53"/>
  <c r="L50" i="53"/>
  <c r="L57" i="53" s="1"/>
  <c r="J50" i="53"/>
  <c r="J57" i="53" s="1"/>
  <c r="M49" i="53"/>
  <c r="M50" i="53" s="1"/>
  <c r="L49" i="53"/>
  <c r="J49" i="53"/>
  <c r="M42" i="53"/>
  <c r="M43" i="53" s="1"/>
  <c r="L42" i="53"/>
  <c r="L43" i="53" s="1"/>
  <c r="J42" i="53"/>
  <c r="J43" i="53" s="1"/>
  <c r="M37" i="53"/>
  <c r="M44" i="53" s="1"/>
  <c r="M36" i="53"/>
  <c r="L36" i="53"/>
  <c r="L37" i="53" s="1"/>
  <c r="L44" i="53" s="1"/>
  <c r="J36" i="53"/>
  <c r="J37" i="53" s="1"/>
  <c r="J44" i="53" s="1"/>
  <c r="M16" i="53"/>
  <c r="M17" i="53" s="1"/>
  <c r="L16" i="53"/>
  <c r="L17" i="53" s="1"/>
  <c r="J16" i="53"/>
  <c r="J17" i="53" s="1"/>
  <c r="M11" i="53"/>
  <c r="M12" i="53" s="1"/>
  <c r="M18" i="53" s="1"/>
  <c r="L11" i="53"/>
  <c r="L12" i="53" s="1"/>
  <c r="L18" i="53" s="1"/>
  <c r="J11" i="53"/>
  <c r="J12" i="53" s="1"/>
  <c r="J18" i="53" s="1"/>
  <c r="N4" i="53"/>
  <c r="N28" i="53" s="1"/>
  <c r="M28" i="53" s="1"/>
  <c r="M29" i="53" s="1"/>
  <c r="M30" i="53" s="1"/>
  <c r="N3" i="53"/>
  <c r="N22" i="53" s="1"/>
  <c r="J81" i="52"/>
  <c r="M80" i="52"/>
  <c r="M81" i="52" s="1"/>
  <c r="L80" i="52"/>
  <c r="L81" i="52" s="1"/>
  <c r="J80" i="52"/>
  <c r="M68" i="52"/>
  <c r="M69" i="52" s="1"/>
  <c r="L68" i="52"/>
  <c r="L69" i="52" s="1"/>
  <c r="J68" i="52"/>
  <c r="J69" i="52" s="1"/>
  <c r="J82" i="52" s="1"/>
  <c r="J56" i="52"/>
  <c r="M55" i="52"/>
  <c r="M56" i="52" s="1"/>
  <c r="M57" i="52" s="1"/>
  <c r="L55" i="52"/>
  <c r="L56" i="52" s="1"/>
  <c r="J55" i="52"/>
  <c r="M50" i="52"/>
  <c r="L50" i="52"/>
  <c r="M49" i="52"/>
  <c r="L49" i="52"/>
  <c r="J49" i="52"/>
  <c r="J50" i="52" s="1"/>
  <c r="J57" i="52" s="1"/>
  <c r="L43" i="52"/>
  <c r="J43" i="52"/>
  <c r="M42" i="52"/>
  <c r="M43" i="52" s="1"/>
  <c r="L42" i="52"/>
  <c r="J42" i="52"/>
  <c r="M37" i="52"/>
  <c r="L37" i="52"/>
  <c r="L44" i="52" s="1"/>
  <c r="M36" i="52"/>
  <c r="L36" i="52"/>
  <c r="J36" i="52"/>
  <c r="J37" i="52" s="1"/>
  <c r="J44" i="52" s="1"/>
  <c r="L17" i="52"/>
  <c r="J17" i="52"/>
  <c r="M16" i="52"/>
  <c r="M17" i="52" s="1"/>
  <c r="L16" i="52"/>
  <c r="J16" i="52"/>
  <c r="L12" i="52"/>
  <c r="L18" i="52" s="1"/>
  <c r="J12" i="52"/>
  <c r="J18" i="52" s="1"/>
  <c r="M11" i="52"/>
  <c r="M12" i="52" s="1"/>
  <c r="M18" i="52" s="1"/>
  <c r="L11" i="52"/>
  <c r="J11" i="52"/>
  <c r="N4" i="52"/>
  <c r="N28" i="52" s="1"/>
  <c r="M28" i="52" s="1"/>
  <c r="M29" i="52" s="1"/>
  <c r="M30" i="52" s="1"/>
  <c r="N3" i="52"/>
  <c r="N22" i="52" s="1"/>
  <c r="J81" i="51"/>
  <c r="M80" i="51"/>
  <c r="M81" i="51" s="1"/>
  <c r="L80" i="51"/>
  <c r="L81" i="51" s="1"/>
  <c r="J80" i="51"/>
  <c r="L69" i="51"/>
  <c r="M68" i="51"/>
  <c r="M69" i="51" s="1"/>
  <c r="M82" i="51" s="1"/>
  <c r="L68" i="51"/>
  <c r="J68" i="51"/>
  <c r="J69" i="51" s="1"/>
  <c r="J82" i="51" s="1"/>
  <c r="M55" i="51"/>
  <c r="M56" i="51" s="1"/>
  <c r="L55" i="51"/>
  <c r="L56" i="51" s="1"/>
  <c r="J55" i="51"/>
  <c r="J56" i="51" s="1"/>
  <c r="M50" i="51"/>
  <c r="M49" i="51"/>
  <c r="L49" i="51"/>
  <c r="L50" i="51" s="1"/>
  <c r="L57" i="51" s="1"/>
  <c r="J49" i="51"/>
  <c r="J50" i="51" s="1"/>
  <c r="J57" i="51" s="1"/>
  <c r="L43" i="51"/>
  <c r="L44" i="51" s="1"/>
  <c r="J43" i="51"/>
  <c r="M42" i="51"/>
  <c r="M43" i="51" s="1"/>
  <c r="L42" i="51"/>
  <c r="J42" i="51"/>
  <c r="L37" i="51"/>
  <c r="J37" i="51"/>
  <c r="J44" i="51" s="1"/>
  <c r="M36" i="51"/>
  <c r="M37" i="51" s="1"/>
  <c r="L36" i="51"/>
  <c r="J36" i="51"/>
  <c r="L17" i="51"/>
  <c r="M16" i="51"/>
  <c r="M17" i="51" s="1"/>
  <c r="L16" i="51"/>
  <c r="J16" i="51"/>
  <c r="J17" i="51" s="1"/>
  <c r="L12" i="51"/>
  <c r="L18" i="51" s="1"/>
  <c r="M11" i="51"/>
  <c r="M12" i="51" s="1"/>
  <c r="M18" i="51" s="1"/>
  <c r="L11" i="51"/>
  <c r="J11" i="51"/>
  <c r="J12" i="51" s="1"/>
  <c r="J18" i="51" s="1"/>
  <c r="N4" i="51"/>
  <c r="N28" i="51" s="1"/>
  <c r="N3" i="51"/>
  <c r="N22" i="51" s="1"/>
  <c r="M80" i="50"/>
  <c r="M81" i="50" s="1"/>
  <c r="L80" i="50"/>
  <c r="L81" i="50" s="1"/>
  <c r="J80" i="50"/>
  <c r="J81" i="50" s="1"/>
  <c r="M69" i="50"/>
  <c r="M68" i="50"/>
  <c r="L68" i="50"/>
  <c r="L69" i="50" s="1"/>
  <c r="J68" i="50"/>
  <c r="J69" i="50" s="1"/>
  <c r="L56" i="50"/>
  <c r="J56" i="50"/>
  <c r="M55" i="50"/>
  <c r="M56" i="50" s="1"/>
  <c r="L55" i="50"/>
  <c r="J55" i="50"/>
  <c r="L50" i="50"/>
  <c r="L57" i="50" s="1"/>
  <c r="J50" i="50"/>
  <c r="J57" i="50" s="1"/>
  <c r="M49" i="50"/>
  <c r="M50" i="50" s="1"/>
  <c r="L49" i="50"/>
  <c r="J49" i="50"/>
  <c r="M43" i="50"/>
  <c r="M42" i="50"/>
  <c r="L42" i="50"/>
  <c r="L43" i="50" s="1"/>
  <c r="J42" i="50"/>
  <c r="J43" i="50" s="1"/>
  <c r="M37" i="50"/>
  <c r="M44" i="50" s="1"/>
  <c r="M36" i="50"/>
  <c r="L36" i="50"/>
  <c r="L37" i="50" s="1"/>
  <c r="L44" i="50" s="1"/>
  <c r="J36" i="50"/>
  <c r="J37" i="50" s="1"/>
  <c r="J44" i="50" s="1"/>
  <c r="M17" i="50"/>
  <c r="M16" i="50"/>
  <c r="L16" i="50"/>
  <c r="L17" i="50" s="1"/>
  <c r="J16" i="50"/>
  <c r="J17" i="50" s="1"/>
  <c r="M12" i="50"/>
  <c r="M18" i="50" s="1"/>
  <c r="M11" i="50"/>
  <c r="L11" i="50"/>
  <c r="L12" i="50" s="1"/>
  <c r="L18" i="50" s="1"/>
  <c r="J11" i="50"/>
  <c r="J12" i="50" s="1"/>
  <c r="J18" i="50" s="1"/>
  <c r="N4" i="50"/>
  <c r="N28" i="50" s="1"/>
  <c r="M28" i="50" s="1"/>
  <c r="M29" i="50" s="1"/>
  <c r="M30" i="50" s="1"/>
  <c r="N3" i="50"/>
  <c r="N22" i="50" s="1"/>
  <c r="M80" i="49"/>
  <c r="M81" i="49" s="1"/>
  <c r="L80" i="49"/>
  <c r="L81" i="49" s="1"/>
  <c r="J80" i="49"/>
  <c r="J81" i="49" s="1"/>
  <c r="M69" i="49"/>
  <c r="M68" i="49"/>
  <c r="L68" i="49"/>
  <c r="L69" i="49" s="1"/>
  <c r="J68" i="49"/>
  <c r="J69" i="49" s="1"/>
  <c r="J56" i="49"/>
  <c r="M55" i="49"/>
  <c r="M56" i="49" s="1"/>
  <c r="L55" i="49"/>
  <c r="L56" i="49" s="1"/>
  <c r="J55" i="49"/>
  <c r="L50" i="49"/>
  <c r="L57" i="49" s="1"/>
  <c r="J50" i="49"/>
  <c r="J57" i="49" s="1"/>
  <c r="M49" i="49"/>
  <c r="M50" i="49" s="1"/>
  <c r="L49" i="49"/>
  <c r="J49" i="49"/>
  <c r="J43" i="49"/>
  <c r="M42" i="49"/>
  <c r="M43" i="49" s="1"/>
  <c r="L42" i="49"/>
  <c r="L43" i="49" s="1"/>
  <c r="J42" i="49"/>
  <c r="M37" i="49"/>
  <c r="L37" i="49"/>
  <c r="M36" i="49"/>
  <c r="L36" i="49"/>
  <c r="J36" i="49"/>
  <c r="J37" i="49" s="1"/>
  <c r="J44" i="49" s="1"/>
  <c r="J17" i="49"/>
  <c r="M16" i="49"/>
  <c r="M17" i="49" s="1"/>
  <c r="L16" i="49"/>
  <c r="L17" i="49" s="1"/>
  <c r="J16" i="49"/>
  <c r="J12" i="49"/>
  <c r="J18" i="49" s="1"/>
  <c r="M11" i="49"/>
  <c r="M12" i="49" s="1"/>
  <c r="L11" i="49"/>
  <c r="L12" i="49" s="1"/>
  <c r="L18" i="49" s="1"/>
  <c r="J11" i="49"/>
  <c r="N4" i="49"/>
  <c r="N28" i="49" s="1"/>
  <c r="M28" i="49" s="1"/>
  <c r="M29" i="49" s="1"/>
  <c r="M30" i="49" s="1"/>
  <c r="N3" i="49"/>
  <c r="N22" i="49" s="1"/>
  <c r="J81" i="48"/>
  <c r="M80" i="48"/>
  <c r="M81" i="48" s="1"/>
  <c r="L80" i="48"/>
  <c r="L81" i="48" s="1"/>
  <c r="J80" i="48"/>
  <c r="M68" i="48"/>
  <c r="M69" i="48" s="1"/>
  <c r="M82" i="48" s="1"/>
  <c r="L68" i="48"/>
  <c r="L69" i="48" s="1"/>
  <c r="L82" i="48" s="1"/>
  <c r="J68" i="48"/>
  <c r="J69" i="48" s="1"/>
  <c r="J82" i="48" s="1"/>
  <c r="L56" i="48"/>
  <c r="L57" i="48" s="1"/>
  <c r="J56" i="48"/>
  <c r="M55" i="48"/>
  <c r="M56" i="48" s="1"/>
  <c r="L55" i="48"/>
  <c r="J55" i="48"/>
  <c r="M50" i="48"/>
  <c r="M57" i="48" s="1"/>
  <c r="L50" i="48"/>
  <c r="M49" i="48"/>
  <c r="L49" i="48"/>
  <c r="J49" i="48"/>
  <c r="J50" i="48" s="1"/>
  <c r="J57" i="48" s="1"/>
  <c r="M43" i="48"/>
  <c r="M44" i="48" s="1"/>
  <c r="L43" i="48"/>
  <c r="M42" i="48"/>
  <c r="L42" i="48"/>
  <c r="J42" i="48"/>
  <c r="J43" i="48" s="1"/>
  <c r="M37" i="48"/>
  <c r="M36" i="48"/>
  <c r="L36" i="48"/>
  <c r="L37" i="48" s="1"/>
  <c r="L44" i="48" s="1"/>
  <c r="J36" i="48"/>
  <c r="J37" i="48" s="1"/>
  <c r="J44" i="48" s="1"/>
  <c r="M17" i="48"/>
  <c r="L17" i="48"/>
  <c r="M16" i="48"/>
  <c r="L16" i="48"/>
  <c r="J16" i="48"/>
  <c r="J17" i="48" s="1"/>
  <c r="M12" i="48"/>
  <c r="M18" i="48" s="1"/>
  <c r="L12" i="48"/>
  <c r="L18" i="48" s="1"/>
  <c r="M11" i="48"/>
  <c r="L11" i="48"/>
  <c r="J11" i="48"/>
  <c r="J12" i="48" s="1"/>
  <c r="N4" i="48"/>
  <c r="N28" i="48" s="1"/>
  <c r="N3" i="48"/>
  <c r="N22" i="48" s="1"/>
  <c r="J81" i="47"/>
  <c r="M80" i="47"/>
  <c r="M81" i="47" s="1"/>
  <c r="L80" i="47"/>
  <c r="L81" i="47" s="1"/>
  <c r="J80" i="47"/>
  <c r="M68" i="47"/>
  <c r="M69" i="47" s="1"/>
  <c r="M82" i="47" s="1"/>
  <c r="L68" i="47"/>
  <c r="L69" i="47" s="1"/>
  <c r="J68" i="47"/>
  <c r="J69" i="47" s="1"/>
  <c r="J82" i="47" s="1"/>
  <c r="J56" i="47"/>
  <c r="M55" i="47"/>
  <c r="M56" i="47" s="1"/>
  <c r="M57" i="47" s="1"/>
  <c r="L55" i="47"/>
  <c r="L56" i="47" s="1"/>
  <c r="J55" i="47"/>
  <c r="M50" i="47"/>
  <c r="L50" i="47"/>
  <c r="L57" i="47" s="1"/>
  <c r="M49" i="47"/>
  <c r="L49" i="47"/>
  <c r="J49" i="47"/>
  <c r="J50" i="47" s="1"/>
  <c r="J57" i="47" s="1"/>
  <c r="L43" i="47"/>
  <c r="J43" i="47"/>
  <c r="M42" i="47"/>
  <c r="M43" i="47" s="1"/>
  <c r="L42" i="47"/>
  <c r="J42" i="47"/>
  <c r="M37" i="47"/>
  <c r="L37" i="47"/>
  <c r="L44" i="47" s="1"/>
  <c r="M36" i="47"/>
  <c r="L36" i="47"/>
  <c r="J36" i="47"/>
  <c r="J37" i="47" s="1"/>
  <c r="J44" i="47" s="1"/>
  <c r="L17" i="47"/>
  <c r="J17" i="47"/>
  <c r="M16" i="47"/>
  <c r="M17" i="47" s="1"/>
  <c r="L16" i="47"/>
  <c r="J16" i="47"/>
  <c r="L12" i="47"/>
  <c r="L18" i="47" s="1"/>
  <c r="J12" i="47"/>
  <c r="J18" i="47" s="1"/>
  <c r="M11" i="47"/>
  <c r="M12" i="47" s="1"/>
  <c r="M18" i="47" s="1"/>
  <c r="L11" i="47"/>
  <c r="J11" i="47"/>
  <c r="N4" i="47"/>
  <c r="N28" i="47" s="1"/>
  <c r="M28" i="47" s="1"/>
  <c r="M29" i="47" s="1"/>
  <c r="M30" i="47" s="1"/>
  <c r="N3" i="47"/>
  <c r="N22" i="47" s="1"/>
  <c r="J81" i="46"/>
  <c r="M80" i="46"/>
  <c r="M81" i="46" s="1"/>
  <c r="L80" i="46"/>
  <c r="L81" i="46" s="1"/>
  <c r="J80" i="46"/>
  <c r="L69" i="46"/>
  <c r="M68" i="46"/>
  <c r="M69" i="46" s="1"/>
  <c r="L68" i="46"/>
  <c r="J68" i="46"/>
  <c r="J69" i="46" s="1"/>
  <c r="J82" i="46" s="1"/>
  <c r="J56" i="46"/>
  <c r="M55" i="46"/>
  <c r="M56" i="46" s="1"/>
  <c r="L55" i="46"/>
  <c r="L56" i="46" s="1"/>
  <c r="L57" i="46" s="1"/>
  <c r="J55" i="46"/>
  <c r="M50" i="46"/>
  <c r="L50" i="46"/>
  <c r="M49" i="46"/>
  <c r="L49" i="46"/>
  <c r="J49" i="46"/>
  <c r="J50" i="46" s="1"/>
  <c r="J57" i="46" s="1"/>
  <c r="L43" i="46"/>
  <c r="L44" i="46" s="1"/>
  <c r="J43" i="46"/>
  <c r="M42" i="46"/>
  <c r="M43" i="46" s="1"/>
  <c r="M44" i="46" s="1"/>
  <c r="L42" i="46"/>
  <c r="J42" i="46"/>
  <c r="M37" i="46"/>
  <c r="L37" i="46"/>
  <c r="J37" i="46"/>
  <c r="J44" i="46" s="1"/>
  <c r="M36" i="46"/>
  <c r="L36" i="46"/>
  <c r="J36" i="46"/>
  <c r="J18" i="46"/>
  <c r="L17" i="46"/>
  <c r="J17" i="46"/>
  <c r="M16" i="46"/>
  <c r="M17" i="46" s="1"/>
  <c r="L16" i="46"/>
  <c r="J16" i="46"/>
  <c r="L12" i="46"/>
  <c r="L18" i="46" s="1"/>
  <c r="J12" i="46"/>
  <c r="M11" i="46"/>
  <c r="M12" i="46" s="1"/>
  <c r="L11" i="46"/>
  <c r="J11" i="46"/>
  <c r="N4" i="46"/>
  <c r="N28" i="46" s="1"/>
  <c r="N3" i="46"/>
  <c r="N22" i="46" s="1"/>
  <c r="M80" i="45"/>
  <c r="M81" i="45" s="1"/>
  <c r="L80" i="45"/>
  <c r="L81" i="45" s="1"/>
  <c r="J80" i="45"/>
  <c r="J81" i="45" s="1"/>
  <c r="M69" i="45"/>
  <c r="M82" i="45" s="1"/>
  <c r="M68" i="45"/>
  <c r="L68" i="45"/>
  <c r="L69" i="45" s="1"/>
  <c r="L82" i="45" s="1"/>
  <c r="J68" i="45"/>
  <c r="J69" i="45" s="1"/>
  <c r="J82" i="45" s="1"/>
  <c r="J56" i="45"/>
  <c r="M55" i="45"/>
  <c r="M56" i="45" s="1"/>
  <c r="L55" i="45"/>
  <c r="L56" i="45" s="1"/>
  <c r="J55" i="45"/>
  <c r="L50" i="45"/>
  <c r="J50" i="45"/>
  <c r="J57" i="45" s="1"/>
  <c r="M49" i="45"/>
  <c r="M50" i="45" s="1"/>
  <c r="M57" i="45" s="1"/>
  <c r="L49" i="45"/>
  <c r="J49" i="45"/>
  <c r="M42" i="45"/>
  <c r="M43" i="45" s="1"/>
  <c r="L42" i="45"/>
  <c r="L43" i="45" s="1"/>
  <c r="J42" i="45"/>
  <c r="J43" i="45" s="1"/>
  <c r="M37" i="45"/>
  <c r="M44" i="45" s="1"/>
  <c r="M36" i="45"/>
  <c r="L36" i="45"/>
  <c r="L37" i="45" s="1"/>
  <c r="L44" i="45" s="1"/>
  <c r="J36" i="45"/>
  <c r="J37" i="45" s="1"/>
  <c r="J44" i="45" s="1"/>
  <c r="M16" i="45"/>
  <c r="M17" i="45" s="1"/>
  <c r="L16" i="45"/>
  <c r="L17" i="45" s="1"/>
  <c r="J16" i="45"/>
  <c r="J17" i="45" s="1"/>
  <c r="M11" i="45"/>
  <c r="M12" i="45" s="1"/>
  <c r="M18" i="45" s="1"/>
  <c r="L11" i="45"/>
  <c r="L12" i="45" s="1"/>
  <c r="L18" i="45" s="1"/>
  <c r="J11" i="45"/>
  <c r="J12" i="45" s="1"/>
  <c r="J18" i="45" s="1"/>
  <c r="N4" i="45"/>
  <c r="N28" i="45" s="1"/>
  <c r="M28" i="45" s="1"/>
  <c r="M29" i="45" s="1"/>
  <c r="M30" i="45" s="1"/>
  <c r="N3" i="45"/>
  <c r="N22" i="45" s="1"/>
  <c r="L81" i="44"/>
  <c r="J81" i="44"/>
  <c r="M80" i="44"/>
  <c r="M81" i="44" s="1"/>
  <c r="L80" i="44"/>
  <c r="J80" i="44"/>
  <c r="J69" i="44"/>
  <c r="J82" i="44" s="1"/>
  <c r="M68" i="44"/>
  <c r="M69" i="44" s="1"/>
  <c r="M82" i="44" s="1"/>
  <c r="L68" i="44"/>
  <c r="L69" i="44" s="1"/>
  <c r="L82" i="44" s="1"/>
  <c r="J68" i="44"/>
  <c r="M57" i="44"/>
  <c r="M56" i="44"/>
  <c r="J56" i="44"/>
  <c r="M55" i="44"/>
  <c r="L55" i="44"/>
  <c r="L56" i="44" s="1"/>
  <c r="J55" i="44"/>
  <c r="M50" i="44"/>
  <c r="L50" i="44"/>
  <c r="M49" i="44"/>
  <c r="L49" i="44"/>
  <c r="J49" i="44"/>
  <c r="J50" i="44" s="1"/>
  <c r="J57" i="44" s="1"/>
  <c r="L43" i="44"/>
  <c r="J43" i="44"/>
  <c r="M42" i="44"/>
  <c r="M43" i="44" s="1"/>
  <c r="L42" i="44"/>
  <c r="J42" i="44"/>
  <c r="M37" i="44"/>
  <c r="L37" i="44"/>
  <c r="L44" i="44" s="1"/>
  <c r="M36" i="44"/>
  <c r="L36" i="44"/>
  <c r="J36" i="44"/>
  <c r="J37" i="44" s="1"/>
  <c r="J44" i="44" s="1"/>
  <c r="L17" i="44"/>
  <c r="M16" i="44"/>
  <c r="M17" i="44" s="1"/>
  <c r="L16" i="44"/>
  <c r="J16" i="44"/>
  <c r="J17" i="44" s="1"/>
  <c r="L12" i="44"/>
  <c r="L18" i="44" s="1"/>
  <c r="M11" i="44"/>
  <c r="M12" i="44" s="1"/>
  <c r="M18" i="44" s="1"/>
  <c r="L11" i="44"/>
  <c r="J11" i="44"/>
  <c r="J12" i="44" s="1"/>
  <c r="J18" i="44" s="1"/>
  <c r="N4" i="44"/>
  <c r="N28" i="44" s="1"/>
  <c r="M28" i="44" s="1"/>
  <c r="M29" i="44" s="1"/>
  <c r="M30" i="44" s="1"/>
  <c r="N3" i="44"/>
  <c r="N22" i="44" s="1"/>
  <c r="J81" i="43"/>
  <c r="M80" i="43"/>
  <c r="M81" i="43" s="1"/>
  <c r="L80" i="43"/>
  <c r="L81" i="43" s="1"/>
  <c r="J80" i="43"/>
  <c r="L69" i="43"/>
  <c r="M68" i="43"/>
  <c r="M69" i="43" s="1"/>
  <c r="L68" i="43"/>
  <c r="J68" i="43"/>
  <c r="J69" i="43" s="1"/>
  <c r="J82" i="43" s="1"/>
  <c r="M55" i="43"/>
  <c r="M56" i="43" s="1"/>
  <c r="L55" i="43"/>
  <c r="L56" i="43" s="1"/>
  <c r="J55" i="43"/>
  <c r="J56" i="43" s="1"/>
  <c r="M50" i="43"/>
  <c r="M49" i="43"/>
  <c r="L49" i="43"/>
  <c r="L50" i="43" s="1"/>
  <c r="J49" i="43"/>
  <c r="J50" i="43" s="1"/>
  <c r="J57" i="43" s="1"/>
  <c r="L43" i="43"/>
  <c r="M42" i="43"/>
  <c r="M43" i="43" s="1"/>
  <c r="L42" i="43"/>
  <c r="J42" i="43"/>
  <c r="J43" i="43" s="1"/>
  <c r="J37" i="43"/>
  <c r="M36" i="43"/>
  <c r="M37" i="43" s="1"/>
  <c r="L36" i="43"/>
  <c r="L37" i="43" s="1"/>
  <c r="L44" i="43" s="1"/>
  <c r="J36" i="43"/>
  <c r="L17" i="43"/>
  <c r="M16" i="43"/>
  <c r="M17" i="43" s="1"/>
  <c r="L16" i="43"/>
  <c r="J16" i="43"/>
  <c r="J17" i="43" s="1"/>
  <c r="L12" i="43"/>
  <c r="L18" i="43" s="1"/>
  <c r="M11" i="43"/>
  <c r="M12" i="43" s="1"/>
  <c r="L11" i="43"/>
  <c r="J11" i="43"/>
  <c r="J12" i="43" s="1"/>
  <c r="J18" i="43" s="1"/>
  <c r="N4" i="43"/>
  <c r="N28" i="43" s="1"/>
  <c r="N3" i="43"/>
  <c r="N22" i="43" s="1"/>
  <c r="J81" i="42"/>
  <c r="M80" i="42"/>
  <c r="M81" i="42" s="1"/>
  <c r="L80" i="42"/>
  <c r="L81" i="42" s="1"/>
  <c r="J80" i="42"/>
  <c r="M68" i="42"/>
  <c r="M69" i="42" s="1"/>
  <c r="M82" i="42" s="1"/>
  <c r="L68" i="42"/>
  <c r="L69" i="42" s="1"/>
  <c r="L82" i="42" s="1"/>
  <c r="J68" i="42"/>
  <c r="J69" i="42" s="1"/>
  <c r="J82" i="42" s="1"/>
  <c r="J56" i="42"/>
  <c r="M55" i="42"/>
  <c r="M56" i="42" s="1"/>
  <c r="M57" i="42" s="1"/>
  <c r="L55" i="42"/>
  <c r="L56" i="42" s="1"/>
  <c r="J55" i="42"/>
  <c r="M50" i="42"/>
  <c r="L50" i="42"/>
  <c r="L57" i="42" s="1"/>
  <c r="M49" i="42"/>
  <c r="L49" i="42"/>
  <c r="J49" i="42"/>
  <c r="J50" i="42" s="1"/>
  <c r="J57" i="42" s="1"/>
  <c r="L43" i="42"/>
  <c r="J43" i="42"/>
  <c r="M42" i="42"/>
  <c r="M43" i="42" s="1"/>
  <c r="L42" i="42"/>
  <c r="J42" i="42"/>
  <c r="M37" i="42"/>
  <c r="M44" i="42" s="1"/>
  <c r="L37" i="42"/>
  <c r="L44" i="42" s="1"/>
  <c r="M36" i="42"/>
  <c r="L36" i="42"/>
  <c r="J36" i="42"/>
  <c r="J37" i="42" s="1"/>
  <c r="J44" i="42" s="1"/>
  <c r="L17" i="42"/>
  <c r="J17" i="42"/>
  <c r="M16" i="42"/>
  <c r="M17" i="42" s="1"/>
  <c r="L16" i="42"/>
  <c r="J16" i="42"/>
  <c r="L12" i="42"/>
  <c r="L18" i="42" s="1"/>
  <c r="J12" i="42"/>
  <c r="J18" i="42" s="1"/>
  <c r="M11" i="42"/>
  <c r="M12" i="42" s="1"/>
  <c r="L11" i="42"/>
  <c r="J11" i="42"/>
  <c r="N4" i="42"/>
  <c r="N28" i="42" s="1"/>
  <c r="M28" i="42" s="1"/>
  <c r="M29" i="42" s="1"/>
  <c r="M30" i="42" s="1"/>
  <c r="N3" i="42"/>
  <c r="N22" i="42" s="1"/>
  <c r="M80" i="41"/>
  <c r="M81" i="41" s="1"/>
  <c r="L80" i="41"/>
  <c r="L81" i="41" s="1"/>
  <c r="J80" i="41"/>
  <c r="J81" i="41" s="1"/>
  <c r="M69" i="41"/>
  <c r="M68" i="41"/>
  <c r="L68" i="41"/>
  <c r="L69" i="41" s="1"/>
  <c r="J68" i="41"/>
  <c r="J69" i="41" s="1"/>
  <c r="J56" i="41"/>
  <c r="M55" i="41"/>
  <c r="M56" i="41" s="1"/>
  <c r="L55" i="41"/>
  <c r="L56" i="41" s="1"/>
  <c r="J55" i="41"/>
  <c r="L50" i="41"/>
  <c r="J50" i="41"/>
  <c r="J57" i="41" s="1"/>
  <c r="M49" i="41"/>
  <c r="M50" i="41" s="1"/>
  <c r="M57" i="41" s="1"/>
  <c r="L49" i="41"/>
  <c r="J49" i="41"/>
  <c r="J43" i="41"/>
  <c r="M42" i="41"/>
  <c r="M43" i="41" s="1"/>
  <c r="L42" i="41"/>
  <c r="L43" i="41" s="1"/>
  <c r="L44" i="41" s="1"/>
  <c r="J42" i="41"/>
  <c r="M37" i="41"/>
  <c r="L37" i="41"/>
  <c r="M36" i="41"/>
  <c r="L36" i="41"/>
  <c r="J36" i="41"/>
  <c r="J37" i="41" s="1"/>
  <c r="J44" i="41" s="1"/>
  <c r="M16" i="41"/>
  <c r="M17" i="41" s="1"/>
  <c r="L16" i="41"/>
  <c r="L17" i="41" s="1"/>
  <c r="J16" i="41"/>
  <c r="J17" i="41" s="1"/>
  <c r="M11" i="41"/>
  <c r="M12" i="41" s="1"/>
  <c r="L11" i="41"/>
  <c r="L12" i="41" s="1"/>
  <c r="L18" i="41" s="1"/>
  <c r="J11" i="41"/>
  <c r="J12" i="41" s="1"/>
  <c r="J18" i="41" s="1"/>
  <c r="N4" i="41"/>
  <c r="N28" i="41" s="1"/>
  <c r="M28" i="41" s="1"/>
  <c r="M29" i="41" s="1"/>
  <c r="M30" i="41" s="1"/>
  <c r="N3" i="41"/>
  <c r="N22" i="41" s="1"/>
  <c r="J81" i="40"/>
  <c r="M80" i="40"/>
  <c r="M81" i="40" s="1"/>
  <c r="L80" i="40"/>
  <c r="L81" i="40" s="1"/>
  <c r="J80" i="40"/>
  <c r="M68" i="40"/>
  <c r="M69" i="40" s="1"/>
  <c r="L68" i="40"/>
  <c r="L69" i="40" s="1"/>
  <c r="J68" i="40"/>
  <c r="J69" i="40" s="1"/>
  <c r="J82" i="40" s="1"/>
  <c r="L56" i="40"/>
  <c r="M55" i="40"/>
  <c r="M56" i="40" s="1"/>
  <c r="L55" i="40"/>
  <c r="J55" i="40"/>
  <c r="J56" i="40" s="1"/>
  <c r="M50" i="40"/>
  <c r="M49" i="40"/>
  <c r="L49" i="40"/>
  <c r="L50" i="40" s="1"/>
  <c r="L57" i="40" s="1"/>
  <c r="J49" i="40"/>
  <c r="J50" i="40" s="1"/>
  <c r="J57" i="40" s="1"/>
  <c r="M43" i="40"/>
  <c r="L43" i="40"/>
  <c r="M42" i="40"/>
  <c r="L42" i="40"/>
  <c r="J42" i="40"/>
  <c r="J43" i="40" s="1"/>
  <c r="J37" i="40"/>
  <c r="M36" i="40"/>
  <c r="M37" i="40" s="1"/>
  <c r="M44" i="40" s="1"/>
  <c r="L36" i="40"/>
  <c r="L37" i="40" s="1"/>
  <c r="L44" i="40" s="1"/>
  <c r="J36" i="40"/>
  <c r="M17" i="40"/>
  <c r="L17" i="40"/>
  <c r="M16" i="40"/>
  <c r="L16" i="40"/>
  <c r="J16" i="40"/>
  <c r="J17" i="40" s="1"/>
  <c r="M12" i="40"/>
  <c r="M18" i="40" s="1"/>
  <c r="L12" i="40"/>
  <c r="L18" i="40" s="1"/>
  <c r="M11" i="40"/>
  <c r="L11" i="40"/>
  <c r="J11" i="40"/>
  <c r="J12" i="40" s="1"/>
  <c r="J18" i="40" s="1"/>
  <c r="N4" i="40"/>
  <c r="N28" i="40" s="1"/>
  <c r="N3" i="40"/>
  <c r="N22" i="40" s="1"/>
  <c r="M80" i="39"/>
  <c r="M81" i="39" s="1"/>
  <c r="L80" i="39"/>
  <c r="L81" i="39" s="1"/>
  <c r="J80" i="39"/>
  <c r="J81" i="39" s="1"/>
  <c r="M69" i="39"/>
  <c r="M82" i="39" s="1"/>
  <c r="M68" i="39"/>
  <c r="L68" i="39"/>
  <c r="L69" i="39" s="1"/>
  <c r="J68" i="39"/>
  <c r="J69" i="39" s="1"/>
  <c r="J82" i="39" s="1"/>
  <c r="J56" i="39"/>
  <c r="M55" i="39"/>
  <c r="M56" i="39" s="1"/>
  <c r="L55" i="39"/>
  <c r="L56" i="39" s="1"/>
  <c r="J55" i="39"/>
  <c r="L50" i="39"/>
  <c r="J50" i="39"/>
  <c r="J57" i="39" s="1"/>
  <c r="M49" i="39"/>
  <c r="M50" i="39" s="1"/>
  <c r="M57" i="39" s="1"/>
  <c r="L49" i="39"/>
  <c r="J49" i="39"/>
  <c r="J43" i="39"/>
  <c r="M42" i="39"/>
  <c r="M43" i="39" s="1"/>
  <c r="L42" i="39"/>
  <c r="L43" i="39" s="1"/>
  <c r="L44" i="39" s="1"/>
  <c r="J42" i="39"/>
  <c r="M37" i="39"/>
  <c r="L37" i="39"/>
  <c r="M36" i="39"/>
  <c r="L36" i="39"/>
  <c r="J36" i="39"/>
  <c r="J37" i="39" s="1"/>
  <c r="J44" i="39" s="1"/>
  <c r="M16" i="39"/>
  <c r="M17" i="39" s="1"/>
  <c r="L16" i="39"/>
  <c r="L17" i="39" s="1"/>
  <c r="J16" i="39"/>
  <c r="J17" i="39" s="1"/>
  <c r="M11" i="39"/>
  <c r="M12" i="39" s="1"/>
  <c r="M18" i="39" s="1"/>
  <c r="L11" i="39"/>
  <c r="L12" i="39" s="1"/>
  <c r="J11" i="39"/>
  <c r="J12" i="39" s="1"/>
  <c r="J18" i="39" s="1"/>
  <c r="N4" i="39"/>
  <c r="N28" i="39" s="1"/>
  <c r="M28" i="39" s="1"/>
  <c r="M29" i="39" s="1"/>
  <c r="M30" i="39" s="1"/>
  <c r="N3" i="39"/>
  <c r="N22" i="39" s="1"/>
  <c r="J81" i="38"/>
  <c r="M80" i="38"/>
  <c r="M81" i="38" s="1"/>
  <c r="L80" i="38"/>
  <c r="L81" i="38" s="1"/>
  <c r="J80" i="38"/>
  <c r="M68" i="38"/>
  <c r="M69" i="38" s="1"/>
  <c r="L68" i="38"/>
  <c r="L69" i="38" s="1"/>
  <c r="J68" i="38"/>
  <c r="J69" i="38" s="1"/>
  <c r="J82" i="38" s="1"/>
  <c r="L56" i="38"/>
  <c r="L57" i="38" s="1"/>
  <c r="J56" i="38"/>
  <c r="M55" i="38"/>
  <c r="M56" i="38" s="1"/>
  <c r="L55" i="38"/>
  <c r="J55" i="38"/>
  <c r="M50" i="38"/>
  <c r="L50" i="38"/>
  <c r="M49" i="38"/>
  <c r="L49" i="38"/>
  <c r="J49" i="38"/>
  <c r="J50" i="38" s="1"/>
  <c r="J57" i="38" s="1"/>
  <c r="M43" i="38"/>
  <c r="M44" i="38" s="1"/>
  <c r="L43" i="38"/>
  <c r="M42" i="38"/>
  <c r="L42" i="38"/>
  <c r="J42" i="38"/>
  <c r="J43" i="38" s="1"/>
  <c r="M37" i="38"/>
  <c r="M36" i="38"/>
  <c r="L36" i="38"/>
  <c r="L37" i="38" s="1"/>
  <c r="L44" i="38" s="1"/>
  <c r="J36" i="38"/>
  <c r="J37" i="38" s="1"/>
  <c r="J44" i="38" s="1"/>
  <c r="M17" i="38"/>
  <c r="L17" i="38"/>
  <c r="M16" i="38"/>
  <c r="L16" i="38"/>
  <c r="J16" i="38"/>
  <c r="J17" i="38" s="1"/>
  <c r="M12" i="38"/>
  <c r="M18" i="38" s="1"/>
  <c r="L12" i="38"/>
  <c r="L18" i="38" s="1"/>
  <c r="M11" i="38"/>
  <c r="L11" i="38"/>
  <c r="J11" i="38"/>
  <c r="J12" i="38" s="1"/>
  <c r="N4" i="38"/>
  <c r="N28" i="38" s="1"/>
  <c r="N3" i="38"/>
  <c r="N22" i="38" s="1"/>
  <c r="J81" i="37"/>
  <c r="M80" i="37"/>
  <c r="M81" i="37" s="1"/>
  <c r="L80" i="37"/>
  <c r="L81" i="37" s="1"/>
  <c r="J80" i="37"/>
  <c r="M68" i="37"/>
  <c r="M69" i="37" s="1"/>
  <c r="M82" i="37" s="1"/>
  <c r="L68" i="37"/>
  <c r="L69" i="37" s="1"/>
  <c r="L82" i="37" s="1"/>
  <c r="J68" i="37"/>
  <c r="J69" i="37" s="1"/>
  <c r="J82" i="37" s="1"/>
  <c r="L56" i="37"/>
  <c r="M55" i="37"/>
  <c r="M56" i="37" s="1"/>
  <c r="L55" i="37"/>
  <c r="J55" i="37"/>
  <c r="J56" i="37" s="1"/>
  <c r="M50" i="37"/>
  <c r="M57" i="37" s="1"/>
  <c r="M49" i="37"/>
  <c r="L49" i="37"/>
  <c r="L50" i="37" s="1"/>
  <c r="L57" i="37" s="1"/>
  <c r="J49" i="37"/>
  <c r="J50" i="37" s="1"/>
  <c r="J57" i="37" s="1"/>
  <c r="M43" i="37"/>
  <c r="L43" i="37"/>
  <c r="M42" i="37"/>
  <c r="L42" i="37"/>
  <c r="J42" i="37"/>
  <c r="J43" i="37" s="1"/>
  <c r="M36" i="37"/>
  <c r="M37" i="37" s="1"/>
  <c r="M44" i="37" s="1"/>
  <c r="L36" i="37"/>
  <c r="L37" i="37" s="1"/>
  <c r="L44" i="37" s="1"/>
  <c r="J36" i="37"/>
  <c r="J37" i="37" s="1"/>
  <c r="J44" i="37" s="1"/>
  <c r="M17" i="37"/>
  <c r="L17" i="37"/>
  <c r="M16" i="37"/>
  <c r="L16" i="37"/>
  <c r="J16" i="37"/>
  <c r="J17" i="37" s="1"/>
  <c r="M12" i="37"/>
  <c r="M18" i="37" s="1"/>
  <c r="L12" i="37"/>
  <c r="L18" i="37" s="1"/>
  <c r="M11" i="37"/>
  <c r="L11" i="37"/>
  <c r="J11" i="37"/>
  <c r="J12" i="37" s="1"/>
  <c r="N4" i="37"/>
  <c r="N28" i="37" s="1"/>
  <c r="N3" i="37"/>
  <c r="N22" i="37" s="1"/>
  <c r="M80" i="36"/>
  <c r="M81" i="36" s="1"/>
  <c r="L80" i="36"/>
  <c r="L81" i="36" s="1"/>
  <c r="J80" i="36"/>
  <c r="J81" i="36" s="1"/>
  <c r="M69" i="36"/>
  <c r="M68" i="36"/>
  <c r="L68" i="36"/>
  <c r="L69" i="36" s="1"/>
  <c r="L82" i="36" s="1"/>
  <c r="J68" i="36"/>
  <c r="J69" i="36" s="1"/>
  <c r="J82" i="36" s="1"/>
  <c r="J56" i="36"/>
  <c r="M55" i="36"/>
  <c r="M56" i="36" s="1"/>
  <c r="L55" i="36"/>
  <c r="L56" i="36" s="1"/>
  <c r="J55" i="36"/>
  <c r="L50" i="36"/>
  <c r="L57" i="36" s="1"/>
  <c r="J50" i="36"/>
  <c r="J57" i="36" s="1"/>
  <c r="M49" i="36"/>
  <c r="M50" i="36" s="1"/>
  <c r="L49" i="36"/>
  <c r="J49" i="36"/>
  <c r="J43" i="36"/>
  <c r="M42" i="36"/>
  <c r="M43" i="36" s="1"/>
  <c r="L42" i="36"/>
  <c r="L43" i="36" s="1"/>
  <c r="J42" i="36"/>
  <c r="M37" i="36"/>
  <c r="M44" i="36" s="1"/>
  <c r="L37" i="36"/>
  <c r="L44" i="36" s="1"/>
  <c r="M36" i="36"/>
  <c r="L36" i="36"/>
  <c r="J36" i="36"/>
  <c r="J37" i="36" s="1"/>
  <c r="J44" i="36" s="1"/>
  <c r="J17" i="36"/>
  <c r="M16" i="36"/>
  <c r="M17" i="36" s="1"/>
  <c r="L16" i="36"/>
  <c r="L17" i="36" s="1"/>
  <c r="J16" i="36"/>
  <c r="J12" i="36"/>
  <c r="J18" i="36" s="1"/>
  <c r="M11" i="36"/>
  <c r="M12" i="36" s="1"/>
  <c r="M18" i="36" s="1"/>
  <c r="L11" i="36"/>
  <c r="L12" i="36" s="1"/>
  <c r="L18" i="36" s="1"/>
  <c r="J11" i="36"/>
  <c r="N4" i="36"/>
  <c r="N28" i="36" s="1"/>
  <c r="M28" i="36" s="1"/>
  <c r="M29" i="36" s="1"/>
  <c r="M30" i="36" s="1"/>
  <c r="N3" i="36"/>
  <c r="N22" i="36" s="1"/>
  <c r="J81" i="35"/>
  <c r="M80" i="35"/>
  <c r="M81" i="35" s="1"/>
  <c r="L80" i="35"/>
  <c r="L81" i="35" s="1"/>
  <c r="J80" i="35"/>
  <c r="M68" i="35"/>
  <c r="M69" i="35" s="1"/>
  <c r="M82" i="35" s="1"/>
  <c r="L68" i="35"/>
  <c r="L69" i="35" s="1"/>
  <c r="J68" i="35"/>
  <c r="J69" i="35" s="1"/>
  <c r="J82" i="35" s="1"/>
  <c r="J56" i="35"/>
  <c r="M55" i="35"/>
  <c r="M56" i="35" s="1"/>
  <c r="M57" i="35" s="1"/>
  <c r="L55" i="35"/>
  <c r="L56" i="35" s="1"/>
  <c r="J55" i="35"/>
  <c r="M50" i="35"/>
  <c r="L50" i="35"/>
  <c r="L57" i="35" s="1"/>
  <c r="M49" i="35"/>
  <c r="L49" i="35"/>
  <c r="J49" i="35"/>
  <c r="J50" i="35" s="1"/>
  <c r="J57" i="35" s="1"/>
  <c r="L43" i="35"/>
  <c r="J43" i="35"/>
  <c r="M42" i="35"/>
  <c r="M43" i="35" s="1"/>
  <c r="L42" i="35"/>
  <c r="J42" i="35"/>
  <c r="M37" i="35"/>
  <c r="L37" i="35"/>
  <c r="L44" i="35" s="1"/>
  <c r="M36" i="35"/>
  <c r="L36" i="35"/>
  <c r="J36" i="35"/>
  <c r="J37" i="35" s="1"/>
  <c r="J44" i="35" s="1"/>
  <c r="L17" i="35"/>
  <c r="J17" i="35"/>
  <c r="M16" i="35"/>
  <c r="M17" i="35" s="1"/>
  <c r="L16" i="35"/>
  <c r="J16" i="35"/>
  <c r="L12" i="35"/>
  <c r="L18" i="35" s="1"/>
  <c r="J12" i="35"/>
  <c r="J18" i="35" s="1"/>
  <c r="M11" i="35"/>
  <c r="M12" i="35" s="1"/>
  <c r="M18" i="35" s="1"/>
  <c r="L11" i="35"/>
  <c r="J11" i="35"/>
  <c r="N4" i="35"/>
  <c r="N28" i="35" s="1"/>
  <c r="M28" i="35" s="1"/>
  <c r="M29" i="35" s="1"/>
  <c r="M30" i="35" s="1"/>
  <c r="N3" i="35"/>
  <c r="N22" i="35" s="1"/>
  <c r="J81" i="34"/>
  <c r="M80" i="34"/>
  <c r="M81" i="34" s="1"/>
  <c r="L80" i="34"/>
  <c r="L81" i="34" s="1"/>
  <c r="J80" i="34"/>
  <c r="M68" i="34"/>
  <c r="M69" i="34" s="1"/>
  <c r="M82" i="34" s="1"/>
  <c r="L68" i="34"/>
  <c r="L69" i="34" s="1"/>
  <c r="L82" i="34" s="1"/>
  <c r="J68" i="34"/>
  <c r="J69" i="34" s="1"/>
  <c r="J82" i="34" s="1"/>
  <c r="L56" i="34"/>
  <c r="L57" i="34" s="1"/>
  <c r="J56" i="34"/>
  <c r="M55" i="34"/>
  <c r="M56" i="34" s="1"/>
  <c r="L55" i="34"/>
  <c r="J55" i="34"/>
  <c r="M50" i="34"/>
  <c r="M57" i="34" s="1"/>
  <c r="L50" i="34"/>
  <c r="M49" i="34"/>
  <c r="L49" i="34"/>
  <c r="J49" i="34"/>
  <c r="J50" i="34" s="1"/>
  <c r="J57" i="34" s="1"/>
  <c r="M43" i="34"/>
  <c r="L43" i="34"/>
  <c r="M42" i="34"/>
  <c r="L42" i="34"/>
  <c r="J42" i="34"/>
  <c r="J43" i="34" s="1"/>
  <c r="M36" i="34"/>
  <c r="M37" i="34" s="1"/>
  <c r="M44" i="34" s="1"/>
  <c r="L36" i="34"/>
  <c r="L37" i="34" s="1"/>
  <c r="L44" i="34" s="1"/>
  <c r="J36" i="34"/>
  <c r="J37" i="34" s="1"/>
  <c r="M17" i="34"/>
  <c r="L17" i="34"/>
  <c r="M16" i="34"/>
  <c r="L16" i="34"/>
  <c r="J16" i="34"/>
  <c r="J17" i="34" s="1"/>
  <c r="M12" i="34"/>
  <c r="M18" i="34" s="1"/>
  <c r="L12" i="34"/>
  <c r="L18" i="34" s="1"/>
  <c r="M11" i="34"/>
  <c r="L11" i="34"/>
  <c r="J11" i="34"/>
  <c r="J12" i="34" s="1"/>
  <c r="N4" i="34"/>
  <c r="N28" i="34" s="1"/>
  <c r="N3" i="34"/>
  <c r="N22" i="34" s="1"/>
  <c r="M81" i="33"/>
  <c r="M80" i="33"/>
  <c r="L80" i="33"/>
  <c r="L81" i="33" s="1"/>
  <c r="J80" i="33"/>
  <c r="J81" i="33" s="1"/>
  <c r="M69" i="33"/>
  <c r="M82" i="33" s="1"/>
  <c r="M68" i="33"/>
  <c r="L68" i="33"/>
  <c r="L69" i="33" s="1"/>
  <c r="L82" i="33" s="1"/>
  <c r="J68" i="33"/>
  <c r="J69" i="33" s="1"/>
  <c r="J82" i="33" s="1"/>
  <c r="J56" i="33"/>
  <c r="M55" i="33"/>
  <c r="M56" i="33" s="1"/>
  <c r="L55" i="33"/>
  <c r="L56" i="33" s="1"/>
  <c r="J55" i="33"/>
  <c r="L50" i="33"/>
  <c r="L57" i="33" s="1"/>
  <c r="J50" i="33"/>
  <c r="J57" i="33" s="1"/>
  <c r="M49" i="33"/>
  <c r="M50" i="33" s="1"/>
  <c r="M57" i="33" s="1"/>
  <c r="L49" i="33"/>
  <c r="J49" i="33"/>
  <c r="M42" i="33"/>
  <c r="M43" i="33" s="1"/>
  <c r="L42" i="33"/>
  <c r="L43" i="33" s="1"/>
  <c r="J42" i="33"/>
  <c r="J43" i="33" s="1"/>
  <c r="M37" i="33"/>
  <c r="M44" i="33" s="1"/>
  <c r="M36" i="33"/>
  <c r="L36" i="33"/>
  <c r="L37" i="33" s="1"/>
  <c r="L44" i="33" s="1"/>
  <c r="J36" i="33"/>
  <c r="J37" i="33" s="1"/>
  <c r="J44" i="33" s="1"/>
  <c r="M16" i="33"/>
  <c r="M17" i="33" s="1"/>
  <c r="L16" i="33"/>
  <c r="L17" i="33" s="1"/>
  <c r="J16" i="33"/>
  <c r="J17" i="33" s="1"/>
  <c r="M11" i="33"/>
  <c r="M12" i="33" s="1"/>
  <c r="M18" i="33" s="1"/>
  <c r="L11" i="33"/>
  <c r="L12" i="33" s="1"/>
  <c r="L18" i="33" s="1"/>
  <c r="J11" i="33"/>
  <c r="J12" i="33" s="1"/>
  <c r="J18" i="33" s="1"/>
  <c r="N4" i="33"/>
  <c r="N28" i="33" s="1"/>
  <c r="M28" i="33" s="1"/>
  <c r="M29" i="33" s="1"/>
  <c r="M30" i="33" s="1"/>
  <c r="N3" i="33"/>
  <c r="N22" i="33" s="1"/>
  <c r="J81" i="32"/>
  <c r="M80" i="32"/>
  <c r="M81" i="32" s="1"/>
  <c r="L80" i="32"/>
  <c r="L81" i="32" s="1"/>
  <c r="J80" i="32"/>
  <c r="L69" i="32"/>
  <c r="L82" i="32" s="1"/>
  <c r="M68" i="32"/>
  <c r="M69" i="32" s="1"/>
  <c r="L68" i="32"/>
  <c r="J68" i="32"/>
  <c r="J69" i="32" s="1"/>
  <c r="J82" i="32" s="1"/>
  <c r="J56" i="32"/>
  <c r="M55" i="32"/>
  <c r="M56" i="32" s="1"/>
  <c r="L55" i="32"/>
  <c r="L56" i="32" s="1"/>
  <c r="J55" i="32"/>
  <c r="M50" i="32"/>
  <c r="L50" i="32"/>
  <c r="L57" i="32" s="1"/>
  <c r="M49" i="32"/>
  <c r="L49" i="32"/>
  <c r="J49" i="32"/>
  <c r="J50" i="32" s="1"/>
  <c r="J57" i="32" s="1"/>
  <c r="L43" i="32"/>
  <c r="L44" i="32" s="1"/>
  <c r="J43" i="32"/>
  <c r="M42" i="32"/>
  <c r="M43" i="32" s="1"/>
  <c r="L42" i="32"/>
  <c r="J42" i="32"/>
  <c r="M37" i="32"/>
  <c r="L37" i="32"/>
  <c r="J37" i="32"/>
  <c r="J44" i="32" s="1"/>
  <c r="M36" i="32"/>
  <c r="L36" i="32"/>
  <c r="J36" i="32"/>
  <c r="L17" i="32"/>
  <c r="J17" i="32"/>
  <c r="M16" i="32"/>
  <c r="M17" i="32" s="1"/>
  <c r="L16" i="32"/>
  <c r="J16" i="32"/>
  <c r="L12" i="32"/>
  <c r="L18" i="32" s="1"/>
  <c r="M11" i="32"/>
  <c r="M12" i="32" s="1"/>
  <c r="L11" i="32"/>
  <c r="J11" i="32"/>
  <c r="J12" i="32" s="1"/>
  <c r="J18" i="32" s="1"/>
  <c r="N4" i="32"/>
  <c r="N28" i="32" s="1"/>
  <c r="N3" i="32"/>
  <c r="N22" i="32" s="1"/>
  <c r="J81" i="31"/>
  <c r="M80" i="31"/>
  <c r="M81" i="31" s="1"/>
  <c r="L80" i="31"/>
  <c r="L81" i="31" s="1"/>
  <c r="J80" i="31"/>
  <c r="M68" i="31"/>
  <c r="M69" i="31" s="1"/>
  <c r="L68" i="31"/>
  <c r="L69" i="31" s="1"/>
  <c r="L82" i="31" s="1"/>
  <c r="J68" i="31"/>
  <c r="J69" i="31" s="1"/>
  <c r="J82" i="31" s="1"/>
  <c r="L56" i="31"/>
  <c r="L57" i="31" s="1"/>
  <c r="J56" i="31"/>
  <c r="M55" i="31"/>
  <c r="M56" i="31" s="1"/>
  <c r="L55" i="31"/>
  <c r="J55" i="31"/>
  <c r="M50" i="31"/>
  <c r="L50" i="31"/>
  <c r="M49" i="31"/>
  <c r="L49" i="31"/>
  <c r="J49" i="31"/>
  <c r="J50" i="31" s="1"/>
  <c r="J57" i="31" s="1"/>
  <c r="M43" i="31"/>
  <c r="M44" i="31" s="1"/>
  <c r="L43" i="31"/>
  <c r="M42" i="31"/>
  <c r="L42" i="31"/>
  <c r="J42" i="31"/>
  <c r="J43" i="31" s="1"/>
  <c r="M37" i="31"/>
  <c r="M36" i="31"/>
  <c r="L36" i="31"/>
  <c r="L37" i="31" s="1"/>
  <c r="L44" i="31" s="1"/>
  <c r="J36" i="31"/>
  <c r="J37" i="31" s="1"/>
  <c r="J44" i="31" s="1"/>
  <c r="M17" i="31"/>
  <c r="L17" i="31"/>
  <c r="M16" i="31"/>
  <c r="L16" i="31"/>
  <c r="J16" i="31"/>
  <c r="J17" i="31" s="1"/>
  <c r="M12" i="31"/>
  <c r="M18" i="31" s="1"/>
  <c r="L12" i="31"/>
  <c r="L18" i="31" s="1"/>
  <c r="M11" i="31"/>
  <c r="L11" i="31"/>
  <c r="J11" i="31"/>
  <c r="J12" i="31" s="1"/>
  <c r="J18" i="31" s="1"/>
  <c r="N4" i="31"/>
  <c r="N28" i="31" s="1"/>
  <c r="N3" i="31"/>
  <c r="N22" i="31" s="1"/>
  <c r="J81" i="30"/>
  <c r="M80" i="30"/>
  <c r="M81" i="30" s="1"/>
  <c r="L80" i="30"/>
  <c r="L81" i="30" s="1"/>
  <c r="J80" i="30"/>
  <c r="M68" i="30"/>
  <c r="M69" i="30" s="1"/>
  <c r="L68" i="30"/>
  <c r="L69" i="30" s="1"/>
  <c r="L82" i="30" s="1"/>
  <c r="J68" i="30"/>
  <c r="J69" i="30" s="1"/>
  <c r="J82" i="30" s="1"/>
  <c r="L56" i="30"/>
  <c r="M55" i="30"/>
  <c r="M56" i="30" s="1"/>
  <c r="L55" i="30"/>
  <c r="J55" i="30"/>
  <c r="J56" i="30" s="1"/>
  <c r="M50" i="30"/>
  <c r="M49" i="30"/>
  <c r="L49" i="30"/>
  <c r="L50" i="30" s="1"/>
  <c r="L57" i="30" s="1"/>
  <c r="J49" i="30"/>
  <c r="J50" i="30" s="1"/>
  <c r="J57" i="30" s="1"/>
  <c r="M43" i="30"/>
  <c r="L43" i="30"/>
  <c r="M42" i="30"/>
  <c r="L42" i="30"/>
  <c r="J42" i="30"/>
  <c r="J43" i="30" s="1"/>
  <c r="M36" i="30"/>
  <c r="M37" i="30" s="1"/>
  <c r="M44" i="30" s="1"/>
  <c r="L36" i="30"/>
  <c r="L37" i="30" s="1"/>
  <c r="L44" i="30" s="1"/>
  <c r="J36" i="30"/>
  <c r="J37" i="30" s="1"/>
  <c r="M17" i="30"/>
  <c r="L17" i="30"/>
  <c r="M16" i="30"/>
  <c r="L16" i="30"/>
  <c r="J16" i="30"/>
  <c r="J17" i="30" s="1"/>
  <c r="M12" i="30"/>
  <c r="M18" i="30" s="1"/>
  <c r="L12" i="30"/>
  <c r="L18" i="30" s="1"/>
  <c r="M11" i="30"/>
  <c r="L11" i="30"/>
  <c r="J11" i="30"/>
  <c r="J12" i="30" s="1"/>
  <c r="J18" i="30" s="1"/>
  <c r="N4" i="30"/>
  <c r="N28" i="30" s="1"/>
  <c r="N3" i="30"/>
  <c r="N22" i="30" s="1"/>
  <c r="M80" i="29"/>
  <c r="M81" i="29" s="1"/>
  <c r="L80" i="29"/>
  <c r="L81" i="29" s="1"/>
  <c r="J80" i="29"/>
  <c r="J81" i="29" s="1"/>
  <c r="M69" i="29"/>
  <c r="M82" i="29" s="1"/>
  <c r="M68" i="29"/>
  <c r="L68" i="29"/>
  <c r="L69" i="29" s="1"/>
  <c r="J68" i="29"/>
  <c r="J69" i="29" s="1"/>
  <c r="J56" i="29"/>
  <c r="M55" i="29"/>
  <c r="M56" i="29" s="1"/>
  <c r="L55" i="29"/>
  <c r="L56" i="29" s="1"/>
  <c r="J55" i="29"/>
  <c r="L50" i="29"/>
  <c r="L57" i="29" s="1"/>
  <c r="J50" i="29"/>
  <c r="J57" i="29" s="1"/>
  <c r="M49" i="29"/>
  <c r="M50" i="29" s="1"/>
  <c r="M57" i="29" s="1"/>
  <c r="L49" i="29"/>
  <c r="J49" i="29"/>
  <c r="M42" i="29"/>
  <c r="M43" i="29" s="1"/>
  <c r="L42" i="29"/>
  <c r="L43" i="29" s="1"/>
  <c r="J42" i="29"/>
  <c r="J43" i="29" s="1"/>
  <c r="M37" i="29"/>
  <c r="M44" i="29" s="1"/>
  <c r="M36" i="29"/>
  <c r="L36" i="29"/>
  <c r="L37" i="29" s="1"/>
  <c r="J36" i="29"/>
  <c r="J37" i="29" s="1"/>
  <c r="J44" i="29" s="1"/>
  <c r="M16" i="29"/>
  <c r="M17" i="29" s="1"/>
  <c r="L16" i="29"/>
  <c r="L17" i="29" s="1"/>
  <c r="J16" i="29"/>
  <c r="J17" i="29" s="1"/>
  <c r="M11" i="29"/>
  <c r="M12" i="29" s="1"/>
  <c r="M18" i="29" s="1"/>
  <c r="L11" i="29"/>
  <c r="L12" i="29" s="1"/>
  <c r="J11" i="29"/>
  <c r="J12" i="29" s="1"/>
  <c r="J18" i="29" s="1"/>
  <c r="N4" i="29"/>
  <c r="N28" i="29" s="1"/>
  <c r="M28" i="29" s="1"/>
  <c r="M29" i="29" s="1"/>
  <c r="M30" i="29" s="1"/>
  <c r="N3" i="29"/>
  <c r="N22" i="29" s="1"/>
  <c r="M80" i="28"/>
  <c r="M81" i="28" s="1"/>
  <c r="L80" i="28"/>
  <c r="L81" i="28" s="1"/>
  <c r="J80" i="28"/>
  <c r="J81" i="28" s="1"/>
  <c r="M69" i="28"/>
  <c r="M82" i="28" s="1"/>
  <c r="M68" i="28"/>
  <c r="L68" i="28"/>
  <c r="L69" i="28" s="1"/>
  <c r="J68" i="28"/>
  <c r="J69" i="28" s="1"/>
  <c r="L56" i="28"/>
  <c r="J56" i="28"/>
  <c r="M55" i="28"/>
  <c r="M56" i="28" s="1"/>
  <c r="L55" i="28"/>
  <c r="J55" i="28"/>
  <c r="L50" i="28"/>
  <c r="L57" i="28" s="1"/>
  <c r="J50" i="28"/>
  <c r="J57" i="28" s="1"/>
  <c r="M49" i="28"/>
  <c r="M50" i="28" s="1"/>
  <c r="L49" i="28"/>
  <c r="J49" i="28"/>
  <c r="M43" i="28"/>
  <c r="M42" i="28"/>
  <c r="L42" i="28"/>
  <c r="L43" i="28" s="1"/>
  <c r="J42" i="28"/>
  <c r="J43" i="28" s="1"/>
  <c r="M37" i="28"/>
  <c r="M44" i="28" s="1"/>
  <c r="M36" i="28"/>
  <c r="L36" i="28"/>
  <c r="L37" i="28" s="1"/>
  <c r="J36" i="28"/>
  <c r="J37" i="28" s="1"/>
  <c r="J44" i="28" s="1"/>
  <c r="M17" i="28"/>
  <c r="M16" i="28"/>
  <c r="L16" i="28"/>
  <c r="L17" i="28" s="1"/>
  <c r="J16" i="28"/>
  <c r="J17" i="28" s="1"/>
  <c r="M12" i="28"/>
  <c r="M18" i="28" s="1"/>
  <c r="M11" i="28"/>
  <c r="L11" i="28"/>
  <c r="L12" i="28" s="1"/>
  <c r="L18" i="28" s="1"/>
  <c r="J11" i="28"/>
  <c r="J12" i="28" s="1"/>
  <c r="J18" i="28" s="1"/>
  <c r="N4" i="28"/>
  <c r="N28" i="28" s="1"/>
  <c r="M28" i="28" s="1"/>
  <c r="M29" i="28" s="1"/>
  <c r="M30" i="28" s="1"/>
  <c r="N3" i="28"/>
  <c r="N22" i="28" s="1"/>
  <c r="J81" i="27"/>
  <c r="M80" i="27"/>
  <c r="M81" i="27" s="1"/>
  <c r="L80" i="27"/>
  <c r="L81" i="27" s="1"/>
  <c r="J80" i="27"/>
  <c r="L69" i="27"/>
  <c r="L82" i="27" s="1"/>
  <c r="M68" i="27"/>
  <c r="M69" i="27" s="1"/>
  <c r="L68" i="27"/>
  <c r="J68" i="27"/>
  <c r="J69" i="27" s="1"/>
  <c r="J82" i="27" s="1"/>
  <c r="J56" i="27"/>
  <c r="M55" i="27"/>
  <c r="M56" i="27" s="1"/>
  <c r="L55" i="27"/>
  <c r="L56" i="27" s="1"/>
  <c r="L57" i="27" s="1"/>
  <c r="J55" i="27"/>
  <c r="M50" i="27"/>
  <c r="L50" i="27"/>
  <c r="M49" i="27"/>
  <c r="L49" i="27"/>
  <c r="J49" i="27"/>
  <c r="J50" i="27" s="1"/>
  <c r="J57" i="27" s="1"/>
  <c r="L43" i="27"/>
  <c r="J43" i="27"/>
  <c r="M42" i="27"/>
  <c r="M43" i="27" s="1"/>
  <c r="L42" i="27"/>
  <c r="J42" i="27"/>
  <c r="L37" i="27"/>
  <c r="L44" i="27" s="1"/>
  <c r="J37" i="27"/>
  <c r="J44" i="27" s="1"/>
  <c r="M36" i="27"/>
  <c r="M37" i="27" s="1"/>
  <c r="L36" i="27"/>
  <c r="J36" i="27"/>
  <c r="L17" i="27"/>
  <c r="J17" i="27"/>
  <c r="M16" i="27"/>
  <c r="M17" i="27" s="1"/>
  <c r="L16" i="27"/>
  <c r="J16" i="27"/>
  <c r="L12" i="27"/>
  <c r="L18" i="27" s="1"/>
  <c r="J12" i="27"/>
  <c r="J18" i="27" s="1"/>
  <c r="M11" i="27"/>
  <c r="M12" i="27" s="1"/>
  <c r="L11" i="27"/>
  <c r="J11" i="27"/>
  <c r="N4" i="27"/>
  <c r="N28" i="27" s="1"/>
  <c r="N3" i="27"/>
  <c r="N22" i="27" s="1"/>
  <c r="J81" i="26"/>
  <c r="M80" i="26"/>
  <c r="M81" i="26" s="1"/>
  <c r="L80" i="26"/>
  <c r="L81" i="26" s="1"/>
  <c r="J80" i="26"/>
  <c r="M68" i="26"/>
  <c r="M69" i="26" s="1"/>
  <c r="M82" i="26" s="1"/>
  <c r="L68" i="26"/>
  <c r="L69" i="26" s="1"/>
  <c r="L82" i="26" s="1"/>
  <c r="J68" i="26"/>
  <c r="J69" i="26" s="1"/>
  <c r="J82" i="26" s="1"/>
  <c r="L56" i="26"/>
  <c r="L57" i="26" s="1"/>
  <c r="J56" i="26"/>
  <c r="M55" i="26"/>
  <c r="M56" i="26" s="1"/>
  <c r="L55" i="26"/>
  <c r="J55" i="26"/>
  <c r="M50" i="26"/>
  <c r="M57" i="26" s="1"/>
  <c r="L50" i="26"/>
  <c r="M49" i="26"/>
  <c r="L49" i="26"/>
  <c r="J49" i="26"/>
  <c r="J50" i="26" s="1"/>
  <c r="J57" i="26" s="1"/>
  <c r="M43" i="26"/>
  <c r="M44" i="26" s="1"/>
  <c r="L43" i="26"/>
  <c r="M42" i="26"/>
  <c r="L42" i="26"/>
  <c r="J42" i="26"/>
  <c r="J43" i="26" s="1"/>
  <c r="M37" i="26"/>
  <c r="M36" i="26"/>
  <c r="L36" i="26"/>
  <c r="L37" i="26" s="1"/>
  <c r="L44" i="26" s="1"/>
  <c r="J36" i="26"/>
  <c r="J37" i="26" s="1"/>
  <c r="M17" i="26"/>
  <c r="L17" i="26"/>
  <c r="M16" i="26"/>
  <c r="L16" i="26"/>
  <c r="J16" i="26"/>
  <c r="J17" i="26" s="1"/>
  <c r="M12" i="26"/>
  <c r="M18" i="26" s="1"/>
  <c r="L12" i="26"/>
  <c r="L18" i="26" s="1"/>
  <c r="M11" i="26"/>
  <c r="L11" i="26"/>
  <c r="J11" i="26"/>
  <c r="J12" i="26" s="1"/>
  <c r="N4" i="26"/>
  <c r="N28" i="26" s="1"/>
  <c r="N3" i="26"/>
  <c r="N22" i="26" s="1"/>
  <c r="M81" i="25"/>
  <c r="J81" i="25"/>
  <c r="M80" i="25"/>
  <c r="L80" i="25"/>
  <c r="L81" i="25" s="1"/>
  <c r="J80" i="25"/>
  <c r="M68" i="25"/>
  <c r="M69" i="25" s="1"/>
  <c r="M82" i="25" s="1"/>
  <c r="L68" i="25"/>
  <c r="L69" i="25" s="1"/>
  <c r="L82" i="25" s="1"/>
  <c r="J68" i="25"/>
  <c r="J69" i="25" s="1"/>
  <c r="J82" i="25" s="1"/>
  <c r="L56" i="25"/>
  <c r="J56" i="25"/>
  <c r="M55" i="25"/>
  <c r="M56" i="25" s="1"/>
  <c r="M57" i="25" s="1"/>
  <c r="L55" i="25"/>
  <c r="J55" i="25"/>
  <c r="M50" i="25"/>
  <c r="L50" i="25"/>
  <c r="L57" i="25" s="1"/>
  <c r="M49" i="25"/>
  <c r="L49" i="25"/>
  <c r="J49" i="25"/>
  <c r="J50" i="25" s="1"/>
  <c r="J57" i="25" s="1"/>
  <c r="M43" i="25"/>
  <c r="L43" i="25"/>
  <c r="M42" i="25"/>
  <c r="L42" i="25"/>
  <c r="J42" i="25"/>
  <c r="J43" i="25" s="1"/>
  <c r="M37" i="25"/>
  <c r="M44" i="25" s="1"/>
  <c r="M36" i="25"/>
  <c r="L36" i="25"/>
  <c r="L37" i="25" s="1"/>
  <c r="L44" i="25" s="1"/>
  <c r="J36" i="25"/>
  <c r="J37" i="25" s="1"/>
  <c r="M17" i="25"/>
  <c r="L17" i="25"/>
  <c r="M16" i="25"/>
  <c r="L16" i="25"/>
  <c r="J16" i="25"/>
  <c r="J17" i="25" s="1"/>
  <c r="M12" i="25"/>
  <c r="M18" i="25" s="1"/>
  <c r="L12" i="25"/>
  <c r="L18" i="25" s="1"/>
  <c r="M11" i="25"/>
  <c r="L11" i="25"/>
  <c r="J11" i="25"/>
  <c r="J12" i="25" s="1"/>
  <c r="J18" i="25" s="1"/>
  <c r="N4" i="25"/>
  <c r="N28" i="25" s="1"/>
  <c r="M28" i="25" s="1"/>
  <c r="M29" i="25" s="1"/>
  <c r="M30" i="25" s="1"/>
  <c r="N3" i="25"/>
  <c r="J81" i="24"/>
  <c r="M80" i="24"/>
  <c r="M81" i="24" s="1"/>
  <c r="L80" i="24"/>
  <c r="L81" i="24" s="1"/>
  <c r="J80" i="24"/>
  <c r="L69" i="24"/>
  <c r="M68" i="24"/>
  <c r="M69" i="24" s="1"/>
  <c r="L68" i="24"/>
  <c r="J68" i="24"/>
  <c r="J69" i="24" s="1"/>
  <c r="J82" i="24" s="1"/>
  <c r="J56" i="24"/>
  <c r="M55" i="24"/>
  <c r="M56" i="24" s="1"/>
  <c r="L55" i="24"/>
  <c r="L56" i="24" s="1"/>
  <c r="L57" i="24" s="1"/>
  <c r="J55" i="24"/>
  <c r="M50" i="24"/>
  <c r="L50" i="24"/>
  <c r="M49" i="24"/>
  <c r="L49" i="24"/>
  <c r="J49" i="24"/>
  <c r="J50" i="24" s="1"/>
  <c r="J57" i="24" s="1"/>
  <c r="L43" i="24"/>
  <c r="J43" i="24"/>
  <c r="M42" i="24"/>
  <c r="M43" i="24" s="1"/>
  <c r="M44" i="24" s="1"/>
  <c r="L42" i="24"/>
  <c r="J42" i="24"/>
  <c r="M37" i="24"/>
  <c r="L37" i="24"/>
  <c r="L44" i="24" s="1"/>
  <c r="J37" i="24"/>
  <c r="J44" i="24" s="1"/>
  <c r="M36" i="24"/>
  <c r="L36" i="24"/>
  <c r="J36" i="24"/>
  <c r="L17" i="24"/>
  <c r="J17" i="24"/>
  <c r="M16" i="24"/>
  <c r="M17" i="24" s="1"/>
  <c r="L16" i="24"/>
  <c r="J16" i="24"/>
  <c r="L12" i="24"/>
  <c r="L18" i="24" s="1"/>
  <c r="J12" i="24"/>
  <c r="J18" i="24" s="1"/>
  <c r="M11" i="24"/>
  <c r="M12" i="24" s="1"/>
  <c r="M18" i="24" s="1"/>
  <c r="L11" i="24"/>
  <c r="J11" i="24"/>
  <c r="N4" i="24"/>
  <c r="N28" i="24" s="1"/>
  <c r="N3" i="24"/>
  <c r="N22" i="24" s="1"/>
  <c r="M81" i="23"/>
  <c r="J81" i="23"/>
  <c r="M80" i="23"/>
  <c r="L80" i="23"/>
  <c r="L81" i="23" s="1"/>
  <c r="J80" i="23"/>
  <c r="M68" i="23"/>
  <c r="M69" i="23" s="1"/>
  <c r="M82" i="23" s="1"/>
  <c r="L68" i="23"/>
  <c r="L69" i="23" s="1"/>
  <c r="J68" i="23"/>
  <c r="J69" i="23" s="1"/>
  <c r="J82" i="23" s="1"/>
  <c r="M55" i="23"/>
  <c r="M56" i="23" s="1"/>
  <c r="L55" i="23"/>
  <c r="L56" i="23" s="1"/>
  <c r="J55" i="23"/>
  <c r="J56" i="23" s="1"/>
  <c r="M50" i="23"/>
  <c r="M57" i="23" s="1"/>
  <c r="M49" i="23"/>
  <c r="L49" i="23"/>
  <c r="L50" i="23" s="1"/>
  <c r="J49" i="23"/>
  <c r="J50" i="23" s="1"/>
  <c r="J57" i="23" s="1"/>
  <c r="L43" i="23"/>
  <c r="M42" i="23"/>
  <c r="M43" i="23" s="1"/>
  <c r="L42" i="23"/>
  <c r="J42" i="23"/>
  <c r="J43" i="23" s="1"/>
  <c r="M36" i="23"/>
  <c r="M37" i="23" s="1"/>
  <c r="M44" i="23" s="1"/>
  <c r="L36" i="23"/>
  <c r="L37" i="23" s="1"/>
  <c r="L44" i="23" s="1"/>
  <c r="J36" i="23"/>
  <c r="J37" i="23" s="1"/>
  <c r="J44" i="23" s="1"/>
  <c r="L17" i="23"/>
  <c r="M16" i="23"/>
  <c r="M17" i="23" s="1"/>
  <c r="L16" i="23"/>
  <c r="J16" i="23"/>
  <c r="J17" i="23" s="1"/>
  <c r="L12" i="23"/>
  <c r="L18" i="23" s="1"/>
  <c r="M11" i="23"/>
  <c r="M12" i="23" s="1"/>
  <c r="L11" i="23"/>
  <c r="J11" i="23"/>
  <c r="J12" i="23" s="1"/>
  <c r="N4" i="23"/>
  <c r="N28" i="23" s="1"/>
  <c r="N3" i="23"/>
  <c r="N22" i="23" s="1"/>
  <c r="M80" i="22"/>
  <c r="M81" i="22" s="1"/>
  <c r="L80" i="22"/>
  <c r="L81" i="22" s="1"/>
  <c r="J80" i="22"/>
  <c r="J81" i="22" s="1"/>
  <c r="M69" i="22"/>
  <c r="M82" i="22" s="1"/>
  <c r="M68" i="22"/>
  <c r="L68" i="22"/>
  <c r="L69" i="22" s="1"/>
  <c r="L82" i="22" s="1"/>
  <c r="J68" i="22"/>
  <c r="J69" i="22" s="1"/>
  <c r="J82" i="22" s="1"/>
  <c r="J56" i="22"/>
  <c r="M55" i="22"/>
  <c r="M56" i="22" s="1"/>
  <c r="L55" i="22"/>
  <c r="L56" i="22" s="1"/>
  <c r="J55" i="22"/>
  <c r="L50" i="22"/>
  <c r="L57" i="22" s="1"/>
  <c r="J50" i="22"/>
  <c r="J57" i="22" s="1"/>
  <c r="M49" i="22"/>
  <c r="M50" i="22" s="1"/>
  <c r="L49" i="22"/>
  <c r="J49" i="22"/>
  <c r="J43" i="22"/>
  <c r="M42" i="22"/>
  <c r="M43" i="22" s="1"/>
  <c r="L42" i="22"/>
  <c r="L43" i="22" s="1"/>
  <c r="J42" i="22"/>
  <c r="M37" i="22"/>
  <c r="M44" i="22" s="1"/>
  <c r="L37" i="22"/>
  <c r="L44" i="22" s="1"/>
  <c r="M36" i="22"/>
  <c r="L36" i="22"/>
  <c r="J36" i="22"/>
  <c r="J37" i="22" s="1"/>
  <c r="J44" i="22" s="1"/>
  <c r="J17" i="22"/>
  <c r="M16" i="22"/>
  <c r="M17" i="22" s="1"/>
  <c r="L16" i="22"/>
  <c r="L17" i="22" s="1"/>
  <c r="J16" i="22"/>
  <c r="J12" i="22"/>
  <c r="J18" i="22" s="1"/>
  <c r="M11" i="22"/>
  <c r="M12" i="22" s="1"/>
  <c r="M18" i="22" s="1"/>
  <c r="L11" i="22"/>
  <c r="L12" i="22" s="1"/>
  <c r="L18" i="22" s="1"/>
  <c r="J11" i="22"/>
  <c r="N4" i="22"/>
  <c r="N28" i="22" s="1"/>
  <c r="M28" i="22" s="1"/>
  <c r="M29" i="22" s="1"/>
  <c r="M30" i="22" s="1"/>
  <c r="N3" i="22"/>
  <c r="N22" i="22" s="1"/>
  <c r="M80" i="21"/>
  <c r="M81" i="21" s="1"/>
  <c r="L80" i="21"/>
  <c r="L81" i="21" s="1"/>
  <c r="J80" i="21"/>
  <c r="J81" i="21" s="1"/>
  <c r="M69" i="21"/>
  <c r="M68" i="21"/>
  <c r="L68" i="21"/>
  <c r="L69" i="21" s="1"/>
  <c r="J68" i="21"/>
  <c r="J69" i="21" s="1"/>
  <c r="J82" i="21" s="1"/>
  <c r="J56" i="21"/>
  <c r="M55" i="21"/>
  <c r="M56" i="21" s="1"/>
  <c r="L55" i="21"/>
  <c r="L56" i="21" s="1"/>
  <c r="J55" i="21"/>
  <c r="L50" i="21"/>
  <c r="J50" i="21"/>
  <c r="J57" i="21" s="1"/>
  <c r="M49" i="21"/>
  <c r="M50" i="21" s="1"/>
  <c r="L49" i="21"/>
  <c r="J49" i="21"/>
  <c r="M42" i="21"/>
  <c r="M43" i="21" s="1"/>
  <c r="L42" i="21"/>
  <c r="L43" i="21" s="1"/>
  <c r="J42" i="21"/>
  <c r="J43" i="21" s="1"/>
  <c r="M37" i="21"/>
  <c r="M36" i="21"/>
  <c r="L36" i="21"/>
  <c r="L37" i="21" s="1"/>
  <c r="J36" i="21"/>
  <c r="J37" i="21" s="1"/>
  <c r="J44" i="21" s="1"/>
  <c r="M16" i="21"/>
  <c r="M17" i="21" s="1"/>
  <c r="L16" i="21"/>
  <c r="L17" i="21" s="1"/>
  <c r="J16" i="21"/>
  <c r="J17" i="21" s="1"/>
  <c r="M11" i="21"/>
  <c r="M12" i="21" s="1"/>
  <c r="L11" i="21"/>
  <c r="L12" i="21" s="1"/>
  <c r="J11" i="21"/>
  <c r="J12" i="21" s="1"/>
  <c r="J18" i="21" s="1"/>
  <c r="N4" i="21"/>
  <c r="N28" i="21" s="1"/>
  <c r="M28" i="21" s="1"/>
  <c r="M29" i="21" s="1"/>
  <c r="M30" i="21" s="1"/>
  <c r="N3" i="21"/>
  <c r="N22" i="21" s="1"/>
  <c r="J81" i="20"/>
  <c r="M80" i="20"/>
  <c r="M81" i="20" s="1"/>
  <c r="L80" i="20"/>
  <c r="L81" i="20" s="1"/>
  <c r="J80" i="20"/>
  <c r="L69" i="20"/>
  <c r="L82" i="20" s="1"/>
  <c r="M68" i="20"/>
  <c r="M69" i="20" s="1"/>
  <c r="M82" i="20" s="1"/>
  <c r="L68" i="20"/>
  <c r="J68" i="20"/>
  <c r="J69" i="20" s="1"/>
  <c r="J82" i="20" s="1"/>
  <c r="L56" i="20"/>
  <c r="M55" i="20"/>
  <c r="M56" i="20" s="1"/>
  <c r="L55" i="20"/>
  <c r="J55" i="20"/>
  <c r="J56" i="20" s="1"/>
  <c r="M50" i="20"/>
  <c r="M57" i="20" s="1"/>
  <c r="M49" i="20"/>
  <c r="L49" i="20"/>
  <c r="L50" i="20" s="1"/>
  <c r="L57" i="20" s="1"/>
  <c r="J49" i="20"/>
  <c r="J50" i="20" s="1"/>
  <c r="J57" i="20" s="1"/>
  <c r="M43" i="20"/>
  <c r="L43" i="20"/>
  <c r="M42" i="20"/>
  <c r="L42" i="20"/>
  <c r="J42" i="20"/>
  <c r="J43" i="20" s="1"/>
  <c r="J37" i="20"/>
  <c r="J44" i="20" s="1"/>
  <c r="M36" i="20"/>
  <c r="M37" i="20" s="1"/>
  <c r="M44" i="20" s="1"/>
  <c r="L36" i="20"/>
  <c r="L37" i="20" s="1"/>
  <c r="L44" i="20" s="1"/>
  <c r="J36" i="20"/>
  <c r="M17" i="20"/>
  <c r="L17" i="20"/>
  <c r="M16" i="20"/>
  <c r="L16" i="20"/>
  <c r="J16" i="20"/>
  <c r="J17" i="20" s="1"/>
  <c r="M12" i="20"/>
  <c r="M18" i="20" s="1"/>
  <c r="L12" i="20"/>
  <c r="L18" i="20" s="1"/>
  <c r="M11" i="20"/>
  <c r="L11" i="20"/>
  <c r="J11" i="20"/>
  <c r="J12" i="20" s="1"/>
  <c r="N4" i="20"/>
  <c r="N28" i="20" s="1"/>
  <c r="N3" i="20"/>
  <c r="N22" i="20" s="1"/>
  <c r="J81" i="19"/>
  <c r="M80" i="19"/>
  <c r="M81" i="19" s="1"/>
  <c r="L80" i="19"/>
  <c r="L81" i="19" s="1"/>
  <c r="J80" i="19"/>
  <c r="M68" i="19"/>
  <c r="M69" i="19" s="1"/>
  <c r="L68" i="19"/>
  <c r="L69" i="19" s="1"/>
  <c r="J68" i="19"/>
  <c r="J69" i="19" s="1"/>
  <c r="J82" i="19" s="1"/>
  <c r="L56" i="19"/>
  <c r="L57" i="19" s="1"/>
  <c r="J56" i="19"/>
  <c r="M55" i="19"/>
  <c r="M56" i="19" s="1"/>
  <c r="L55" i="19"/>
  <c r="J55" i="19"/>
  <c r="M50" i="19"/>
  <c r="L50" i="19"/>
  <c r="M49" i="19"/>
  <c r="L49" i="19"/>
  <c r="J49" i="19"/>
  <c r="J50" i="19" s="1"/>
  <c r="J57" i="19" s="1"/>
  <c r="M43" i="19"/>
  <c r="M44" i="19" s="1"/>
  <c r="L43" i="19"/>
  <c r="M42" i="19"/>
  <c r="L42" i="19"/>
  <c r="J42" i="19"/>
  <c r="J43" i="19" s="1"/>
  <c r="M37" i="19"/>
  <c r="M36" i="19"/>
  <c r="L36" i="19"/>
  <c r="L37" i="19" s="1"/>
  <c r="L44" i="19" s="1"/>
  <c r="J36" i="19"/>
  <c r="J37" i="19" s="1"/>
  <c r="J44" i="19" s="1"/>
  <c r="M17" i="19"/>
  <c r="L17" i="19"/>
  <c r="M16" i="19"/>
  <c r="L16" i="19"/>
  <c r="J16" i="19"/>
  <c r="J17" i="19" s="1"/>
  <c r="M12" i="19"/>
  <c r="M18" i="19" s="1"/>
  <c r="L12" i="19"/>
  <c r="L18" i="19" s="1"/>
  <c r="M11" i="19"/>
  <c r="L11" i="19"/>
  <c r="J11" i="19"/>
  <c r="J12" i="19" s="1"/>
  <c r="N4" i="19"/>
  <c r="N28" i="19" s="1"/>
  <c r="N3" i="19"/>
  <c r="N22" i="19" s="1"/>
  <c r="M80" i="18"/>
  <c r="M81" i="18" s="1"/>
  <c r="L80" i="18"/>
  <c r="L81" i="18" s="1"/>
  <c r="J80" i="18"/>
  <c r="J81" i="18" s="1"/>
  <c r="M69" i="18"/>
  <c r="M68" i="18"/>
  <c r="L68" i="18"/>
  <c r="L69" i="18" s="1"/>
  <c r="J68" i="18"/>
  <c r="J69" i="18" s="1"/>
  <c r="J82" i="18" s="1"/>
  <c r="J56" i="18"/>
  <c r="M55" i="18"/>
  <c r="M56" i="18" s="1"/>
  <c r="L55" i="18"/>
  <c r="L56" i="18" s="1"/>
  <c r="J55" i="18"/>
  <c r="L50" i="18"/>
  <c r="J50" i="18"/>
  <c r="J57" i="18" s="1"/>
  <c r="M49" i="18"/>
  <c r="M50" i="18" s="1"/>
  <c r="L49" i="18"/>
  <c r="J49" i="18"/>
  <c r="M42" i="18"/>
  <c r="M43" i="18" s="1"/>
  <c r="L42" i="18"/>
  <c r="L43" i="18" s="1"/>
  <c r="J42" i="18"/>
  <c r="J43" i="18" s="1"/>
  <c r="M37" i="18"/>
  <c r="M36" i="18"/>
  <c r="L36" i="18"/>
  <c r="L37" i="18" s="1"/>
  <c r="J36" i="18"/>
  <c r="J37" i="18" s="1"/>
  <c r="J44" i="18" s="1"/>
  <c r="M16" i="18"/>
  <c r="M17" i="18" s="1"/>
  <c r="L16" i="18"/>
  <c r="L17" i="18" s="1"/>
  <c r="J16" i="18"/>
  <c r="J17" i="18" s="1"/>
  <c r="M11" i="18"/>
  <c r="M12" i="18" s="1"/>
  <c r="L11" i="18"/>
  <c r="L12" i="18" s="1"/>
  <c r="J11" i="18"/>
  <c r="J12" i="18" s="1"/>
  <c r="J18" i="18" s="1"/>
  <c r="N4" i="18"/>
  <c r="N28" i="18" s="1"/>
  <c r="M28" i="18" s="1"/>
  <c r="M29" i="18" s="1"/>
  <c r="M30" i="18" s="1"/>
  <c r="N3" i="18"/>
  <c r="N22" i="18" s="1"/>
  <c r="J81" i="17"/>
  <c r="M80" i="17"/>
  <c r="M81" i="17" s="1"/>
  <c r="L80" i="17"/>
  <c r="L81" i="17" s="1"/>
  <c r="J80" i="17"/>
  <c r="M68" i="17"/>
  <c r="M69" i="17" s="1"/>
  <c r="L68" i="17"/>
  <c r="L69" i="17" s="1"/>
  <c r="L82" i="17" s="1"/>
  <c r="J68" i="17"/>
  <c r="J69" i="17" s="1"/>
  <c r="J82" i="17" s="1"/>
  <c r="L56" i="17"/>
  <c r="J56" i="17"/>
  <c r="M55" i="17"/>
  <c r="M56" i="17" s="1"/>
  <c r="M57" i="17" s="1"/>
  <c r="L55" i="17"/>
  <c r="J55" i="17"/>
  <c r="M50" i="17"/>
  <c r="L50" i="17"/>
  <c r="L57" i="17" s="1"/>
  <c r="M49" i="17"/>
  <c r="L49" i="17"/>
  <c r="J49" i="17"/>
  <c r="J50" i="17" s="1"/>
  <c r="J57" i="17" s="1"/>
  <c r="M43" i="17"/>
  <c r="L43" i="17"/>
  <c r="M42" i="17"/>
  <c r="L42" i="17"/>
  <c r="J42" i="17"/>
  <c r="J43" i="17" s="1"/>
  <c r="M37" i="17"/>
  <c r="M44" i="17" s="1"/>
  <c r="M36" i="17"/>
  <c r="L36" i="17"/>
  <c r="L37" i="17" s="1"/>
  <c r="L44" i="17" s="1"/>
  <c r="J36" i="17"/>
  <c r="J37" i="17" s="1"/>
  <c r="J44" i="17" s="1"/>
  <c r="M17" i="17"/>
  <c r="L17" i="17"/>
  <c r="M16" i="17"/>
  <c r="L16" i="17"/>
  <c r="J16" i="17"/>
  <c r="J17" i="17" s="1"/>
  <c r="M12" i="17"/>
  <c r="M18" i="17" s="1"/>
  <c r="L12" i="17"/>
  <c r="L18" i="17" s="1"/>
  <c r="M11" i="17"/>
  <c r="L11" i="17"/>
  <c r="J11" i="17"/>
  <c r="J12" i="17" s="1"/>
  <c r="N4" i="17"/>
  <c r="N28" i="17" s="1"/>
  <c r="M28" i="17" s="1"/>
  <c r="N3" i="17"/>
  <c r="N22" i="17" s="1"/>
  <c r="M80" i="16"/>
  <c r="M81" i="16" s="1"/>
  <c r="L80" i="16"/>
  <c r="L81" i="16" s="1"/>
  <c r="J80" i="16"/>
  <c r="J81" i="16" s="1"/>
  <c r="M68" i="16"/>
  <c r="M69" i="16" s="1"/>
  <c r="M82" i="16" s="1"/>
  <c r="L68" i="16"/>
  <c r="L69" i="16" s="1"/>
  <c r="J68" i="16"/>
  <c r="J69" i="16" s="1"/>
  <c r="J82" i="16" s="1"/>
  <c r="M55" i="16"/>
  <c r="M56" i="16" s="1"/>
  <c r="L55" i="16"/>
  <c r="L56" i="16" s="1"/>
  <c r="J55" i="16"/>
  <c r="J56" i="16" s="1"/>
  <c r="M49" i="16"/>
  <c r="M50" i="16" s="1"/>
  <c r="L49" i="16"/>
  <c r="L50" i="16" s="1"/>
  <c r="J49" i="16"/>
  <c r="J50" i="16" s="1"/>
  <c r="M42" i="16"/>
  <c r="M43" i="16" s="1"/>
  <c r="L42" i="16"/>
  <c r="L43" i="16" s="1"/>
  <c r="J42" i="16"/>
  <c r="J43" i="16" s="1"/>
  <c r="M37" i="16"/>
  <c r="M36" i="16"/>
  <c r="L36" i="16"/>
  <c r="L37" i="16" s="1"/>
  <c r="J36" i="16"/>
  <c r="J37" i="16" s="1"/>
  <c r="M16" i="16"/>
  <c r="M17" i="16" s="1"/>
  <c r="L16" i="16"/>
  <c r="L17" i="16" s="1"/>
  <c r="J16" i="16"/>
  <c r="J17" i="16" s="1"/>
  <c r="M11" i="16"/>
  <c r="M12" i="16" s="1"/>
  <c r="L11" i="16"/>
  <c r="L12" i="16" s="1"/>
  <c r="J11" i="16"/>
  <c r="J12" i="16" s="1"/>
  <c r="N4" i="16"/>
  <c r="N28" i="16" s="1"/>
  <c r="M28" i="16" s="1"/>
  <c r="M29" i="16" s="1"/>
  <c r="M30" i="16" s="1"/>
  <c r="N3" i="16"/>
  <c r="N22" i="16" s="1"/>
  <c r="E104" i="9"/>
  <c r="D104"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5" i="9"/>
  <c r="F104" i="9" s="1"/>
  <c r="Q128" i="123" l="1"/>
  <c r="M29" i="17"/>
  <c r="M30" i="17" s="1"/>
  <c r="L31" i="111"/>
  <c r="L83" i="111" s="1"/>
  <c r="O148" i="112"/>
  <c r="Z146" i="112"/>
  <c r="T147" i="112" s="1"/>
  <c r="W147" i="112"/>
  <c r="R147" i="112"/>
  <c r="J31" i="111"/>
  <c r="J83" i="111" s="1"/>
  <c r="M31" i="110"/>
  <c r="M83" i="110" s="1"/>
  <c r="L31" i="110"/>
  <c r="L83" i="110" s="1"/>
  <c r="J31" i="110"/>
  <c r="J83" i="110" s="1"/>
  <c r="J31" i="109"/>
  <c r="J83" i="109" s="1"/>
  <c r="L31" i="108"/>
  <c r="L83" i="108" s="1"/>
  <c r="L31" i="109"/>
  <c r="L83" i="109" s="1"/>
  <c r="M83" i="107"/>
  <c r="M31" i="108"/>
  <c r="M83" i="108" s="1"/>
  <c r="J31" i="108"/>
  <c r="J83" i="108" s="1"/>
  <c r="L31" i="106"/>
  <c r="L83" i="106" s="1"/>
  <c r="J31" i="107"/>
  <c r="J83" i="107" s="1"/>
  <c r="L31" i="107"/>
  <c r="L83" i="107" s="1"/>
  <c r="M31" i="106"/>
  <c r="M83" i="106" s="1"/>
  <c r="J31" i="106"/>
  <c r="J83" i="106" s="1"/>
  <c r="L31" i="103"/>
  <c r="L83" i="103" s="1"/>
  <c r="J31" i="105"/>
  <c r="J83" i="105" s="1"/>
  <c r="L31" i="105"/>
  <c r="L83" i="105" s="1"/>
  <c r="M83" i="105"/>
  <c r="J31" i="104"/>
  <c r="J83" i="104" s="1"/>
  <c r="M83" i="104"/>
  <c r="L31" i="104"/>
  <c r="L83" i="104" s="1"/>
  <c r="M83" i="103"/>
  <c r="J31" i="103"/>
  <c r="J83" i="103" s="1"/>
  <c r="J31" i="102"/>
  <c r="J83" i="102" s="1"/>
  <c r="L31" i="102"/>
  <c r="L83" i="102" s="1"/>
  <c r="L31" i="101"/>
  <c r="L83" i="101" s="1"/>
  <c r="M83" i="102"/>
  <c r="M31" i="101"/>
  <c r="M83" i="101" s="1"/>
  <c r="J31" i="101"/>
  <c r="J83" i="101" s="1"/>
  <c r="M31" i="100"/>
  <c r="M83" i="100" s="1"/>
  <c r="L31" i="100"/>
  <c r="L83" i="100" s="1"/>
  <c r="J31" i="100"/>
  <c r="J83" i="100" s="1"/>
  <c r="M31" i="99"/>
  <c r="M83" i="99" s="1"/>
  <c r="L31" i="99"/>
  <c r="L83" i="99" s="1"/>
  <c r="J31" i="99"/>
  <c r="J83" i="99" s="1"/>
  <c r="M57" i="98"/>
  <c r="M82" i="98"/>
  <c r="J22" i="98"/>
  <c r="J23" i="98" s="1"/>
  <c r="J24" i="98" s="1"/>
  <c r="K22" i="98"/>
  <c r="M22" i="98"/>
  <c r="M23" i="98" s="1"/>
  <c r="M24" i="98" s="1"/>
  <c r="M31" i="98" s="1"/>
  <c r="M83" i="98" s="1"/>
  <c r="L22" i="98"/>
  <c r="L23" i="98" s="1"/>
  <c r="L24" i="98" s="1"/>
  <c r="N5" i="98"/>
  <c r="J28" i="98"/>
  <c r="J29" i="98" s="1"/>
  <c r="J30" i="98" s="1"/>
  <c r="K28" i="98"/>
  <c r="L28" i="98"/>
  <c r="L29" i="98" s="1"/>
  <c r="L30" i="98" s="1"/>
  <c r="N5" i="97"/>
  <c r="J22" i="97"/>
  <c r="J23" i="97" s="1"/>
  <c r="J24" i="97" s="1"/>
  <c r="M22" i="97"/>
  <c r="M23" i="97" s="1"/>
  <c r="M24" i="97" s="1"/>
  <c r="L22" i="97"/>
  <c r="L23" i="97" s="1"/>
  <c r="L24" i="97" s="1"/>
  <c r="K22" i="97"/>
  <c r="M28" i="97"/>
  <c r="M29" i="97" s="1"/>
  <c r="M30" i="97" s="1"/>
  <c r="L28" i="97"/>
  <c r="L29" i="97" s="1"/>
  <c r="L30" i="97" s="1"/>
  <c r="K28" i="97"/>
  <c r="J28" i="97"/>
  <c r="J29" i="97" s="1"/>
  <c r="J30" i="97" s="1"/>
  <c r="M57" i="97"/>
  <c r="M82" i="97"/>
  <c r="L82" i="96"/>
  <c r="J22" i="96"/>
  <c r="J23" i="96" s="1"/>
  <c r="J24" i="96" s="1"/>
  <c r="M22" i="96"/>
  <c r="M23" i="96" s="1"/>
  <c r="M24" i="96" s="1"/>
  <c r="K22" i="96"/>
  <c r="L22" i="96"/>
  <c r="L23" i="96" s="1"/>
  <c r="L24" i="96" s="1"/>
  <c r="M28" i="96"/>
  <c r="M29" i="96" s="1"/>
  <c r="M30" i="96" s="1"/>
  <c r="L28" i="96"/>
  <c r="L29" i="96" s="1"/>
  <c r="L30" i="96" s="1"/>
  <c r="K28" i="96"/>
  <c r="J28" i="96"/>
  <c r="J29" i="96" s="1"/>
  <c r="J30" i="96" s="1"/>
  <c r="M57" i="96"/>
  <c r="N5" i="96"/>
  <c r="N5" i="95"/>
  <c r="J22" i="95"/>
  <c r="J23" i="95" s="1"/>
  <c r="J24" i="95" s="1"/>
  <c r="M22" i="95"/>
  <c r="M23" i="95" s="1"/>
  <c r="M24" i="95" s="1"/>
  <c r="L22" i="95"/>
  <c r="L23" i="95" s="1"/>
  <c r="L24" i="95" s="1"/>
  <c r="K22" i="95"/>
  <c r="M28" i="95"/>
  <c r="M29" i="95" s="1"/>
  <c r="M30" i="95" s="1"/>
  <c r="L28" i="95"/>
  <c r="L29" i="95" s="1"/>
  <c r="L30" i="95" s="1"/>
  <c r="K28" i="95"/>
  <c r="J28" i="95"/>
  <c r="J29" i="95" s="1"/>
  <c r="J30" i="95" s="1"/>
  <c r="M57" i="95"/>
  <c r="M82" i="95"/>
  <c r="J22" i="94"/>
  <c r="J23" i="94" s="1"/>
  <c r="J24" i="94" s="1"/>
  <c r="M22" i="94"/>
  <c r="M23" i="94" s="1"/>
  <c r="M24" i="94" s="1"/>
  <c r="M31" i="94" s="1"/>
  <c r="L22" i="94"/>
  <c r="L23" i="94" s="1"/>
  <c r="L24" i="94" s="1"/>
  <c r="K22" i="94"/>
  <c r="L57" i="94"/>
  <c r="M82" i="94"/>
  <c r="M18" i="94"/>
  <c r="N5" i="94"/>
  <c r="J28" i="94"/>
  <c r="J29" i="94" s="1"/>
  <c r="J30" i="94" s="1"/>
  <c r="K28" i="94"/>
  <c r="L28" i="94"/>
  <c r="L29" i="94" s="1"/>
  <c r="L30" i="94" s="1"/>
  <c r="L82" i="93"/>
  <c r="J22" i="93"/>
  <c r="J23" i="93" s="1"/>
  <c r="J24" i="93" s="1"/>
  <c r="L22" i="93"/>
  <c r="L23" i="93" s="1"/>
  <c r="L24" i="93" s="1"/>
  <c r="M22" i="93"/>
  <c r="M23" i="93" s="1"/>
  <c r="M24" i="93" s="1"/>
  <c r="K22" i="93"/>
  <c r="M57" i="93"/>
  <c r="M28" i="93"/>
  <c r="M29" i="93" s="1"/>
  <c r="M30" i="93" s="1"/>
  <c r="L28" i="93"/>
  <c r="L29" i="93" s="1"/>
  <c r="L30" i="93" s="1"/>
  <c r="K28" i="93"/>
  <c r="J28" i="93"/>
  <c r="J29" i="93" s="1"/>
  <c r="J30" i="93" s="1"/>
  <c r="J18" i="93"/>
  <c r="J44" i="93"/>
  <c r="N5" i="93"/>
  <c r="N5" i="92"/>
  <c r="J22" i="92"/>
  <c r="J23" i="92" s="1"/>
  <c r="J24" i="92" s="1"/>
  <c r="L22" i="92"/>
  <c r="L23" i="92" s="1"/>
  <c r="L24" i="92" s="1"/>
  <c r="K22" i="92"/>
  <c r="M22" i="92"/>
  <c r="M23" i="92" s="1"/>
  <c r="M24" i="92" s="1"/>
  <c r="J44" i="92"/>
  <c r="M28" i="92"/>
  <c r="M29" i="92" s="1"/>
  <c r="M30" i="92" s="1"/>
  <c r="L28" i="92"/>
  <c r="L29" i="92" s="1"/>
  <c r="L30" i="92" s="1"/>
  <c r="K28" i="92"/>
  <c r="J28" i="92"/>
  <c r="J29" i="92" s="1"/>
  <c r="J30" i="92" s="1"/>
  <c r="J18" i="92"/>
  <c r="M18" i="91"/>
  <c r="J82" i="91"/>
  <c r="L82" i="91"/>
  <c r="M44" i="91"/>
  <c r="J22" i="91"/>
  <c r="J23" i="91" s="1"/>
  <c r="J24" i="91" s="1"/>
  <c r="K22" i="91"/>
  <c r="M22" i="91"/>
  <c r="M23" i="91" s="1"/>
  <c r="M24" i="91" s="1"/>
  <c r="M31" i="91" s="1"/>
  <c r="L22" i="91"/>
  <c r="L23" i="91" s="1"/>
  <c r="L24" i="91" s="1"/>
  <c r="N5" i="91"/>
  <c r="J28" i="91"/>
  <c r="J29" i="91" s="1"/>
  <c r="J30" i="91" s="1"/>
  <c r="K28" i="91"/>
  <c r="L28" i="91"/>
  <c r="L29" i="91" s="1"/>
  <c r="L30" i="91" s="1"/>
  <c r="M28" i="90"/>
  <c r="M29" i="90" s="1"/>
  <c r="M30" i="90" s="1"/>
  <c r="L28" i="90"/>
  <c r="L29" i="90" s="1"/>
  <c r="L30" i="90" s="1"/>
  <c r="K28" i="90"/>
  <c r="J28" i="90"/>
  <c r="J29" i="90" s="1"/>
  <c r="J30" i="90" s="1"/>
  <c r="J22" i="90"/>
  <c r="J23" i="90" s="1"/>
  <c r="J24" i="90" s="1"/>
  <c r="L22" i="90"/>
  <c r="L23" i="90" s="1"/>
  <c r="L24" i="90" s="1"/>
  <c r="M22" i="90"/>
  <c r="M23" i="90" s="1"/>
  <c r="M24" i="90" s="1"/>
  <c r="K22" i="90"/>
  <c r="L82" i="90"/>
  <c r="M18" i="90"/>
  <c r="N5" i="90"/>
  <c r="M57" i="89"/>
  <c r="J22" i="89"/>
  <c r="J23" i="89" s="1"/>
  <c r="J24" i="89" s="1"/>
  <c r="K22" i="89"/>
  <c r="M22" i="89"/>
  <c r="M23" i="89" s="1"/>
  <c r="M24" i="89" s="1"/>
  <c r="M31" i="89" s="1"/>
  <c r="M83" i="89" s="1"/>
  <c r="L22" i="89"/>
  <c r="L23" i="89" s="1"/>
  <c r="L24" i="89" s="1"/>
  <c r="L82" i="89"/>
  <c r="J18" i="89"/>
  <c r="L18" i="89"/>
  <c r="N5" i="89"/>
  <c r="J28" i="89"/>
  <c r="J29" i="89" s="1"/>
  <c r="J30" i="89" s="1"/>
  <c r="K28" i="89"/>
  <c r="L28" i="89"/>
  <c r="L29" i="89" s="1"/>
  <c r="L30" i="89" s="1"/>
  <c r="L18" i="88"/>
  <c r="L82" i="88"/>
  <c r="M44" i="88"/>
  <c r="L57" i="88"/>
  <c r="M82" i="88"/>
  <c r="J22" i="88"/>
  <c r="J23" i="88" s="1"/>
  <c r="J24" i="88" s="1"/>
  <c r="M22" i="88"/>
  <c r="M23" i="88" s="1"/>
  <c r="M24" i="88" s="1"/>
  <c r="M31" i="88" s="1"/>
  <c r="L22" i="88"/>
  <c r="L23" i="88" s="1"/>
  <c r="L24" i="88" s="1"/>
  <c r="K22" i="88"/>
  <c r="N5" i="88"/>
  <c r="J28" i="88"/>
  <c r="J29" i="88" s="1"/>
  <c r="J30" i="88" s="1"/>
  <c r="K28" i="88"/>
  <c r="L28" i="88"/>
  <c r="L29" i="88" s="1"/>
  <c r="L30" i="88" s="1"/>
  <c r="J18" i="87"/>
  <c r="L44" i="87"/>
  <c r="M57" i="87"/>
  <c r="L82" i="87"/>
  <c r="L18" i="87"/>
  <c r="M18" i="87"/>
  <c r="M44" i="87"/>
  <c r="L57" i="87"/>
  <c r="J22" i="87"/>
  <c r="J23" i="87" s="1"/>
  <c r="J24" i="87" s="1"/>
  <c r="K22" i="87"/>
  <c r="M22" i="87"/>
  <c r="M23" i="87" s="1"/>
  <c r="M24" i="87" s="1"/>
  <c r="M31" i="87" s="1"/>
  <c r="L22" i="87"/>
  <c r="L23" i="87" s="1"/>
  <c r="L24" i="87" s="1"/>
  <c r="N5" i="87"/>
  <c r="J28" i="87"/>
  <c r="J29" i="87" s="1"/>
  <c r="J30" i="87" s="1"/>
  <c r="K28" i="87"/>
  <c r="L28" i="87"/>
  <c r="L29" i="87" s="1"/>
  <c r="L30" i="87" s="1"/>
  <c r="M57" i="86"/>
  <c r="M82" i="86"/>
  <c r="J22" i="86"/>
  <c r="J23" i="86" s="1"/>
  <c r="J24" i="86" s="1"/>
  <c r="K22" i="86"/>
  <c r="M22" i="86"/>
  <c r="M23" i="86" s="1"/>
  <c r="M24" i="86" s="1"/>
  <c r="M31" i="86" s="1"/>
  <c r="M83" i="86" s="1"/>
  <c r="L22" i="86"/>
  <c r="L23" i="86" s="1"/>
  <c r="L24" i="86" s="1"/>
  <c r="N5" i="86"/>
  <c r="J28" i="86"/>
  <c r="J29" i="86" s="1"/>
  <c r="J30" i="86" s="1"/>
  <c r="K28" i="86"/>
  <c r="L28" i="86"/>
  <c r="L29" i="86" s="1"/>
  <c r="L30" i="86" s="1"/>
  <c r="M28" i="85"/>
  <c r="M29" i="85" s="1"/>
  <c r="M30" i="85" s="1"/>
  <c r="L28" i="85"/>
  <c r="L29" i="85" s="1"/>
  <c r="L30" i="85" s="1"/>
  <c r="K28" i="85"/>
  <c r="J28" i="85"/>
  <c r="J29" i="85" s="1"/>
  <c r="J30" i="85" s="1"/>
  <c r="J22" i="85"/>
  <c r="J23" i="85" s="1"/>
  <c r="J24" i="85" s="1"/>
  <c r="M22" i="85"/>
  <c r="M23" i="85" s="1"/>
  <c r="M24" i="85" s="1"/>
  <c r="K22" i="85"/>
  <c r="L22" i="85"/>
  <c r="L23" i="85" s="1"/>
  <c r="L24" i="85" s="1"/>
  <c r="M18" i="85"/>
  <c r="N5" i="85"/>
  <c r="J22" i="84"/>
  <c r="J23" i="84" s="1"/>
  <c r="J24" i="84" s="1"/>
  <c r="M22" i="84"/>
  <c r="M23" i="84" s="1"/>
  <c r="M24" i="84" s="1"/>
  <c r="M31" i="84" s="1"/>
  <c r="M83" i="84" s="1"/>
  <c r="K22" i="84"/>
  <c r="L22" i="84"/>
  <c r="L23" i="84" s="1"/>
  <c r="L24" i="84" s="1"/>
  <c r="L44" i="84"/>
  <c r="L82" i="84"/>
  <c r="L18" i="84"/>
  <c r="M57" i="84"/>
  <c r="N5" i="84"/>
  <c r="J28" i="84"/>
  <c r="J29" i="84" s="1"/>
  <c r="J30" i="84" s="1"/>
  <c r="K28" i="84"/>
  <c r="L28" i="84"/>
  <c r="L29" i="84" s="1"/>
  <c r="L30" i="84" s="1"/>
  <c r="L57" i="83"/>
  <c r="M82" i="83"/>
  <c r="J22" i="83"/>
  <c r="J23" i="83" s="1"/>
  <c r="J24" i="83" s="1"/>
  <c r="M22" i="83"/>
  <c r="M23" i="83" s="1"/>
  <c r="M24" i="83" s="1"/>
  <c r="M31" i="83" s="1"/>
  <c r="M83" i="83" s="1"/>
  <c r="L22" i="83"/>
  <c r="L23" i="83" s="1"/>
  <c r="L24" i="83" s="1"/>
  <c r="K22" i="83"/>
  <c r="N5" i="83"/>
  <c r="J28" i="83"/>
  <c r="J29" i="83" s="1"/>
  <c r="J30" i="83" s="1"/>
  <c r="K28" i="83"/>
  <c r="L28" i="83"/>
  <c r="L29" i="83" s="1"/>
  <c r="L30" i="83" s="1"/>
  <c r="M57" i="82"/>
  <c r="J22" i="82"/>
  <c r="J23" i="82" s="1"/>
  <c r="J24" i="82" s="1"/>
  <c r="K22" i="82"/>
  <c r="M22" i="82"/>
  <c r="M23" i="82" s="1"/>
  <c r="M24" i="82" s="1"/>
  <c r="M31" i="82" s="1"/>
  <c r="M83" i="82" s="1"/>
  <c r="L22" i="82"/>
  <c r="L23" i="82" s="1"/>
  <c r="L24" i="82" s="1"/>
  <c r="N5" i="82"/>
  <c r="J28" i="82"/>
  <c r="J29" i="82" s="1"/>
  <c r="J30" i="82" s="1"/>
  <c r="K28" i="82"/>
  <c r="L28" i="82"/>
  <c r="L29" i="82" s="1"/>
  <c r="L30" i="82" s="1"/>
  <c r="J22" i="81"/>
  <c r="J23" i="81" s="1"/>
  <c r="J24" i="81" s="1"/>
  <c r="K22" i="81"/>
  <c r="M22" i="81"/>
  <c r="M23" i="81" s="1"/>
  <c r="M24" i="81" s="1"/>
  <c r="M31" i="81" s="1"/>
  <c r="M83" i="81" s="1"/>
  <c r="L22" i="81"/>
  <c r="L23" i="81" s="1"/>
  <c r="L24" i="81" s="1"/>
  <c r="N5" i="81"/>
  <c r="J28" i="81"/>
  <c r="J29" i="81" s="1"/>
  <c r="J30" i="81" s="1"/>
  <c r="K28" i="81"/>
  <c r="L28" i="81"/>
  <c r="L29" i="81" s="1"/>
  <c r="L30" i="81" s="1"/>
  <c r="M82" i="80"/>
  <c r="J22" i="80"/>
  <c r="J23" i="80" s="1"/>
  <c r="J24" i="80" s="1"/>
  <c r="M22" i="80"/>
  <c r="M23" i="80" s="1"/>
  <c r="M24" i="80" s="1"/>
  <c r="M31" i="80" s="1"/>
  <c r="M83" i="80" s="1"/>
  <c r="L22" i="80"/>
  <c r="L23" i="80" s="1"/>
  <c r="L24" i="80" s="1"/>
  <c r="K22" i="80"/>
  <c r="N5" i="80"/>
  <c r="J28" i="80"/>
  <c r="J29" i="80" s="1"/>
  <c r="J30" i="80" s="1"/>
  <c r="K28" i="80"/>
  <c r="L28" i="80"/>
  <c r="L29" i="80" s="1"/>
  <c r="L30" i="80" s="1"/>
  <c r="N5" i="79"/>
  <c r="J22" i="79"/>
  <c r="J23" i="79" s="1"/>
  <c r="J24" i="79" s="1"/>
  <c r="M22" i="79"/>
  <c r="M23" i="79" s="1"/>
  <c r="M24" i="79" s="1"/>
  <c r="K22" i="79"/>
  <c r="L22" i="79"/>
  <c r="L23" i="79" s="1"/>
  <c r="L24" i="79" s="1"/>
  <c r="J44" i="79"/>
  <c r="M28" i="79"/>
  <c r="M29" i="79" s="1"/>
  <c r="M30" i="79" s="1"/>
  <c r="L28" i="79"/>
  <c r="L29" i="79" s="1"/>
  <c r="L30" i="79" s="1"/>
  <c r="K28" i="79"/>
  <c r="J28" i="79"/>
  <c r="J29" i="79" s="1"/>
  <c r="J30" i="79" s="1"/>
  <c r="J18" i="79"/>
  <c r="N5" i="78"/>
  <c r="J22" i="78"/>
  <c r="J23" i="78" s="1"/>
  <c r="J24" i="78" s="1"/>
  <c r="M22" i="78"/>
  <c r="M23" i="78" s="1"/>
  <c r="M24" i="78" s="1"/>
  <c r="L22" i="78"/>
  <c r="L23" i="78" s="1"/>
  <c r="L24" i="78" s="1"/>
  <c r="K22" i="78"/>
  <c r="J18" i="78"/>
  <c r="M28" i="78"/>
  <c r="M29" i="78" s="1"/>
  <c r="M30" i="78" s="1"/>
  <c r="L28" i="78"/>
  <c r="L29" i="78" s="1"/>
  <c r="L30" i="78" s="1"/>
  <c r="K28" i="78"/>
  <c r="J28" i="78"/>
  <c r="J29" i="78" s="1"/>
  <c r="J30" i="78" s="1"/>
  <c r="J44" i="78"/>
  <c r="M18" i="77"/>
  <c r="M82" i="77"/>
  <c r="J22" i="77"/>
  <c r="J23" i="77" s="1"/>
  <c r="J24" i="77" s="1"/>
  <c r="K22" i="77"/>
  <c r="M22" i="77"/>
  <c r="M23" i="77" s="1"/>
  <c r="M24" i="77" s="1"/>
  <c r="M31" i="77" s="1"/>
  <c r="L22" i="77"/>
  <c r="L23" i="77" s="1"/>
  <c r="L24" i="77" s="1"/>
  <c r="N5" i="77"/>
  <c r="J28" i="77"/>
  <c r="J29" i="77" s="1"/>
  <c r="J30" i="77" s="1"/>
  <c r="K28" i="77"/>
  <c r="L28" i="77"/>
  <c r="L29" i="77" s="1"/>
  <c r="L30" i="77" s="1"/>
  <c r="L82" i="76"/>
  <c r="J22" i="76"/>
  <c r="J23" i="76" s="1"/>
  <c r="J24" i="76" s="1"/>
  <c r="L22" i="76"/>
  <c r="L23" i="76" s="1"/>
  <c r="L24" i="76" s="1"/>
  <c r="M22" i="76"/>
  <c r="M23" i="76" s="1"/>
  <c r="M24" i="76" s="1"/>
  <c r="K22" i="76"/>
  <c r="L57" i="76"/>
  <c r="M82" i="76"/>
  <c r="M28" i="76"/>
  <c r="M29" i="76" s="1"/>
  <c r="M30" i="76" s="1"/>
  <c r="L28" i="76"/>
  <c r="L29" i="76" s="1"/>
  <c r="L30" i="76" s="1"/>
  <c r="K28" i="76"/>
  <c r="J28" i="76"/>
  <c r="J29" i="76" s="1"/>
  <c r="J30" i="76" s="1"/>
  <c r="N5" i="76"/>
  <c r="J22" i="75"/>
  <c r="J23" i="75" s="1"/>
  <c r="J24" i="75" s="1"/>
  <c r="L22" i="75"/>
  <c r="L23" i="75" s="1"/>
  <c r="L24" i="75" s="1"/>
  <c r="K22" i="75"/>
  <c r="M22" i="75"/>
  <c r="M23" i="75" s="1"/>
  <c r="M24" i="75" s="1"/>
  <c r="M31" i="75" s="1"/>
  <c r="M18" i="75"/>
  <c r="N5" i="75"/>
  <c r="J28" i="75"/>
  <c r="J29" i="75" s="1"/>
  <c r="J30" i="75" s="1"/>
  <c r="K28" i="75"/>
  <c r="L28" i="75"/>
  <c r="L29" i="75" s="1"/>
  <c r="L30" i="75" s="1"/>
  <c r="M18" i="74"/>
  <c r="L82" i="74"/>
  <c r="M44" i="74"/>
  <c r="L57" i="74"/>
  <c r="M82" i="74"/>
  <c r="J22" i="74"/>
  <c r="J23" i="74" s="1"/>
  <c r="J24" i="74" s="1"/>
  <c r="K22" i="74"/>
  <c r="M22" i="74"/>
  <c r="M23" i="74" s="1"/>
  <c r="M24" i="74" s="1"/>
  <c r="M31" i="74" s="1"/>
  <c r="L22" i="74"/>
  <c r="L23" i="74" s="1"/>
  <c r="L24" i="74" s="1"/>
  <c r="N5" i="74"/>
  <c r="J28" i="74"/>
  <c r="J29" i="74" s="1"/>
  <c r="J30" i="74" s="1"/>
  <c r="K28" i="74"/>
  <c r="L28" i="74"/>
  <c r="L29" i="74" s="1"/>
  <c r="L30" i="74" s="1"/>
  <c r="J82" i="73"/>
  <c r="L44" i="73"/>
  <c r="M57" i="73"/>
  <c r="L82" i="73"/>
  <c r="M44" i="73"/>
  <c r="J22" i="73"/>
  <c r="J23" i="73" s="1"/>
  <c r="J24" i="73" s="1"/>
  <c r="K22" i="73"/>
  <c r="M22" i="73"/>
  <c r="M23" i="73" s="1"/>
  <c r="M24" i="73" s="1"/>
  <c r="M31" i="73" s="1"/>
  <c r="M83" i="73" s="1"/>
  <c r="L22" i="73"/>
  <c r="L23" i="73" s="1"/>
  <c r="L24" i="73" s="1"/>
  <c r="M82" i="73"/>
  <c r="N5" i="73"/>
  <c r="J28" i="73"/>
  <c r="J29" i="73" s="1"/>
  <c r="J30" i="73" s="1"/>
  <c r="K28" i="73"/>
  <c r="L28" i="73"/>
  <c r="L29" i="73" s="1"/>
  <c r="L30" i="73" s="1"/>
  <c r="L82" i="72"/>
  <c r="M44" i="72"/>
  <c r="J22" i="72"/>
  <c r="J23" i="72" s="1"/>
  <c r="J24" i="72" s="1"/>
  <c r="K22" i="72"/>
  <c r="M22" i="72"/>
  <c r="M23" i="72" s="1"/>
  <c r="M24" i="72" s="1"/>
  <c r="M31" i="72" s="1"/>
  <c r="M83" i="72" s="1"/>
  <c r="L22" i="72"/>
  <c r="L23" i="72" s="1"/>
  <c r="L24" i="72" s="1"/>
  <c r="N5" i="72"/>
  <c r="J28" i="72"/>
  <c r="J29" i="72" s="1"/>
  <c r="J30" i="72" s="1"/>
  <c r="K28" i="72"/>
  <c r="L28" i="72"/>
  <c r="L29" i="72" s="1"/>
  <c r="L30" i="72" s="1"/>
  <c r="J18" i="71"/>
  <c r="J22" i="71"/>
  <c r="J23" i="71" s="1"/>
  <c r="J24" i="71" s="1"/>
  <c r="L22" i="71"/>
  <c r="L23" i="71" s="1"/>
  <c r="L24" i="71" s="1"/>
  <c r="M22" i="71"/>
  <c r="M23" i="71" s="1"/>
  <c r="M24" i="71" s="1"/>
  <c r="M31" i="71" s="1"/>
  <c r="M83" i="71" s="1"/>
  <c r="K22" i="71"/>
  <c r="J44" i="71"/>
  <c r="N5" i="71"/>
  <c r="J28" i="71"/>
  <c r="J29" i="71" s="1"/>
  <c r="J30" i="71" s="1"/>
  <c r="K28" i="71"/>
  <c r="L28" i="71"/>
  <c r="L29" i="71" s="1"/>
  <c r="L30" i="71" s="1"/>
  <c r="J44" i="70"/>
  <c r="M18" i="70"/>
  <c r="J22" i="70"/>
  <c r="J23" i="70" s="1"/>
  <c r="J24" i="70" s="1"/>
  <c r="K22" i="70"/>
  <c r="M22" i="70"/>
  <c r="M23" i="70" s="1"/>
  <c r="M24" i="70" s="1"/>
  <c r="M31" i="70" s="1"/>
  <c r="L22" i="70"/>
  <c r="L23" i="70" s="1"/>
  <c r="L24" i="70" s="1"/>
  <c r="M44" i="70"/>
  <c r="L57" i="70"/>
  <c r="N5" i="70"/>
  <c r="J28" i="70"/>
  <c r="J29" i="70" s="1"/>
  <c r="J30" i="70" s="1"/>
  <c r="K28" i="70"/>
  <c r="L28" i="70"/>
  <c r="L29" i="70" s="1"/>
  <c r="L30" i="70" s="1"/>
  <c r="J22" i="69"/>
  <c r="J23" i="69" s="1"/>
  <c r="J24" i="69" s="1"/>
  <c r="M22" i="69"/>
  <c r="M23" i="69" s="1"/>
  <c r="M24" i="69" s="1"/>
  <c r="M31" i="69" s="1"/>
  <c r="K22" i="69"/>
  <c r="L22" i="69"/>
  <c r="L23" i="69" s="1"/>
  <c r="L24" i="69" s="1"/>
  <c r="M18" i="69"/>
  <c r="N5" i="69"/>
  <c r="J28" i="69"/>
  <c r="J29" i="69" s="1"/>
  <c r="J30" i="69" s="1"/>
  <c r="K28" i="69"/>
  <c r="L28" i="69"/>
  <c r="L29" i="69" s="1"/>
  <c r="L30" i="69" s="1"/>
  <c r="J22" i="68"/>
  <c r="J23" i="68" s="1"/>
  <c r="J24" i="68" s="1"/>
  <c r="L22" i="68"/>
  <c r="L23" i="68" s="1"/>
  <c r="L24" i="68" s="1"/>
  <c r="M22" i="68"/>
  <c r="M23" i="68" s="1"/>
  <c r="M24" i="68" s="1"/>
  <c r="M31" i="68" s="1"/>
  <c r="M83" i="68" s="1"/>
  <c r="K22" i="68"/>
  <c r="J18" i="68"/>
  <c r="N5" i="68"/>
  <c r="J28" i="68"/>
  <c r="J29" i="68" s="1"/>
  <c r="J30" i="68" s="1"/>
  <c r="K28" i="68"/>
  <c r="L28" i="68"/>
  <c r="L29" i="68" s="1"/>
  <c r="L30" i="68" s="1"/>
  <c r="N5" i="67"/>
  <c r="J22" i="67"/>
  <c r="J23" i="67" s="1"/>
  <c r="J24" i="67" s="1"/>
  <c r="L22" i="67"/>
  <c r="L23" i="67" s="1"/>
  <c r="L24" i="67" s="1"/>
  <c r="M22" i="67"/>
  <c r="M23" i="67" s="1"/>
  <c r="M24" i="67" s="1"/>
  <c r="K22" i="67"/>
  <c r="M28" i="67"/>
  <c r="M29" i="67" s="1"/>
  <c r="M30" i="67" s="1"/>
  <c r="L28" i="67"/>
  <c r="L29" i="67" s="1"/>
  <c r="L30" i="67" s="1"/>
  <c r="K28" i="67"/>
  <c r="J28" i="67"/>
  <c r="J29" i="67" s="1"/>
  <c r="J30" i="67" s="1"/>
  <c r="M57" i="67"/>
  <c r="M82" i="67"/>
  <c r="N5" i="66"/>
  <c r="J18" i="66"/>
  <c r="J22" i="66"/>
  <c r="J23" i="66" s="1"/>
  <c r="J24" i="66" s="1"/>
  <c r="M22" i="66"/>
  <c r="M23" i="66" s="1"/>
  <c r="M24" i="66" s="1"/>
  <c r="K22" i="66"/>
  <c r="L22" i="66"/>
  <c r="L23" i="66" s="1"/>
  <c r="L24" i="66" s="1"/>
  <c r="M28" i="66"/>
  <c r="M29" i="66" s="1"/>
  <c r="M30" i="66" s="1"/>
  <c r="L28" i="66"/>
  <c r="L29" i="66" s="1"/>
  <c r="L30" i="66" s="1"/>
  <c r="K28" i="66"/>
  <c r="J28" i="66"/>
  <c r="J29" i="66" s="1"/>
  <c r="J30" i="66" s="1"/>
  <c r="J44" i="66"/>
  <c r="N5" i="65"/>
  <c r="J22" i="65"/>
  <c r="J23" i="65" s="1"/>
  <c r="J24" i="65" s="1"/>
  <c r="M22" i="65"/>
  <c r="M23" i="65" s="1"/>
  <c r="M24" i="65" s="1"/>
  <c r="K22" i="65"/>
  <c r="L22" i="65"/>
  <c r="L23" i="65" s="1"/>
  <c r="L24" i="65" s="1"/>
  <c r="M57" i="65"/>
  <c r="M28" i="65"/>
  <c r="M29" i="65" s="1"/>
  <c r="M30" i="65" s="1"/>
  <c r="L28" i="65"/>
  <c r="L29" i="65" s="1"/>
  <c r="L30" i="65" s="1"/>
  <c r="K28" i="65"/>
  <c r="J28" i="65"/>
  <c r="J29" i="65" s="1"/>
  <c r="J30" i="65" s="1"/>
  <c r="J18" i="65"/>
  <c r="J22" i="64"/>
  <c r="J23" i="64" s="1"/>
  <c r="J24" i="64" s="1"/>
  <c r="M22" i="64"/>
  <c r="M23" i="64" s="1"/>
  <c r="M24" i="64" s="1"/>
  <c r="L22" i="64"/>
  <c r="L23" i="64" s="1"/>
  <c r="L24" i="64" s="1"/>
  <c r="K22" i="64"/>
  <c r="M82" i="64"/>
  <c r="M28" i="64"/>
  <c r="M29" i="64" s="1"/>
  <c r="M30" i="64" s="1"/>
  <c r="L28" i="64"/>
  <c r="L29" i="64" s="1"/>
  <c r="L30" i="64" s="1"/>
  <c r="K28" i="64"/>
  <c r="J28" i="64"/>
  <c r="J29" i="64" s="1"/>
  <c r="J30" i="64" s="1"/>
  <c r="J44" i="64"/>
  <c r="N5" i="64"/>
  <c r="L82" i="63"/>
  <c r="M44" i="63"/>
  <c r="L57" i="63"/>
  <c r="J22" i="63"/>
  <c r="J23" i="63" s="1"/>
  <c r="J24" i="63" s="1"/>
  <c r="M22" i="63"/>
  <c r="M23" i="63" s="1"/>
  <c r="M24" i="63" s="1"/>
  <c r="L22" i="63"/>
  <c r="L23" i="63" s="1"/>
  <c r="L24" i="63" s="1"/>
  <c r="K22" i="63"/>
  <c r="M28" i="63"/>
  <c r="M29" i="63" s="1"/>
  <c r="M30" i="63" s="1"/>
  <c r="L28" i="63"/>
  <c r="L29" i="63" s="1"/>
  <c r="L30" i="63" s="1"/>
  <c r="K28" i="63"/>
  <c r="J28" i="63"/>
  <c r="J29" i="63" s="1"/>
  <c r="J30" i="63" s="1"/>
  <c r="N5" i="63"/>
  <c r="M28" i="62"/>
  <c r="M29" i="62" s="1"/>
  <c r="M30" i="62" s="1"/>
  <c r="L28" i="62"/>
  <c r="L29" i="62" s="1"/>
  <c r="L30" i="62" s="1"/>
  <c r="K28" i="62"/>
  <c r="J28" i="62"/>
  <c r="J29" i="62" s="1"/>
  <c r="J30" i="62" s="1"/>
  <c r="J18" i="62"/>
  <c r="L57" i="62"/>
  <c r="M82" i="62"/>
  <c r="M18" i="62"/>
  <c r="J22" i="62"/>
  <c r="J23" i="62" s="1"/>
  <c r="J24" i="62" s="1"/>
  <c r="L22" i="62"/>
  <c r="L23" i="62" s="1"/>
  <c r="L24" i="62" s="1"/>
  <c r="M22" i="62"/>
  <c r="M23" i="62" s="1"/>
  <c r="M24" i="62" s="1"/>
  <c r="K22" i="62"/>
  <c r="N5" i="62"/>
  <c r="J22" i="61"/>
  <c r="J23" i="61" s="1"/>
  <c r="J24" i="61" s="1"/>
  <c r="K22" i="61"/>
  <c r="M22" i="61"/>
  <c r="M23" i="61" s="1"/>
  <c r="M24" i="61" s="1"/>
  <c r="M31" i="61" s="1"/>
  <c r="M83" i="61" s="1"/>
  <c r="L22" i="61"/>
  <c r="L23" i="61" s="1"/>
  <c r="L24" i="61" s="1"/>
  <c r="J18" i="61"/>
  <c r="M82" i="61"/>
  <c r="N5" i="61"/>
  <c r="J28" i="61"/>
  <c r="J29" i="61" s="1"/>
  <c r="J30" i="61" s="1"/>
  <c r="K28" i="61"/>
  <c r="L28" i="61"/>
  <c r="L29" i="61" s="1"/>
  <c r="L30" i="61" s="1"/>
  <c r="M28" i="60"/>
  <c r="M29" i="60" s="1"/>
  <c r="M30" i="60" s="1"/>
  <c r="L28" i="60"/>
  <c r="L29" i="60" s="1"/>
  <c r="L30" i="60" s="1"/>
  <c r="K28" i="60"/>
  <c r="J28" i="60"/>
  <c r="J29" i="60" s="1"/>
  <c r="J30" i="60" s="1"/>
  <c r="M82" i="60"/>
  <c r="M57" i="60"/>
  <c r="L82" i="60"/>
  <c r="J22" i="60"/>
  <c r="J23" i="60" s="1"/>
  <c r="J24" i="60" s="1"/>
  <c r="L22" i="60"/>
  <c r="L23" i="60" s="1"/>
  <c r="L24" i="60" s="1"/>
  <c r="M22" i="60"/>
  <c r="M23" i="60" s="1"/>
  <c r="M24" i="60" s="1"/>
  <c r="K22" i="60"/>
  <c r="N5" i="60"/>
  <c r="N5" i="59"/>
  <c r="M28" i="59"/>
  <c r="M29" i="59" s="1"/>
  <c r="M30" i="59" s="1"/>
  <c r="L28" i="59"/>
  <c r="L29" i="59" s="1"/>
  <c r="L30" i="59" s="1"/>
  <c r="K28" i="59"/>
  <c r="J28" i="59"/>
  <c r="J29" i="59" s="1"/>
  <c r="J30" i="59" s="1"/>
  <c r="J22" i="59"/>
  <c r="J23" i="59" s="1"/>
  <c r="J24" i="59" s="1"/>
  <c r="L22" i="59"/>
  <c r="L23" i="59" s="1"/>
  <c r="L24" i="59" s="1"/>
  <c r="M22" i="59"/>
  <c r="M23" i="59" s="1"/>
  <c r="M24" i="59" s="1"/>
  <c r="K22" i="59"/>
  <c r="J18" i="59"/>
  <c r="J44" i="59"/>
  <c r="J22" i="58"/>
  <c r="J23" i="58" s="1"/>
  <c r="J24" i="58" s="1"/>
  <c r="K22" i="58"/>
  <c r="M22" i="58"/>
  <c r="M23" i="58" s="1"/>
  <c r="M24" i="58" s="1"/>
  <c r="M31" i="58" s="1"/>
  <c r="L22" i="58"/>
  <c r="L23" i="58" s="1"/>
  <c r="L24" i="58" s="1"/>
  <c r="M18" i="58"/>
  <c r="N5" i="58"/>
  <c r="J28" i="58"/>
  <c r="J29" i="58" s="1"/>
  <c r="J30" i="58" s="1"/>
  <c r="K28" i="58"/>
  <c r="L28" i="58"/>
  <c r="L29" i="58" s="1"/>
  <c r="L30" i="58" s="1"/>
  <c r="L82" i="57"/>
  <c r="M44" i="57"/>
  <c r="J22" i="57"/>
  <c r="J23" i="57" s="1"/>
  <c r="J24" i="57" s="1"/>
  <c r="K22" i="57"/>
  <c r="M22" i="57"/>
  <c r="M23" i="57" s="1"/>
  <c r="M24" i="57" s="1"/>
  <c r="M31" i="57" s="1"/>
  <c r="M83" i="57" s="1"/>
  <c r="L22" i="57"/>
  <c r="L23" i="57" s="1"/>
  <c r="L24" i="57" s="1"/>
  <c r="L57" i="57"/>
  <c r="N5" i="57"/>
  <c r="J28" i="57"/>
  <c r="J29" i="57" s="1"/>
  <c r="J30" i="57" s="1"/>
  <c r="K28" i="57"/>
  <c r="L28" i="57"/>
  <c r="L29" i="57" s="1"/>
  <c r="L30" i="57" s="1"/>
  <c r="J22" i="56"/>
  <c r="J23" i="56" s="1"/>
  <c r="J24" i="56" s="1"/>
  <c r="M22" i="56"/>
  <c r="M23" i="56" s="1"/>
  <c r="M24" i="56" s="1"/>
  <c r="M31" i="56" s="1"/>
  <c r="L22" i="56"/>
  <c r="L23" i="56" s="1"/>
  <c r="L24" i="56" s="1"/>
  <c r="K22" i="56"/>
  <c r="J44" i="56"/>
  <c r="L44" i="56"/>
  <c r="M57" i="56"/>
  <c r="L18" i="56"/>
  <c r="L57" i="56"/>
  <c r="M18" i="56"/>
  <c r="M44" i="56"/>
  <c r="N5" i="56"/>
  <c r="J28" i="56"/>
  <c r="J29" i="56" s="1"/>
  <c r="J30" i="56" s="1"/>
  <c r="K28" i="56"/>
  <c r="L28" i="56"/>
  <c r="L29" i="56" s="1"/>
  <c r="L30" i="56" s="1"/>
  <c r="L44" i="55"/>
  <c r="M57" i="55"/>
  <c r="J22" i="55"/>
  <c r="J23" i="55" s="1"/>
  <c r="J24" i="55" s="1"/>
  <c r="K22" i="55"/>
  <c r="M22" i="55"/>
  <c r="M23" i="55" s="1"/>
  <c r="M24" i="55" s="1"/>
  <c r="M31" i="55" s="1"/>
  <c r="M83" i="55" s="1"/>
  <c r="L22" i="55"/>
  <c r="L23" i="55" s="1"/>
  <c r="L24" i="55" s="1"/>
  <c r="M82" i="55"/>
  <c r="N5" i="55"/>
  <c r="J28" i="55"/>
  <c r="J29" i="55" s="1"/>
  <c r="J30" i="55" s="1"/>
  <c r="K28" i="55"/>
  <c r="L28" i="55"/>
  <c r="L29" i="55" s="1"/>
  <c r="L30" i="55" s="1"/>
  <c r="M44" i="54"/>
  <c r="J22" i="54"/>
  <c r="J23" i="54" s="1"/>
  <c r="J24" i="54" s="1"/>
  <c r="K22" i="54"/>
  <c r="M22" i="54"/>
  <c r="M23" i="54" s="1"/>
  <c r="M24" i="54" s="1"/>
  <c r="M31" i="54" s="1"/>
  <c r="L22" i="54"/>
  <c r="L23" i="54" s="1"/>
  <c r="L24" i="54" s="1"/>
  <c r="M82" i="54"/>
  <c r="N5" i="54"/>
  <c r="J28" i="54"/>
  <c r="J29" i="54" s="1"/>
  <c r="J30" i="54" s="1"/>
  <c r="K28" i="54"/>
  <c r="L28" i="54"/>
  <c r="L29" i="54" s="1"/>
  <c r="L30" i="54" s="1"/>
  <c r="M57" i="53"/>
  <c r="J22" i="53"/>
  <c r="J23" i="53" s="1"/>
  <c r="J24" i="53" s="1"/>
  <c r="K22" i="53"/>
  <c r="M22" i="53"/>
  <c r="M23" i="53" s="1"/>
  <c r="M24" i="53" s="1"/>
  <c r="M31" i="53" s="1"/>
  <c r="M83" i="53" s="1"/>
  <c r="L22" i="53"/>
  <c r="L23" i="53" s="1"/>
  <c r="L24" i="53" s="1"/>
  <c r="M82" i="53"/>
  <c r="N5" i="53"/>
  <c r="J28" i="53"/>
  <c r="J29" i="53" s="1"/>
  <c r="J30" i="53" s="1"/>
  <c r="K28" i="53"/>
  <c r="L28" i="53"/>
  <c r="L29" i="53" s="1"/>
  <c r="L30" i="53" s="1"/>
  <c r="J22" i="52"/>
  <c r="J23" i="52" s="1"/>
  <c r="J24" i="52" s="1"/>
  <c r="M22" i="52"/>
  <c r="M23" i="52" s="1"/>
  <c r="M24" i="52" s="1"/>
  <c r="M31" i="52" s="1"/>
  <c r="M83" i="52" s="1"/>
  <c r="L22" i="52"/>
  <c r="L23" i="52" s="1"/>
  <c r="L24" i="52" s="1"/>
  <c r="K22" i="52"/>
  <c r="M44" i="52"/>
  <c r="L82" i="52"/>
  <c r="L57" i="52"/>
  <c r="M82" i="52"/>
  <c r="N5" i="52"/>
  <c r="J28" i="52"/>
  <c r="J29" i="52" s="1"/>
  <c r="J30" i="52" s="1"/>
  <c r="K28" i="52"/>
  <c r="L28" i="52"/>
  <c r="L29" i="52" s="1"/>
  <c r="L30" i="52" s="1"/>
  <c r="M44" i="51"/>
  <c r="L82" i="51"/>
  <c r="M57" i="51"/>
  <c r="J22" i="51"/>
  <c r="J23" i="51" s="1"/>
  <c r="J24" i="51" s="1"/>
  <c r="L22" i="51"/>
  <c r="L23" i="51" s="1"/>
  <c r="L24" i="51" s="1"/>
  <c r="M22" i="51"/>
  <c r="M23" i="51" s="1"/>
  <c r="M24" i="51" s="1"/>
  <c r="K22" i="51"/>
  <c r="M28" i="51"/>
  <c r="M29" i="51" s="1"/>
  <c r="M30" i="51" s="1"/>
  <c r="L28" i="51"/>
  <c r="L29" i="51" s="1"/>
  <c r="L30" i="51" s="1"/>
  <c r="K28" i="51"/>
  <c r="J28" i="51"/>
  <c r="J29" i="51" s="1"/>
  <c r="J30" i="51" s="1"/>
  <c r="N5" i="51"/>
  <c r="M57" i="50"/>
  <c r="J82" i="50"/>
  <c r="L82" i="50"/>
  <c r="J22" i="50"/>
  <c r="J23" i="50" s="1"/>
  <c r="J24" i="50" s="1"/>
  <c r="K22" i="50"/>
  <c r="M22" i="50"/>
  <c r="M23" i="50" s="1"/>
  <c r="M24" i="50" s="1"/>
  <c r="M31" i="50" s="1"/>
  <c r="L22" i="50"/>
  <c r="L23" i="50" s="1"/>
  <c r="L24" i="50" s="1"/>
  <c r="M82" i="50"/>
  <c r="N5" i="50"/>
  <c r="J28" i="50"/>
  <c r="J29" i="50" s="1"/>
  <c r="J30" i="50" s="1"/>
  <c r="K28" i="50"/>
  <c r="L28" i="50"/>
  <c r="L29" i="50" s="1"/>
  <c r="L30" i="50" s="1"/>
  <c r="M18" i="49"/>
  <c r="J82" i="49"/>
  <c r="L44" i="49"/>
  <c r="M57" i="49"/>
  <c r="L82" i="49"/>
  <c r="M44" i="49"/>
  <c r="J22" i="49"/>
  <c r="J23" i="49" s="1"/>
  <c r="J24" i="49" s="1"/>
  <c r="K22" i="49"/>
  <c r="M22" i="49"/>
  <c r="M23" i="49" s="1"/>
  <c r="M24" i="49" s="1"/>
  <c r="M31" i="49" s="1"/>
  <c r="L22" i="49"/>
  <c r="L23" i="49" s="1"/>
  <c r="L24" i="49" s="1"/>
  <c r="M82" i="49"/>
  <c r="N5" i="49"/>
  <c r="J28" i="49"/>
  <c r="J29" i="49" s="1"/>
  <c r="J30" i="49" s="1"/>
  <c r="K28" i="49"/>
  <c r="L28" i="49"/>
  <c r="L29" i="49" s="1"/>
  <c r="L30" i="49" s="1"/>
  <c r="N5" i="48"/>
  <c r="M28" i="48"/>
  <c r="M29" i="48" s="1"/>
  <c r="M30" i="48" s="1"/>
  <c r="L28" i="48"/>
  <c r="L29" i="48" s="1"/>
  <c r="L30" i="48" s="1"/>
  <c r="K28" i="48"/>
  <c r="J28" i="48"/>
  <c r="J29" i="48" s="1"/>
  <c r="J30" i="48" s="1"/>
  <c r="J18" i="48"/>
  <c r="J22" i="48"/>
  <c r="J23" i="48" s="1"/>
  <c r="J24" i="48" s="1"/>
  <c r="K22" i="48"/>
  <c r="M22" i="48"/>
  <c r="M23" i="48" s="1"/>
  <c r="M24" i="48" s="1"/>
  <c r="L22" i="48"/>
  <c r="L23" i="48" s="1"/>
  <c r="L24" i="48" s="1"/>
  <c r="M44" i="47"/>
  <c r="L82" i="47"/>
  <c r="J22" i="47"/>
  <c r="J23" i="47" s="1"/>
  <c r="J24" i="47" s="1"/>
  <c r="L22" i="47"/>
  <c r="L23" i="47" s="1"/>
  <c r="L24" i="47" s="1"/>
  <c r="K22" i="47"/>
  <c r="M22" i="47"/>
  <c r="M23" i="47" s="1"/>
  <c r="M24" i="47" s="1"/>
  <c r="M31" i="47" s="1"/>
  <c r="M83" i="47" s="1"/>
  <c r="N5" i="47"/>
  <c r="J28" i="47"/>
  <c r="J29" i="47" s="1"/>
  <c r="J30" i="47" s="1"/>
  <c r="K28" i="47"/>
  <c r="L28" i="47"/>
  <c r="L29" i="47" s="1"/>
  <c r="L30" i="47" s="1"/>
  <c r="M82" i="46"/>
  <c r="M18" i="46"/>
  <c r="M57" i="46"/>
  <c r="L82" i="46"/>
  <c r="M28" i="46"/>
  <c r="M29" i="46" s="1"/>
  <c r="M30" i="46" s="1"/>
  <c r="L28" i="46"/>
  <c r="L29" i="46" s="1"/>
  <c r="L30" i="46" s="1"/>
  <c r="K28" i="46"/>
  <c r="J28" i="46"/>
  <c r="J29" i="46" s="1"/>
  <c r="J30" i="46" s="1"/>
  <c r="J22" i="46"/>
  <c r="J23" i="46" s="1"/>
  <c r="J24" i="46" s="1"/>
  <c r="L22" i="46"/>
  <c r="L23" i="46" s="1"/>
  <c r="L24" i="46" s="1"/>
  <c r="M22" i="46"/>
  <c r="M23" i="46" s="1"/>
  <c r="M24" i="46" s="1"/>
  <c r="K22" i="46"/>
  <c r="N5" i="46"/>
  <c r="J22" i="45"/>
  <c r="J23" i="45" s="1"/>
  <c r="J24" i="45" s="1"/>
  <c r="K22" i="45"/>
  <c r="M22" i="45"/>
  <c r="M23" i="45" s="1"/>
  <c r="M24" i="45" s="1"/>
  <c r="M31" i="45" s="1"/>
  <c r="M83" i="45" s="1"/>
  <c r="L22" i="45"/>
  <c r="L23" i="45" s="1"/>
  <c r="L24" i="45" s="1"/>
  <c r="L57" i="45"/>
  <c r="N5" i="45"/>
  <c r="J28" i="45"/>
  <c r="J29" i="45" s="1"/>
  <c r="J30" i="45" s="1"/>
  <c r="K28" i="45"/>
  <c r="L28" i="45"/>
  <c r="L29" i="45" s="1"/>
  <c r="L30" i="45" s="1"/>
  <c r="M44" i="44"/>
  <c r="J22" i="44"/>
  <c r="J23" i="44" s="1"/>
  <c r="J24" i="44" s="1"/>
  <c r="K22" i="44"/>
  <c r="M22" i="44"/>
  <c r="M23" i="44" s="1"/>
  <c r="M24" i="44" s="1"/>
  <c r="M31" i="44" s="1"/>
  <c r="M83" i="44" s="1"/>
  <c r="L22" i="44"/>
  <c r="L23" i="44" s="1"/>
  <c r="L24" i="44" s="1"/>
  <c r="L57" i="44"/>
  <c r="N5" i="44"/>
  <c r="J28" i="44"/>
  <c r="J29" i="44" s="1"/>
  <c r="J30" i="44" s="1"/>
  <c r="K28" i="44"/>
  <c r="L28" i="44"/>
  <c r="L29" i="44" s="1"/>
  <c r="L30" i="44" s="1"/>
  <c r="M28" i="43"/>
  <c r="M29" i="43" s="1"/>
  <c r="M30" i="43" s="1"/>
  <c r="L28" i="43"/>
  <c r="L29" i="43" s="1"/>
  <c r="L30" i="43" s="1"/>
  <c r="K28" i="43"/>
  <c r="J28" i="43"/>
  <c r="J29" i="43" s="1"/>
  <c r="J30" i="43" s="1"/>
  <c r="L57" i="43"/>
  <c r="M82" i="43"/>
  <c r="M18" i="43"/>
  <c r="M44" i="43"/>
  <c r="L82" i="43"/>
  <c r="J44" i="43"/>
  <c r="M57" i="43"/>
  <c r="J22" i="43"/>
  <c r="J23" i="43" s="1"/>
  <c r="J24" i="43" s="1"/>
  <c r="L22" i="43"/>
  <c r="L23" i="43" s="1"/>
  <c r="L24" i="43" s="1"/>
  <c r="M22" i="43"/>
  <c r="M23" i="43" s="1"/>
  <c r="M24" i="43" s="1"/>
  <c r="K22" i="43"/>
  <c r="N5" i="43"/>
  <c r="J22" i="42"/>
  <c r="J23" i="42" s="1"/>
  <c r="J24" i="42" s="1"/>
  <c r="K22" i="42"/>
  <c r="L22" i="42"/>
  <c r="L23" i="42" s="1"/>
  <c r="L24" i="42" s="1"/>
  <c r="M22" i="42"/>
  <c r="M23" i="42" s="1"/>
  <c r="M24" i="42" s="1"/>
  <c r="M31" i="42" s="1"/>
  <c r="M18" i="42"/>
  <c r="N5" i="42"/>
  <c r="J28" i="42"/>
  <c r="J29" i="42" s="1"/>
  <c r="J30" i="42" s="1"/>
  <c r="K28" i="42"/>
  <c r="L28" i="42"/>
  <c r="L29" i="42" s="1"/>
  <c r="L30" i="42" s="1"/>
  <c r="J22" i="41"/>
  <c r="J23" i="41" s="1"/>
  <c r="J24" i="41" s="1"/>
  <c r="M22" i="41"/>
  <c r="M23" i="41" s="1"/>
  <c r="M24" i="41" s="1"/>
  <c r="M31" i="41" s="1"/>
  <c r="L22" i="41"/>
  <c r="L23" i="41" s="1"/>
  <c r="L24" i="41" s="1"/>
  <c r="K22" i="41"/>
  <c r="J82" i="41"/>
  <c r="M18" i="41"/>
  <c r="L82" i="41"/>
  <c r="M44" i="41"/>
  <c r="L57" i="41"/>
  <c r="M82" i="41"/>
  <c r="N5" i="41"/>
  <c r="J28" i="41"/>
  <c r="J29" i="41" s="1"/>
  <c r="J30" i="41" s="1"/>
  <c r="K28" i="41"/>
  <c r="L28" i="41"/>
  <c r="L29" i="41" s="1"/>
  <c r="L30" i="41" s="1"/>
  <c r="N5" i="40"/>
  <c r="L82" i="40"/>
  <c r="J22" i="40"/>
  <c r="J23" i="40" s="1"/>
  <c r="J24" i="40" s="1"/>
  <c r="M22" i="40"/>
  <c r="M23" i="40" s="1"/>
  <c r="M24" i="40" s="1"/>
  <c r="L22" i="40"/>
  <c r="L23" i="40" s="1"/>
  <c r="L24" i="40" s="1"/>
  <c r="K22" i="40"/>
  <c r="J44" i="40"/>
  <c r="M82" i="40"/>
  <c r="M28" i="40"/>
  <c r="M29" i="40" s="1"/>
  <c r="M30" i="40" s="1"/>
  <c r="L28" i="40"/>
  <c r="L29" i="40" s="1"/>
  <c r="L30" i="40" s="1"/>
  <c r="K28" i="40"/>
  <c r="J28" i="40"/>
  <c r="J29" i="40" s="1"/>
  <c r="J30" i="40" s="1"/>
  <c r="M57" i="40"/>
  <c r="L18" i="39"/>
  <c r="L82" i="39"/>
  <c r="M44" i="39"/>
  <c r="L57" i="39"/>
  <c r="J22" i="39"/>
  <c r="J23" i="39" s="1"/>
  <c r="J24" i="39" s="1"/>
  <c r="K22" i="39"/>
  <c r="M22" i="39"/>
  <c r="M23" i="39" s="1"/>
  <c r="M24" i="39" s="1"/>
  <c r="M31" i="39" s="1"/>
  <c r="M83" i="39" s="1"/>
  <c r="L22" i="39"/>
  <c r="L23" i="39" s="1"/>
  <c r="L24" i="39" s="1"/>
  <c r="N5" i="39"/>
  <c r="J28" i="39"/>
  <c r="J29" i="39" s="1"/>
  <c r="J30" i="39" s="1"/>
  <c r="K28" i="39"/>
  <c r="L28" i="39"/>
  <c r="L29" i="39" s="1"/>
  <c r="L30" i="39" s="1"/>
  <c r="N5" i="38"/>
  <c r="J22" i="38"/>
  <c r="J23" i="38" s="1"/>
  <c r="J24" i="38" s="1"/>
  <c r="M22" i="38"/>
  <c r="M23" i="38" s="1"/>
  <c r="M24" i="38" s="1"/>
  <c r="L22" i="38"/>
  <c r="L23" i="38" s="1"/>
  <c r="L24" i="38" s="1"/>
  <c r="K22" i="38"/>
  <c r="M28" i="38"/>
  <c r="M29" i="38" s="1"/>
  <c r="M30" i="38" s="1"/>
  <c r="L28" i="38"/>
  <c r="L29" i="38" s="1"/>
  <c r="L30" i="38" s="1"/>
  <c r="K28" i="38"/>
  <c r="J28" i="38"/>
  <c r="J29" i="38" s="1"/>
  <c r="J30" i="38" s="1"/>
  <c r="L82" i="38"/>
  <c r="M57" i="38"/>
  <c r="M82" i="38"/>
  <c r="J18" i="38"/>
  <c r="N5" i="37"/>
  <c r="J22" i="37"/>
  <c r="J23" i="37" s="1"/>
  <c r="J24" i="37" s="1"/>
  <c r="L22" i="37"/>
  <c r="L23" i="37" s="1"/>
  <c r="L24" i="37" s="1"/>
  <c r="M22" i="37"/>
  <c r="M23" i="37" s="1"/>
  <c r="M24" i="37" s="1"/>
  <c r="K22" i="37"/>
  <c r="M28" i="37"/>
  <c r="M29" i="37" s="1"/>
  <c r="M30" i="37" s="1"/>
  <c r="L28" i="37"/>
  <c r="L29" i="37" s="1"/>
  <c r="L30" i="37" s="1"/>
  <c r="K28" i="37"/>
  <c r="J28" i="37"/>
  <c r="J29" i="37" s="1"/>
  <c r="J30" i="37" s="1"/>
  <c r="J18" i="37"/>
  <c r="M57" i="36"/>
  <c r="J22" i="36"/>
  <c r="J23" i="36" s="1"/>
  <c r="J24" i="36" s="1"/>
  <c r="K22" i="36"/>
  <c r="M22" i="36"/>
  <c r="M23" i="36" s="1"/>
  <c r="M24" i="36" s="1"/>
  <c r="M31" i="36" s="1"/>
  <c r="L22" i="36"/>
  <c r="L23" i="36" s="1"/>
  <c r="L24" i="36" s="1"/>
  <c r="M82" i="36"/>
  <c r="N5" i="36"/>
  <c r="J28" i="36"/>
  <c r="J29" i="36" s="1"/>
  <c r="J30" i="36" s="1"/>
  <c r="K28" i="36"/>
  <c r="L28" i="36"/>
  <c r="L29" i="36" s="1"/>
  <c r="L30" i="36" s="1"/>
  <c r="M44" i="35"/>
  <c r="L82" i="35"/>
  <c r="J22" i="35"/>
  <c r="J23" i="35" s="1"/>
  <c r="J24" i="35" s="1"/>
  <c r="K22" i="35"/>
  <c r="L22" i="35"/>
  <c r="L23" i="35" s="1"/>
  <c r="L24" i="35" s="1"/>
  <c r="M22" i="35"/>
  <c r="M23" i="35" s="1"/>
  <c r="M24" i="35" s="1"/>
  <c r="M31" i="35" s="1"/>
  <c r="M83" i="35" s="1"/>
  <c r="N5" i="35"/>
  <c r="J28" i="35"/>
  <c r="J29" i="35" s="1"/>
  <c r="J30" i="35" s="1"/>
  <c r="K28" i="35"/>
  <c r="L28" i="35"/>
  <c r="L29" i="35" s="1"/>
  <c r="L30" i="35" s="1"/>
  <c r="N5" i="34"/>
  <c r="J44" i="34"/>
  <c r="J22" i="34"/>
  <c r="J23" i="34" s="1"/>
  <c r="J24" i="34" s="1"/>
  <c r="M22" i="34"/>
  <c r="M23" i="34" s="1"/>
  <c r="M24" i="34" s="1"/>
  <c r="L22" i="34"/>
  <c r="L23" i="34" s="1"/>
  <c r="L24" i="34" s="1"/>
  <c r="K22" i="34"/>
  <c r="M28" i="34"/>
  <c r="M29" i="34" s="1"/>
  <c r="M30" i="34" s="1"/>
  <c r="L28" i="34"/>
  <c r="L29" i="34" s="1"/>
  <c r="L30" i="34" s="1"/>
  <c r="K28" i="34"/>
  <c r="J28" i="34"/>
  <c r="J29" i="34" s="1"/>
  <c r="J30" i="34" s="1"/>
  <c r="J18" i="34"/>
  <c r="J22" i="33"/>
  <c r="J23" i="33" s="1"/>
  <c r="J24" i="33" s="1"/>
  <c r="K22" i="33"/>
  <c r="M22" i="33"/>
  <c r="M23" i="33" s="1"/>
  <c r="M24" i="33" s="1"/>
  <c r="M31" i="33" s="1"/>
  <c r="M83" i="33" s="1"/>
  <c r="L22" i="33"/>
  <c r="L23" i="33" s="1"/>
  <c r="L24" i="33" s="1"/>
  <c r="N5" i="33"/>
  <c r="J28" i="33"/>
  <c r="J29" i="33" s="1"/>
  <c r="J30" i="33" s="1"/>
  <c r="K28" i="33"/>
  <c r="L28" i="33"/>
  <c r="L29" i="33" s="1"/>
  <c r="L30" i="33" s="1"/>
  <c r="J22" i="32"/>
  <c r="J23" i="32" s="1"/>
  <c r="J24" i="32" s="1"/>
  <c r="L22" i="32"/>
  <c r="L23" i="32" s="1"/>
  <c r="L24" i="32" s="1"/>
  <c r="M22" i="32"/>
  <c r="M23" i="32" s="1"/>
  <c r="M24" i="32" s="1"/>
  <c r="K22" i="32"/>
  <c r="M44" i="32"/>
  <c r="M28" i="32"/>
  <c r="M29" i="32" s="1"/>
  <c r="M30" i="32" s="1"/>
  <c r="L28" i="32"/>
  <c r="L29" i="32" s="1"/>
  <c r="L30" i="32" s="1"/>
  <c r="K28" i="32"/>
  <c r="J28" i="32"/>
  <c r="J29" i="32" s="1"/>
  <c r="J30" i="32" s="1"/>
  <c r="M82" i="32"/>
  <c r="M57" i="32"/>
  <c r="M18" i="32"/>
  <c r="N5" i="32"/>
  <c r="N5" i="31"/>
  <c r="J22" i="31"/>
  <c r="J23" i="31" s="1"/>
  <c r="J24" i="31" s="1"/>
  <c r="M22" i="31"/>
  <c r="M23" i="31" s="1"/>
  <c r="M24" i="31" s="1"/>
  <c r="L22" i="31"/>
  <c r="L23" i="31" s="1"/>
  <c r="L24" i="31" s="1"/>
  <c r="K22" i="31"/>
  <c r="M28" i="31"/>
  <c r="M29" i="31" s="1"/>
  <c r="M30" i="31" s="1"/>
  <c r="L28" i="31"/>
  <c r="L29" i="31" s="1"/>
  <c r="L30" i="31" s="1"/>
  <c r="K28" i="31"/>
  <c r="J28" i="31"/>
  <c r="J29" i="31" s="1"/>
  <c r="J30" i="31" s="1"/>
  <c r="M57" i="31"/>
  <c r="M82" i="31"/>
  <c r="N5" i="30"/>
  <c r="J44" i="30"/>
  <c r="M82" i="30"/>
  <c r="J22" i="30"/>
  <c r="J23" i="30" s="1"/>
  <c r="J24" i="30" s="1"/>
  <c r="L22" i="30"/>
  <c r="L23" i="30" s="1"/>
  <c r="L24" i="30" s="1"/>
  <c r="M22" i="30"/>
  <c r="M23" i="30" s="1"/>
  <c r="M24" i="30" s="1"/>
  <c r="K22" i="30"/>
  <c r="M57" i="30"/>
  <c r="M28" i="30"/>
  <c r="M29" i="30" s="1"/>
  <c r="M30" i="30" s="1"/>
  <c r="L28" i="30"/>
  <c r="L29" i="30" s="1"/>
  <c r="L30" i="30" s="1"/>
  <c r="K28" i="30"/>
  <c r="J28" i="30"/>
  <c r="J29" i="30" s="1"/>
  <c r="J30" i="30" s="1"/>
  <c r="J82" i="29"/>
  <c r="J22" i="29"/>
  <c r="J23" i="29" s="1"/>
  <c r="J24" i="29" s="1"/>
  <c r="K22" i="29"/>
  <c r="M22" i="29"/>
  <c r="M23" i="29" s="1"/>
  <c r="M24" i="29" s="1"/>
  <c r="M31" i="29" s="1"/>
  <c r="M83" i="29" s="1"/>
  <c r="L22" i="29"/>
  <c r="L23" i="29" s="1"/>
  <c r="L24" i="29" s="1"/>
  <c r="L44" i="29"/>
  <c r="L82" i="29"/>
  <c r="L18" i="29"/>
  <c r="N5" i="29"/>
  <c r="J28" i="29"/>
  <c r="J29" i="29" s="1"/>
  <c r="J30" i="29" s="1"/>
  <c r="K28" i="29"/>
  <c r="L28" i="29"/>
  <c r="L29" i="29" s="1"/>
  <c r="L30" i="29" s="1"/>
  <c r="M57" i="28"/>
  <c r="J82" i="28"/>
  <c r="L44" i="28"/>
  <c r="L82" i="28"/>
  <c r="J22" i="28"/>
  <c r="J23" i="28" s="1"/>
  <c r="J24" i="28" s="1"/>
  <c r="M22" i="28"/>
  <c r="M23" i="28" s="1"/>
  <c r="M24" i="28" s="1"/>
  <c r="M31" i="28" s="1"/>
  <c r="K22" i="28"/>
  <c r="L22" i="28"/>
  <c r="L23" i="28" s="1"/>
  <c r="L24" i="28" s="1"/>
  <c r="N5" i="28"/>
  <c r="J28" i="28"/>
  <c r="J29" i="28" s="1"/>
  <c r="J30" i="28" s="1"/>
  <c r="K28" i="28"/>
  <c r="L28" i="28"/>
  <c r="L29" i="28" s="1"/>
  <c r="L30" i="28" s="1"/>
  <c r="J22" i="27"/>
  <c r="J23" i="27" s="1"/>
  <c r="J24" i="27" s="1"/>
  <c r="M22" i="27"/>
  <c r="M23" i="27" s="1"/>
  <c r="M24" i="27" s="1"/>
  <c r="K22" i="27"/>
  <c r="L22" i="27"/>
  <c r="L23" i="27" s="1"/>
  <c r="L24" i="27" s="1"/>
  <c r="M28" i="27"/>
  <c r="M29" i="27" s="1"/>
  <c r="M30" i="27" s="1"/>
  <c r="L28" i="27"/>
  <c r="L29" i="27" s="1"/>
  <c r="L30" i="27" s="1"/>
  <c r="K28" i="27"/>
  <c r="J28" i="27"/>
  <c r="J29" i="27" s="1"/>
  <c r="J30" i="27" s="1"/>
  <c r="M82" i="27"/>
  <c r="M57" i="27"/>
  <c r="M18" i="27"/>
  <c r="M44" i="27"/>
  <c r="N5" i="27"/>
  <c r="N5" i="26"/>
  <c r="J22" i="26"/>
  <c r="J23" i="26" s="1"/>
  <c r="J24" i="26" s="1"/>
  <c r="M22" i="26"/>
  <c r="M23" i="26" s="1"/>
  <c r="M24" i="26" s="1"/>
  <c r="L22" i="26"/>
  <c r="L23" i="26" s="1"/>
  <c r="L24" i="26" s="1"/>
  <c r="K22" i="26"/>
  <c r="J18" i="26"/>
  <c r="M28" i="26"/>
  <c r="M29" i="26" s="1"/>
  <c r="M30" i="26" s="1"/>
  <c r="L28" i="26"/>
  <c r="L29" i="26" s="1"/>
  <c r="L30" i="26" s="1"/>
  <c r="K28" i="26"/>
  <c r="J28" i="26"/>
  <c r="J29" i="26" s="1"/>
  <c r="J30" i="26" s="1"/>
  <c r="J44" i="26"/>
  <c r="N5" i="25"/>
  <c r="J44" i="25"/>
  <c r="N22" i="25"/>
  <c r="J28" i="25"/>
  <c r="J29" i="25" s="1"/>
  <c r="J30" i="25" s="1"/>
  <c r="K28" i="25"/>
  <c r="L28" i="25"/>
  <c r="L29" i="25" s="1"/>
  <c r="L30" i="25" s="1"/>
  <c r="J22" i="24"/>
  <c r="J23" i="24" s="1"/>
  <c r="J24" i="24" s="1"/>
  <c r="M22" i="24"/>
  <c r="M23" i="24" s="1"/>
  <c r="M24" i="24" s="1"/>
  <c r="K22" i="24"/>
  <c r="L22" i="24"/>
  <c r="L23" i="24" s="1"/>
  <c r="L24" i="24" s="1"/>
  <c r="M82" i="24"/>
  <c r="M28" i="24"/>
  <c r="M29" i="24" s="1"/>
  <c r="M30" i="24" s="1"/>
  <c r="L28" i="24"/>
  <c r="L29" i="24" s="1"/>
  <c r="L30" i="24" s="1"/>
  <c r="K28" i="24"/>
  <c r="J28" i="24"/>
  <c r="J29" i="24" s="1"/>
  <c r="J30" i="24" s="1"/>
  <c r="M57" i="24"/>
  <c r="L82" i="24"/>
  <c r="N5" i="24"/>
  <c r="M28" i="23"/>
  <c r="M29" i="23" s="1"/>
  <c r="M30" i="23" s="1"/>
  <c r="L28" i="23"/>
  <c r="L29" i="23" s="1"/>
  <c r="L30" i="23" s="1"/>
  <c r="K28" i="23"/>
  <c r="J28" i="23"/>
  <c r="J29" i="23" s="1"/>
  <c r="J30" i="23" s="1"/>
  <c r="L82" i="23"/>
  <c r="J22" i="23"/>
  <c r="J23" i="23" s="1"/>
  <c r="J24" i="23" s="1"/>
  <c r="L22" i="23"/>
  <c r="L23" i="23" s="1"/>
  <c r="L24" i="23" s="1"/>
  <c r="M22" i="23"/>
  <c r="M23" i="23" s="1"/>
  <c r="M24" i="23" s="1"/>
  <c r="K22" i="23"/>
  <c r="J18" i="23"/>
  <c r="L57" i="23"/>
  <c r="M18" i="23"/>
  <c r="N5" i="23"/>
  <c r="M57" i="22"/>
  <c r="J22" i="22"/>
  <c r="J23" i="22" s="1"/>
  <c r="J24" i="22" s="1"/>
  <c r="K22" i="22"/>
  <c r="M22" i="22"/>
  <c r="M23" i="22" s="1"/>
  <c r="M24" i="22" s="1"/>
  <c r="M31" i="22" s="1"/>
  <c r="M83" i="22" s="1"/>
  <c r="L22" i="22"/>
  <c r="L23" i="22" s="1"/>
  <c r="L24" i="22" s="1"/>
  <c r="N5" i="22"/>
  <c r="J28" i="22"/>
  <c r="J29" i="22" s="1"/>
  <c r="J30" i="22" s="1"/>
  <c r="K28" i="22"/>
  <c r="L28" i="22"/>
  <c r="L29" i="22" s="1"/>
  <c r="L30" i="22" s="1"/>
  <c r="J22" i="21"/>
  <c r="J23" i="21" s="1"/>
  <c r="J24" i="21" s="1"/>
  <c r="M22" i="21"/>
  <c r="M23" i="21" s="1"/>
  <c r="M24" i="21" s="1"/>
  <c r="M31" i="21" s="1"/>
  <c r="L22" i="21"/>
  <c r="L23" i="21" s="1"/>
  <c r="L24" i="21" s="1"/>
  <c r="K22" i="21"/>
  <c r="L82" i="21"/>
  <c r="L18" i="21"/>
  <c r="L44" i="21"/>
  <c r="M57" i="21"/>
  <c r="M18" i="21"/>
  <c r="M44" i="21"/>
  <c r="L57" i="21"/>
  <c r="M82" i="21"/>
  <c r="N5" i="21"/>
  <c r="J28" i="21"/>
  <c r="J29" i="21" s="1"/>
  <c r="J30" i="21" s="1"/>
  <c r="K28" i="21"/>
  <c r="L28" i="21"/>
  <c r="L29" i="21" s="1"/>
  <c r="L30" i="21" s="1"/>
  <c r="N5" i="20"/>
  <c r="M28" i="20"/>
  <c r="M29" i="20" s="1"/>
  <c r="M30" i="20" s="1"/>
  <c r="L28" i="20"/>
  <c r="L29" i="20" s="1"/>
  <c r="L30" i="20" s="1"/>
  <c r="K28" i="20"/>
  <c r="J28" i="20"/>
  <c r="J29" i="20" s="1"/>
  <c r="J30" i="20" s="1"/>
  <c r="J18" i="20"/>
  <c r="J22" i="20"/>
  <c r="J23" i="20" s="1"/>
  <c r="J24" i="20" s="1"/>
  <c r="L22" i="20"/>
  <c r="L23" i="20" s="1"/>
  <c r="L24" i="20" s="1"/>
  <c r="K22" i="20"/>
  <c r="M22" i="20"/>
  <c r="M23" i="20" s="1"/>
  <c r="M24" i="20" s="1"/>
  <c r="N5" i="19"/>
  <c r="L82" i="19"/>
  <c r="J22" i="19"/>
  <c r="J23" i="19" s="1"/>
  <c r="J24" i="19" s="1"/>
  <c r="M22" i="19"/>
  <c r="M23" i="19" s="1"/>
  <c r="M24" i="19" s="1"/>
  <c r="L22" i="19"/>
  <c r="L23" i="19" s="1"/>
  <c r="L24" i="19" s="1"/>
  <c r="K22" i="19"/>
  <c r="M28" i="19"/>
  <c r="M29" i="19" s="1"/>
  <c r="M30" i="19" s="1"/>
  <c r="L28" i="19"/>
  <c r="L29" i="19" s="1"/>
  <c r="L30" i="19" s="1"/>
  <c r="K28" i="19"/>
  <c r="J28" i="19"/>
  <c r="J29" i="19" s="1"/>
  <c r="J30" i="19" s="1"/>
  <c r="M57" i="19"/>
  <c r="M82" i="19"/>
  <c r="J18" i="19"/>
  <c r="J22" i="18"/>
  <c r="J23" i="18" s="1"/>
  <c r="J24" i="18" s="1"/>
  <c r="K22" i="18"/>
  <c r="M22" i="18"/>
  <c r="M23" i="18" s="1"/>
  <c r="M24" i="18" s="1"/>
  <c r="M31" i="18" s="1"/>
  <c r="L22" i="18"/>
  <c r="L23" i="18" s="1"/>
  <c r="L24" i="18" s="1"/>
  <c r="M57" i="18"/>
  <c r="L82" i="18"/>
  <c r="L18" i="18"/>
  <c r="L57" i="18"/>
  <c r="L44" i="18"/>
  <c r="M18" i="18"/>
  <c r="M44" i="18"/>
  <c r="M82" i="18"/>
  <c r="N5" i="18"/>
  <c r="J28" i="18"/>
  <c r="J29" i="18" s="1"/>
  <c r="J30" i="18" s="1"/>
  <c r="K28" i="18"/>
  <c r="L28" i="18"/>
  <c r="L29" i="18" s="1"/>
  <c r="L30" i="18" s="1"/>
  <c r="J22" i="17"/>
  <c r="L22" i="17"/>
  <c r="K22" i="17"/>
  <c r="M22" i="17"/>
  <c r="J18" i="17"/>
  <c r="M82" i="17"/>
  <c r="N5" i="16"/>
  <c r="N5" i="17"/>
  <c r="J28" i="17"/>
  <c r="K28" i="17"/>
  <c r="L28" i="17"/>
  <c r="L44" i="16"/>
  <c r="M18" i="16"/>
  <c r="J18" i="16"/>
  <c r="L57" i="16"/>
  <c r="J57" i="16"/>
  <c r="J44" i="16"/>
  <c r="M44" i="16"/>
  <c r="M57" i="16"/>
  <c r="L18" i="16"/>
  <c r="L82" i="16"/>
  <c r="J22" i="16"/>
  <c r="J23" i="16" s="1"/>
  <c r="J24" i="16" s="1"/>
  <c r="K22" i="16"/>
  <c r="M22" i="16"/>
  <c r="M23" i="16" s="1"/>
  <c r="M24" i="16" s="1"/>
  <c r="M31" i="16" s="1"/>
  <c r="L22" i="16"/>
  <c r="L23" i="16" s="1"/>
  <c r="L24" i="16" s="1"/>
  <c r="J28" i="16"/>
  <c r="J29" i="16" s="1"/>
  <c r="J30" i="16" s="1"/>
  <c r="K28" i="16"/>
  <c r="L28" i="16"/>
  <c r="L29" i="16" s="1"/>
  <c r="L30" i="16" s="1"/>
  <c r="M110" i="7"/>
  <c r="M109" i="7"/>
  <c r="M108" i="7"/>
  <c r="M107" i="7"/>
  <c r="L103" i="7"/>
  <c r="K103" i="7"/>
  <c r="J103" i="7"/>
  <c r="I103" i="7"/>
  <c r="H103" i="7"/>
  <c r="G103" i="7"/>
  <c r="F103" i="7"/>
  <c r="AE103" i="7" s="1"/>
  <c r="E103" i="7"/>
  <c r="AD103" i="7" s="1"/>
  <c r="D103" i="7"/>
  <c r="AC103" i="7" s="1"/>
  <c r="C103" i="7"/>
  <c r="AB103" i="7" s="1"/>
  <c r="B103" i="7"/>
  <c r="L102" i="7"/>
  <c r="K102" i="7"/>
  <c r="J102" i="7"/>
  <c r="I102" i="7"/>
  <c r="H102" i="7"/>
  <c r="G102" i="7"/>
  <c r="F102" i="7"/>
  <c r="E102" i="7"/>
  <c r="D102" i="7"/>
  <c r="C102" i="7"/>
  <c r="B102" i="7"/>
  <c r="L101" i="7"/>
  <c r="K101" i="7"/>
  <c r="J101" i="7"/>
  <c r="I101" i="7"/>
  <c r="H101" i="7"/>
  <c r="G101" i="7"/>
  <c r="F101" i="7"/>
  <c r="AE101" i="7" s="1"/>
  <c r="E101" i="7"/>
  <c r="AD101" i="7" s="1"/>
  <c r="D101" i="7"/>
  <c r="C101" i="7"/>
  <c r="B101" i="7"/>
  <c r="L100" i="7"/>
  <c r="K100" i="7"/>
  <c r="J100" i="7"/>
  <c r="I100" i="7"/>
  <c r="H100" i="7"/>
  <c r="G100" i="7"/>
  <c r="F100" i="7"/>
  <c r="E100" i="7"/>
  <c r="AD100" i="7" s="1"/>
  <c r="D100" i="7"/>
  <c r="C100" i="7"/>
  <c r="B100" i="7"/>
  <c r="L99" i="7"/>
  <c r="K99" i="7"/>
  <c r="J99" i="7"/>
  <c r="I99" i="7"/>
  <c r="H99" i="7"/>
  <c r="G99" i="7"/>
  <c r="F99" i="7"/>
  <c r="E99" i="7"/>
  <c r="D99" i="7"/>
  <c r="C99" i="7"/>
  <c r="B99" i="7"/>
  <c r="L98" i="7"/>
  <c r="K98" i="7"/>
  <c r="J98" i="7"/>
  <c r="I98" i="7"/>
  <c r="H98" i="7"/>
  <c r="G98" i="7"/>
  <c r="F98" i="7"/>
  <c r="E98" i="7"/>
  <c r="AD98" i="7" s="1"/>
  <c r="D98" i="7"/>
  <c r="C98" i="7"/>
  <c r="B98" i="7"/>
  <c r="AA98" i="7" s="1"/>
  <c r="L97" i="7"/>
  <c r="K97" i="7"/>
  <c r="J97" i="7"/>
  <c r="I97" i="7"/>
  <c r="H97" i="7"/>
  <c r="G97" i="7"/>
  <c r="F97" i="7"/>
  <c r="E97" i="7"/>
  <c r="D97" i="7"/>
  <c r="C97" i="7"/>
  <c r="B97" i="7"/>
  <c r="L96" i="7"/>
  <c r="K96" i="7"/>
  <c r="J96" i="7"/>
  <c r="I96" i="7"/>
  <c r="H96" i="7"/>
  <c r="G96" i="7"/>
  <c r="F96" i="7"/>
  <c r="E96" i="7"/>
  <c r="D96" i="7"/>
  <c r="C96" i="7"/>
  <c r="B96" i="7"/>
  <c r="L95" i="7"/>
  <c r="K95" i="7"/>
  <c r="J95" i="7"/>
  <c r="I95" i="7"/>
  <c r="H95" i="7"/>
  <c r="G95" i="7"/>
  <c r="F95" i="7"/>
  <c r="AE95" i="7" s="1"/>
  <c r="E95" i="7"/>
  <c r="D95" i="7"/>
  <c r="C95" i="7"/>
  <c r="B95" i="7"/>
  <c r="L94" i="7"/>
  <c r="K94" i="7"/>
  <c r="J94" i="7"/>
  <c r="I94" i="7"/>
  <c r="H94" i="7"/>
  <c r="G94" i="7"/>
  <c r="F94" i="7"/>
  <c r="E94" i="7"/>
  <c r="D94" i="7"/>
  <c r="C94" i="7"/>
  <c r="B94" i="7"/>
  <c r="L93" i="7"/>
  <c r="K93" i="7"/>
  <c r="J93" i="7"/>
  <c r="I93" i="7"/>
  <c r="H93" i="7"/>
  <c r="G93" i="7"/>
  <c r="F93" i="7"/>
  <c r="AE93" i="7" s="1"/>
  <c r="E93" i="7"/>
  <c r="AD93" i="7" s="1"/>
  <c r="D93" i="7"/>
  <c r="C93" i="7"/>
  <c r="B93" i="7"/>
  <c r="L92" i="7"/>
  <c r="K92" i="7"/>
  <c r="J92" i="7"/>
  <c r="I92" i="7"/>
  <c r="H92" i="7"/>
  <c r="G92" i="7"/>
  <c r="F92" i="7"/>
  <c r="E92" i="7"/>
  <c r="AD92" i="7" s="1"/>
  <c r="D92" i="7"/>
  <c r="C92" i="7"/>
  <c r="B92" i="7"/>
  <c r="L91" i="7"/>
  <c r="K91" i="7"/>
  <c r="J91" i="7"/>
  <c r="I91" i="7"/>
  <c r="H91" i="7"/>
  <c r="G91" i="7"/>
  <c r="F91" i="7"/>
  <c r="E91" i="7"/>
  <c r="AD91" i="7" s="1"/>
  <c r="D91" i="7"/>
  <c r="C91" i="7"/>
  <c r="B91" i="7"/>
  <c r="L90" i="7"/>
  <c r="K90" i="7"/>
  <c r="J90" i="7"/>
  <c r="I90" i="7"/>
  <c r="H90" i="7"/>
  <c r="G90" i="7"/>
  <c r="F90" i="7"/>
  <c r="E90" i="7"/>
  <c r="AD90" i="7" s="1"/>
  <c r="D90" i="7"/>
  <c r="C90" i="7"/>
  <c r="B90" i="7"/>
  <c r="L89" i="7"/>
  <c r="K89" i="7"/>
  <c r="J89" i="7"/>
  <c r="I89" i="7"/>
  <c r="H89" i="7"/>
  <c r="G89" i="7"/>
  <c r="F89" i="7"/>
  <c r="E89" i="7"/>
  <c r="D89" i="7"/>
  <c r="C89" i="7"/>
  <c r="B89" i="7"/>
  <c r="L88" i="7"/>
  <c r="K88" i="7"/>
  <c r="J88" i="7"/>
  <c r="I88" i="7"/>
  <c r="H88" i="7"/>
  <c r="G88" i="7"/>
  <c r="F88" i="7"/>
  <c r="E88" i="7"/>
  <c r="D88" i="7"/>
  <c r="C88" i="7"/>
  <c r="B88" i="7"/>
  <c r="L87" i="7"/>
  <c r="K87" i="7"/>
  <c r="J87" i="7"/>
  <c r="I87" i="7"/>
  <c r="H87" i="7"/>
  <c r="G87" i="7"/>
  <c r="F87" i="7"/>
  <c r="E87" i="7"/>
  <c r="D87" i="7"/>
  <c r="C87" i="7"/>
  <c r="B87" i="7"/>
  <c r="L86" i="7"/>
  <c r="K86" i="7"/>
  <c r="J86" i="7"/>
  <c r="I86" i="7"/>
  <c r="H86" i="7"/>
  <c r="G86" i="7"/>
  <c r="F86" i="7"/>
  <c r="E86" i="7"/>
  <c r="D86" i="7"/>
  <c r="C86" i="7"/>
  <c r="B86" i="7"/>
  <c r="L85" i="7"/>
  <c r="K85" i="7"/>
  <c r="J85" i="7"/>
  <c r="I85" i="7"/>
  <c r="H85" i="7"/>
  <c r="G85" i="7"/>
  <c r="F85" i="7"/>
  <c r="E85" i="7"/>
  <c r="AD85" i="7" s="1"/>
  <c r="D85" i="7"/>
  <c r="C85" i="7"/>
  <c r="B85" i="7"/>
  <c r="L84" i="7"/>
  <c r="K84" i="7"/>
  <c r="J84" i="7"/>
  <c r="I84" i="7"/>
  <c r="H84" i="7"/>
  <c r="G84" i="7"/>
  <c r="F84" i="7"/>
  <c r="E84" i="7"/>
  <c r="AD84" i="7" s="1"/>
  <c r="D84" i="7"/>
  <c r="C84" i="7"/>
  <c r="B84" i="7"/>
  <c r="L83" i="7"/>
  <c r="K83" i="7"/>
  <c r="J83" i="7"/>
  <c r="I83" i="7"/>
  <c r="H83" i="7"/>
  <c r="G83" i="7"/>
  <c r="F83" i="7"/>
  <c r="E83" i="7"/>
  <c r="D83" i="7"/>
  <c r="C83" i="7"/>
  <c r="B83" i="7"/>
  <c r="L82" i="7"/>
  <c r="K82" i="7"/>
  <c r="J82" i="7"/>
  <c r="I82" i="7"/>
  <c r="H82" i="7"/>
  <c r="G82" i="7"/>
  <c r="F82" i="7"/>
  <c r="E82" i="7"/>
  <c r="D82" i="7"/>
  <c r="C82" i="7"/>
  <c r="B82" i="7"/>
  <c r="L81" i="7"/>
  <c r="K81" i="7"/>
  <c r="J81" i="7"/>
  <c r="I81" i="7"/>
  <c r="H81" i="7"/>
  <c r="G81" i="7"/>
  <c r="F81" i="7"/>
  <c r="E81" i="7"/>
  <c r="D81" i="7"/>
  <c r="C81" i="7"/>
  <c r="B81" i="7"/>
  <c r="L80" i="7"/>
  <c r="K80" i="7"/>
  <c r="J80" i="7"/>
  <c r="I80" i="7"/>
  <c r="H80" i="7"/>
  <c r="G80" i="7"/>
  <c r="F80" i="7"/>
  <c r="E80" i="7"/>
  <c r="D80" i="7"/>
  <c r="C80" i="7"/>
  <c r="B80" i="7"/>
  <c r="L79" i="7"/>
  <c r="K79" i="7"/>
  <c r="J79" i="7"/>
  <c r="I79" i="7"/>
  <c r="H79" i="7"/>
  <c r="G79" i="7"/>
  <c r="F79" i="7"/>
  <c r="E79" i="7"/>
  <c r="D79" i="7"/>
  <c r="C79" i="7"/>
  <c r="B79" i="7"/>
  <c r="L78" i="7"/>
  <c r="K78" i="7"/>
  <c r="J78" i="7"/>
  <c r="I78" i="7"/>
  <c r="H78" i="7"/>
  <c r="G78" i="7"/>
  <c r="F78" i="7"/>
  <c r="E78" i="7"/>
  <c r="AD78" i="7" s="1"/>
  <c r="D78" i="7"/>
  <c r="C78" i="7"/>
  <c r="B78" i="7"/>
  <c r="L77" i="7"/>
  <c r="K77" i="7"/>
  <c r="J77" i="7"/>
  <c r="I77" i="7"/>
  <c r="H77" i="7"/>
  <c r="G77" i="7"/>
  <c r="F77" i="7"/>
  <c r="E77" i="7"/>
  <c r="AD77" i="7" s="1"/>
  <c r="D77" i="7"/>
  <c r="C77" i="7"/>
  <c r="B77" i="7"/>
  <c r="L76" i="7"/>
  <c r="K76" i="7"/>
  <c r="J76" i="7"/>
  <c r="I76" i="7"/>
  <c r="H76" i="7"/>
  <c r="G76" i="7"/>
  <c r="F76" i="7"/>
  <c r="E76" i="7"/>
  <c r="D76" i="7"/>
  <c r="C76" i="7"/>
  <c r="B76" i="7"/>
  <c r="L75" i="7"/>
  <c r="K75" i="7"/>
  <c r="J75" i="7"/>
  <c r="I75" i="7"/>
  <c r="H75" i="7"/>
  <c r="G75" i="7"/>
  <c r="F75" i="7"/>
  <c r="E75" i="7"/>
  <c r="D75" i="7"/>
  <c r="C75" i="7"/>
  <c r="B75" i="7"/>
  <c r="L74" i="7"/>
  <c r="K74" i="7"/>
  <c r="J74" i="7"/>
  <c r="I74" i="7"/>
  <c r="H74" i="7"/>
  <c r="G74" i="7"/>
  <c r="F74" i="7"/>
  <c r="E74" i="7"/>
  <c r="D74" i="7"/>
  <c r="C74" i="7"/>
  <c r="B74" i="7"/>
  <c r="L73" i="7"/>
  <c r="K73" i="7"/>
  <c r="J73" i="7"/>
  <c r="I73" i="7"/>
  <c r="H73" i="7"/>
  <c r="G73" i="7"/>
  <c r="F73" i="7"/>
  <c r="E73" i="7"/>
  <c r="D73" i="7"/>
  <c r="C73" i="7"/>
  <c r="B73" i="7"/>
  <c r="L72" i="7"/>
  <c r="K72" i="7"/>
  <c r="J72" i="7"/>
  <c r="I72" i="7"/>
  <c r="H72" i="7"/>
  <c r="G72" i="7"/>
  <c r="F72" i="7"/>
  <c r="E72" i="7"/>
  <c r="D72" i="7"/>
  <c r="C72" i="7"/>
  <c r="B72" i="7"/>
  <c r="L71" i="7"/>
  <c r="K71" i="7"/>
  <c r="J71" i="7"/>
  <c r="I71" i="7"/>
  <c r="H71" i="7"/>
  <c r="G71" i="7"/>
  <c r="F71" i="7"/>
  <c r="E71" i="7"/>
  <c r="D71" i="7"/>
  <c r="C71" i="7"/>
  <c r="B71" i="7"/>
  <c r="L70" i="7"/>
  <c r="K70" i="7"/>
  <c r="J70" i="7"/>
  <c r="I70" i="7"/>
  <c r="H70" i="7"/>
  <c r="G70" i="7"/>
  <c r="F70" i="7"/>
  <c r="E70" i="7"/>
  <c r="AD70" i="7" s="1"/>
  <c r="D70" i="7"/>
  <c r="C70" i="7"/>
  <c r="B70" i="7"/>
  <c r="L69" i="7"/>
  <c r="K69" i="7"/>
  <c r="J69" i="7"/>
  <c r="I69" i="7"/>
  <c r="H69" i="7"/>
  <c r="G69" i="7"/>
  <c r="F69" i="7"/>
  <c r="E69" i="7"/>
  <c r="D69" i="7"/>
  <c r="C69" i="7"/>
  <c r="B69" i="7"/>
  <c r="L68" i="7"/>
  <c r="K68" i="7"/>
  <c r="J68" i="7"/>
  <c r="I68" i="7"/>
  <c r="H68" i="7"/>
  <c r="G68" i="7"/>
  <c r="F68" i="7"/>
  <c r="E68" i="7"/>
  <c r="D68" i="7"/>
  <c r="C68" i="7"/>
  <c r="B68" i="7"/>
  <c r="L67" i="7"/>
  <c r="K67" i="7"/>
  <c r="J67" i="7"/>
  <c r="I67" i="7"/>
  <c r="H67" i="7"/>
  <c r="G67" i="7"/>
  <c r="F67" i="7"/>
  <c r="E67" i="7"/>
  <c r="D67" i="7"/>
  <c r="C67" i="7"/>
  <c r="B67" i="7"/>
  <c r="L66" i="7"/>
  <c r="K66" i="7"/>
  <c r="J66" i="7"/>
  <c r="I66" i="7"/>
  <c r="H66" i="7"/>
  <c r="G66" i="7"/>
  <c r="F66" i="7"/>
  <c r="E66" i="7"/>
  <c r="D66" i="7"/>
  <c r="C66" i="7"/>
  <c r="B66" i="7"/>
  <c r="L65" i="7"/>
  <c r="K65" i="7"/>
  <c r="J65" i="7"/>
  <c r="I65" i="7"/>
  <c r="H65" i="7"/>
  <c r="G65" i="7"/>
  <c r="F65" i="7"/>
  <c r="E65" i="7"/>
  <c r="AD65" i="7" s="1"/>
  <c r="D65" i="7"/>
  <c r="C65" i="7"/>
  <c r="B65" i="7"/>
  <c r="L64" i="7"/>
  <c r="K64" i="7"/>
  <c r="J64" i="7"/>
  <c r="I64" i="7"/>
  <c r="H64" i="7"/>
  <c r="G64" i="7"/>
  <c r="F64" i="7"/>
  <c r="E64" i="7"/>
  <c r="D64" i="7"/>
  <c r="C64" i="7"/>
  <c r="B64" i="7"/>
  <c r="L63" i="7"/>
  <c r="K63" i="7"/>
  <c r="J63" i="7"/>
  <c r="I63" i="7"/>
  <c r="H63" i="7"/>
  <c r="G63" i="7"/>
  <c r="F63" i="7"/>
  <c r="E63" i="7"/>
  <c r="D63" i="7"/>
  <c r="C63" i="7"/>
  <c r="B63" i="7"/>
  <c r="L62" i="7"/>
  <c r="K62" i="7"/>
  <c r="J62" i="7"/>
  <c r="I62" i="7"/>
  <c r="H62" i="7"/>
  <c r="G62" i="7"/>
  <c r="F62" i="7"/>
  <c r="E62" i="7"/>
  <c r="D62" i="7"/>
  <c r="C62" i="7"/>
  <c r="B62" i="7"/>
  <c r="L61" i="7"/>
  <c r="K61" i="7"/>
  <c r="J61" i="7"/>
  <c r="I61" i="7"/>
  <c r="H61" i="7"/>
  <c r="G61" i="7"/>
  <c r="F61" i="7"/>
  <c r="E61" i="7"/>
  <c r="D61" i="7"/>
  <c r="C61" i="7"/>
  <c r="B61" i="7"/>
  <c r="L60" i="7"/>
  <c r="K60" i="7"/>
  <c r="J60" i="7"/>
  <c r="I60" i="7"/>
  <c r="H60" i="7"/>
  <c r="G60" i="7"/>
  <c r="F60" i="7"/>
  <c r="E60" i="7"/>
  <c r="D60" i="7"/>
  <c r="C60" i="7"/>
  <c r="B60" i="7"/>
  <c r="L59" i="7"/>
  <c r="K59" i="7"/>
  <c r="J59" i="7"/>
  <c r="I59" i="7"/>
  <c r="H59" i="7"/>
  <c r="G59" i="7"/>
  <c r="F59" i="7"/>
  <c r="E59" i="7"/>
  <c r="D59" i="7"/>
  <c r="C59" i="7"/>
  <c r="B59" i="7"/>
  <c r="L58" i="7"/>
  <c r="K58" i="7"/>
  <c r="J58" i="7"/>
  <c r="I58" i="7"/>
  <c r="H58" i="7"/>
  <c r="G58" i="7"/>
  <c r="F58" i="7"/>
  <c r="E58" i="7"/>
  <c r="AD58" i="7" s="1"/>
  <c r="D58" i="7"/>
  <c r="C58" i="7"/>
  <c r="B58" i="7"/>
  <c r="L57" i="7"/>
  <c r="K57" i="7"/>
  <c r="J57" i="7"/>
  <c r="I57" i="7"/>
  <c r="H57" i="7"/>
  <c r="G57" i="7"/>
  <c r="F57" i="7"/>
  <c r="E57" i="7"/>
  <c r="D57" i="7"/>
  <c r="C57" i="7"/>
  <c r="B57" i="7"/>
  <c r="L56" i="7"/>
  <c r="K56" i="7"/>
  <c r="J56" i="7"/>
  <c r="I56" i="7"/>
  <c r="H56" i="7"/>
  <c r="G56" i="7"/>
  <c r="F56" i="7"/>
  <c r="E56" i="7"/>
  <c r="D56" i="7"/>
  <c r="C56" i="7"/>
  <c r="B56" i="7"/>
  <c r="L55" i="7"/>
  <c r="K55" i="7"/>
  <c r="J55" i="7"/>
  <c r="I55" i="7"/>
  <c r="H55" i="7"/>
  <c r="G55" i="7"/>
  <c r="F55" i="7"/>
  <c r="E55" i="7"/>
  <c r="D55" i="7"/>
  <c r="C55" i="7"/>
  <c r="B55" i="7"/>
  <c r="L54" i="7"/>
  <c r="K54" i="7"/>
  <c r="J54" i="7"/>
  <c r="I54" i="7"/>
  <c r="H54" i="7"/>
  <c r="G54" i="7"/>
  <c r="F54" i="7"/>
  <c r="E54" i="7"/>
  <c r="D54" i="7"/>
  <c r="C54" i="7"/>
  <c r="B54" i="7"/>
  <c r="L53" i="7"/>
  <c r="K53" i="7"/>
  <c r="J53" i="7"/>
  <c r="I53" i="7"/>
  <c r="H53" i="7"/>
  <c r="G53" i="7"/>
  <c r="F53" i="7"/>
  <c r="E53" i="7"/>
  <c r="D53" i="7"/>
  <c r="C53" i="7"/>
  <c r="B53" i="7"/>
  <c r="L52" i="7"/>
  <c r="K52" i="7"/>
  <c r="J52" i="7"/>
  <c r="I52" i="7"/>
  <c r="H52" i="7"/>
  <c r="G52" i="7"/>
  <c r="F52" i="7"/>
  <c r="E52" i="7"/>
  <c r="D52" i="7"/>
  <c r="C52" i="7"/>
  <c r="B52" i="7"/>
  <c r="L51" i="7"/>
  <c r="K51" i="7"/>
  <c r="J51" i="7"/>
  <c r="I51" i="7"/>
  <c r="H51" i="7"/>
  <c r="G51" i="7"/>
  <c r="F51" i="7"/>
  <c r="E51" i="7"/>
  <c r="D51" i="7"/>
  <c r="C51" i="7"/>
  <c r="B51" i="7"/>
  <c r="L50" i="7"/>
  <c r="K50" i="7"/>
  <c r="J50" i="7"/>
  <c r="I50" i="7"/>
  <c r="H50" i="7"/>
  <c r="G50" i="7"/>
  <c r="F50" i="7"/>
  <c r="E50" i="7"/>
  <c r="D50" i="7"/>
  <c r="C50" i="7"/>
  <c r="B50" i="7"/>
  <c r="L49" i="7"/>
  <c r="K49" i="7"/>
  <c r="J49" i="7"/>
  <c r="I49" i="7"/>
  <c r="H49" i="7"/>
  <c r="G49" i="7"/>
  <c r="F49" i="7"/>
  <c r="E49" i="7"/>
  <c r="D49" i="7"/>
  <c r="C49" i="7"/>
  <c r="B49" i="7"/>
  <c r="L48" i="7"/>
  <c r="K48" i="7"/>
  <c r="J48" i="7"/>
  <c r="I48" i="7"/>
  <c r="H48" i="7"/>
  <c r="G48" i="7"/>
  <c r="F48" i="7"/>
  <c r="E48" i="7"/>
  <c r="AD48" i="7" s="1"/>
  <c r="D48" i="7"/>
  <c r="C48" i="7"/>
  <c r="B48" i="7"/>
  <c r="L47" i="7"/>
  <c r="K47" i="7"/>
  <c r="J47" i="7"/>
  <c r="I47" i="7"/>
  <c r="H47" i="7"/>
  <c r="G47" i="7"/>
  <c r="F47" i="7"/>
  <c r="E47" i="7"/>
  <c r="D47" i="7"/>
  <c r="C47" i="7"/>
  <c r="B47" i="7"/>
  <c r="L46" i="7"/>
  <c r="K46" i="7"/>
  <c r="J46" i="7"/>
  <c r="I46" i="7"/>
  <c r="H46" i="7"/>
  <c r="G46" i="7"/>
  <c r="F46" i="7"/>
  <c r="E46" i="7"/>
  <c r="D46" i="7"/>
  <c r="C46" i="7"/>
  <c r="B46" i="7"/>
  <c r="L45" i="7"/>
  <c r="K45" i="7"/>
  <c r="J45" i="7"/>
  <c r="I45" i="7"/>
  <c r="H45" i="7"/>
  <c r="G45" i="7"/>
  <c r="F45" i="7"/>
  <c r="E45" i="7"/>
  <c r="D45" i="7"/>
  <c r="C45" i="7"/>
  <c r="B45" i="7"/>
  <c r="L44" i="7"/>
  <c r="K44" i="7"/>
  <c r="J44" i="7"/>
  <c r="I44" i="7"/>
  <c r="H44" i="7"/>
  <c r="G44" i="7"/>
  <c r="F44" i="7"/>
  <c r="E44" i="7"/>
  <c r="D44" i="7"/>
  <c r="C44" i="7"/>
  <c r="B44" i="7"/>
  <c r="L43" i="7"/>
  <c r="K43" i="7"/>
  <c r="J43" i="7"/>
  <c r="I43" i="7"/>
  <c r="H43" i="7"/>
  <c r="G43" i="7"/>
  <c r="F43" i="7"/>
  <c r="E43" i="7"/>
  <c r="AD43" i="7" s="1"/>
  <c r="D43" i="7"/>
  <c r="C43" i="7"/>
  <c r="B43" i="7"/>
  <c r="L42" i="7"/>
  <c r="K42" i="7"/>
  <c r="J42" i="7"/>
  <c r="I42" i="7"/>
  <c r="H42" i="7"/>
  <c r="G42" i="7"/>
  <c r="F42" i="7"/>
  <c r="E42" i="7"/>
  <c r="D42" i="7"/>
  <c r="C42" i="7"/>
  <c r="B42" i="7"/>
  <c r="L41" i="7"/>
  <c r="K41" i="7"/>
  <c r="J41" i="7"/>
  <c r="I41" i="7"/>
  <c r="H41" i="7"/>
  <c r="G41" i="7"/>
  <c r="F41" i="7"/>
  <c r="E41" i="7"/>
  <c r="D41" i="7"/>
  <c r="C41" i="7"/>
  <c r="B41" i="7"/>
  <c r="L40" i="7"/>
  <c r="K40" i="7"/>
  <c r="J40" i="7"/>
  <c r="I40" i="7"/>
  <c r="H40" i="7"/>
  <c r="G40" i="7"/>
  <c r="F40" i="7"/>
  <c r="E40" i="7"/>
  <c r="D40" i="7"/>
  <c r="C40" i="7"/>
  <c r="B40" i="7"/>
  <c r="L39" i="7"/>
  <c r="K39" i="7"/>
  <c r="J39" i="7"/>
  <c r="I39" i="7"/>
  <c r="H39" i="7"/>
  <c r="G39" i="7"/>
  <c r="F39" i="7"/>
  <c r="E39" i="7"/>
  <c r="D39" i="7"/>
  <c r="C39" i="7"/>
  <c r="B39" i="7"/>
  <c r="L38" i="7"/>
  <c r="K38" i="7"/>
  <c r="J38" i="7"/>
  <c r="I38" i="7"/>
  <c r="AH38" i="7" s="1"/>
  <c r="H38" i="7"/>
  <c r="G38" i="7"/>
  <c r="F38" i="7"/>
  <c r="E38" i="7"/>
  <c r="D38" i="7"/>
  <c r="C38" i="7"/>
  <c r="B38" i="7"/>
  <c r="L37" i="7"/>
  <c r="K37" i="7"/>
  <c r="J37" i="7"/>
  <c r="I37" i="7"/>
  <c r="H37" i="7"/>
  <c r="G37" i="7"/>
  <c r="F37" i="7"/>
  <c r="E37" i="7"/>
  <c r="D37" i="7"/>
  <c r="C37" i="7"/>
  <c r="B37" i="7"/>
  <c r="L36" i="7"/>
  <c r="K36" i="7"/>
  <c r="J36" i="7"/>
  <c r="I36" i="7"/>
  <c r="H36" i="7"/>
  <c r="G36" i="7"/>
  <c r="F36" i="7"/>
  <c r="E36" i="7"/>
  <c r="D36" i="7"/>
  <c r="C36" i="7"/>
  <c r="B36" i="7"/>
  <c r="AK35" i="7"/>
  <c r="Y35" i="7" s="1"/>
  <c r="AJ35" i="7"/>
  <c r="X35" i="7" s="1"/>
  <c r="AD35" i="7"/>
  <c r="R35" i="7" s="1"/>
  <c r="M35" i="7"/>
  <c r="L34" i="7"/>
  <c r="K34" i="7"/>
  <c r="J34" i="7"/>
  <c r="I34" i="7"/>
  <c r="H34" i="7"/>
  <c r="G34" i="7"/>
  <c r="F34" i="7"/>
  <c r="E34" i="7"/>
  <c r="D34" i="7"/>
  <c r="C34" i="7"/>
  <c r="B34" i="7"/>
  <c r="L33" i="7"/>
  <c r="K33" i="7"/>
  <c r="J33" i="7"/>
  <c r="I33" i="7"/>
  <c r="H33" i="7"/>
  <c r="G33" i="7"/>
  <c r="F33" i="7"/>
  <c r="E33" i="7"/>
  <c r="D33" i="7"/>
  <c r="C33" i="7"/>
  <c r="B33" i="7"/>
  <c r="L32" i="7"/>
  <c r="K32" i="7"/>
  <c r="J32" i="7"/>
  <c r="I32" i="7"/>
  <c r="H32" i="7"/>
  <c r="G32" i="7"/>
  <c r="F32" i="7"/>
  <c r="E32" i="7"/>
  <c r="AD32" i="7" s="1"/>
  <c r="D32" i="7"/>
  <c r="C32" i="7"/>
  <c r="B32" i="7"/>
  <c r="L31" i="7"/>
  <c r="K31" i="7"/>
  <c r="J31" i="7"/>
  <c r="I31" i="7"/>
  <c r="H31" i="7"/>
  <c r="G31" i="7"/>
  <c r="F31" i="7"/>
  <c r="E31" i="7"/>
  <c r="D31" i="7"/>
  <c r="C31" i="7"/>
  <c r="B31" i="7"/>
  <c r="L30" i="7"/>
  <c r="K30" i="7"/>
  <c r="J30" i="7"/>
  <c r="I30" i="7"/>
  <c r="H30" i="7"/>
  <c r="G30" i="7"/>
  <c r="F30" i="7"/>
  <c r="E30" i="7"/>
  <c r="D30" i="7"/>
  <c r="C30" i="7"/>
  <c r="B30" i="7"/>
  <c r="L29" i="7"/>
  <c r="K29" i="7"/>
  <c r="J29" i="7"/>
  <c r="I29" i="7"/>
  <c r="H29" i="7"/>
  <c r="G29" i="7"/>
  <c r="F29" i="7"/>
  <c r="E29" i="7"/>
  <c r="D29" i="7"/>
  <c r="C29" i="7"/>
  <c r="B29" i="7"/>
  <c r="L28" i="7"/>
  <c r="K28" i="7"/>
  <c r="J28" i="7"/>
  <c r="I28" i="7"/>
  <c r="H28" i="7"/>
  <c r="G28" i="7"/>
  <c r="F28" i="7"/>
  <c r="E28" i="7"/>
  <c r="D28" i="7"/>
  <c r="C28" i="7"/>
  <c r="B28" i="7"/>
  <c r="L27" i="7"/>
  <c r="K27" i="7"/>
  <c r="J27" i="7"/>
  <c r="I27" i="7"/>
  <c r="H27" i="7"/>
  <c r="G27" i="7"/>
  <c r="F27" i="7"/>
  <c r="E27" i="7"/>
  <c r="D27" i="7"/>
  <c r="C27" i="7"/>
  <c r="B27" i="7"/>
  <c r="L26" i="7"/>
  <c r="K26" i="7"/>
  <c r="J26" i="7"/>
  <c r="I26" i="7"/>
  <c r="H26" i="7"/>
  <c r="G26" i="7"/>
  <c r="F26" i="7"/>
  <c r="E26" i="7"/>
  <c r="AD26" i="7" s="1"/>
  <c r="D26" i="7"/>
  <c r="C26" i="7"/>
  <c r="B26" i="7"/>
  <c r="L25" i="7"/>
  <c r="K25" i="7"/>
  <c r="J25" i="7"/>
  <c r="I25" i="7"/>
  <c r="H25" i="7"/>
  <c r="G25" i="7"/>
  <c r="F25" i="7"/>
  <c r="E25" i="7"/>
  <c r="D25" i="7"/>
  <c r="C25" i="7"/>
  <c r="B25" i="7"/>
  <c r="L24" i="7"/>
  <c r="K24" i="7"/>
  <c r="J24" i="7"/>
  <c r="I24" i="7"/>
  <c r="H24" i="7"/>
  <c r="G24" i="7"/>
  <c r="F24" i="7"/>
  <c r="E24" i="7"/>
  <c r="D24" i="7"/>
  <c r="C24" i="7"/>
  <c r="B24" i="7"/>
  <c r="L23" i="7"/>
  <c r="K23" i="7"/>
  <c r="J23" i="7"/>
  <c r="I23" i="7"/>
  <c r="H23" i="7"/>
  <c r="G23" i="7"/>
  <c r="F23" i="7"/>
  <c r="E23" i="7"/>
  <c r="D23" i="7"/>
  <c r="C23" i="7"/>
  <c r="B23" i="7"/>
  <c r="L22" i="7"/>
  <c r="K22" i="7"/>
  <c r="J22" i="7"/>
  <c r="I22" i="7"/>
  <c r="H22" i="7"/>
  <c r="G22" i="7"/>
  <c r="F22" i="7"/>
  <c r="E22" i="7"/>
  <c r="AD22" i="7" s="1"/>
  <c r="D22" i="7"/>
  <c r="C22" i="7"/>
  <c r="B22" i="7"/>
  <c r="L21" i="7"/>
  <c r="K21" i="7"/>
  <c r="J21" i="7"/>
  <c r="I21" i="7"/>
  <c r="H21" i="7"/>
  <c r="G21" i="7"/>
  <c r="F21" i="7"/>
  <c r="E21" i="7"/>
  <c r="D21" i="7"/>
  <c r="C21" i="7"/>
  <c r="B21" i="7"/>
  <c r="L20" i="7"/>
  <c r="K20" i="7"/>
  <c r="J20" i="7"/>
  <c r="I20" i="7"/>
  <c r="H20" i="7"/>
  <c r="G20" i="7"/>
  <c r="F20" i="7"/>
  <c r="E20" i="7"/>
  <c r="D20" i="7"/>
  <c r="C20" i="7"/>
  <c r="B20" i="7"/>
  <c r="L19" i="7"/>
  <c r="K19" i="7"/>
  <c r="J19" i="7"/>
  <c r="I19" i="7"/>
  <c r="H19" i="7"/>
  <c r="G19" i="7"/>
  <c r="F19" i="7"/>
  <c r="E19" i="7"/>
  <c r="D19" i="7"/>
  <c r="C19" i="7"/>
  <c r="B19" i="7"/>
  <c r="L18" i="7"/>
  <c r="K18" i="7"/>
  <c r="J18" i="7"/>
  <c r="I18" i="7"/>
  <c r="H18" i="7"/>
  <c r="G18" i="7"/>
  <c r="F18" i="7"/>
  <c r="E18" i="7"/>
  <c r="D18" i="7"/>
  <c r="C18" i="7"/>
  <c r="B18" i="7"/>
  <c r="L17" i="7"/>
  <c r="K17" i="7"/>
  <c r="J17" i="7"/>
  <c r="I17" i="7"/>
  <c r="H17" i="7"/>
  <c r="G17" i="7"/>
  <c r="F17" i="7"/>
  <c r="E17" i="7"/>
  <c r="D17" i="7"/>
  <c r="C17" i="7"/>
  <c r="B17" i="7"/>
  <c r="L16" i="7"/>
  <c r="K16" i="7"/>
  <c r="J16" i="7"/>
  <c r="I16" i="7"/>
  <c r="H16" i="7"/>
  <c r="G16" i="7"/>
  <c r="F16" i="7"/>
  <c r="E16" i="7"/>
  <c r="AD16" i="7" s="1"/>
  <c r="D16" i="7"/>
  <c r="C16" i="7"/>
  <c r="B16" i="7"/>
  <c r="L15" i="7"/>
  <c r="K15" i="7"/>
  <c r="J15" i="7"/>
  <c r="I15" i="7"/>
  <c r="H15" i="7"/>
  <c r="G15" i="7"/>
  <c r="F15" i="7"/>
  <c r="E15" i="7"/>
  <c r="D15" i="7"/>
  <c r="C15" i="7"/>
  <c r="B15" i="7"/>
  <c r="L14" i="7"/>
  <c r="K14" i="7"/>
  <c r="J14" i="7"/>
  <c r="I14" i="7"/>
  <c r="H14" i="7"/>
  <c r="G14" i="7"/>
  <c r="F14" i="7"/>
  <c r="E14" i="7"/>
  <c r="AD14" i="7" s="1"/>
  <c r="D14" i="7"/>
  <c r="C14" i="7"/>
  <c r="B14" i="7"/>
  <c r="L13" i="7"/>
  <c r="K13" i="7"/>
  <c r="J13" i="7"/>
  <c r="I13" i="7"/>
  <c r="H13" i="7"/>
  <c r="G13" i="7"/>
  <c r="F13" i="7"/>
  <c r="E13" i="7"/>
  <c r="D13" i="7"/>
  <c r="C13" i="7"/>
  <c r="B13" i="7"/>
  <c r="L12" i="7"/>
  <c r="K12" i="7"/>
  <c r="J12" i="7"/>
  <c r="I12" i="7"/>
  <c r="H12" i="7"/>
  <c r="G12" i="7"/>
  <c r="F12" i="7"/>
  <c r="E12" i="7"/>
  <c r="D12" i="7"/>
  <c r="C12" i="7"/>
  <c r="B12" i="7"/>
  <c r="L11" i="7"/>
  <c r="K11" i="7"/>
  <c r="J11" i="7"/>
  <c r="I11" i="7"/>
  <c r="H11" i="7"/>
  <c r="G11" i="7"/>
  <c r="F11" i="7"/>
  <c r="E11" i="7"/>
  <c r="D11" i="7"/>
  <c r="C11" i="7"/>
  <c r="B11" i="7"/>
  <c r="L10" i="7"/>
  <c r="K10" i="7"/>
  <c r="J10" i="7"/>
  <c r="I10" i="7"/>
  <c r="H10" i="7"/>
  <c r="G10" i="7"/>
  <c r="F10" i="7"/>
  <c r="E10" i="7"/>
  <c r="AD10" i="7" s="1"/>
  <c r="D10" i="7"/>
  <c r="C10" i="7"/>
  <c r="B10" i="7"/>
  <c r="L9" i="7"/>
  <c r="K9" i="7"/>
  <c r="J9" i="7"/>
  <c r="I9" i="7"/>
  <c r="H9" i="7"/>
  <c r="G9" i="7"/>
  <c r="F9" i="7"/>
  <c r="E9" i="7"/>
  <c r="D9" i="7"/>
  <c r="C9" i="7"/>
  <c r="B9" i="7"/>
  <c r="L8" i="7"/>
  <c r="K8" i="7"/>
  <c r="J8" i="7"/>
  <c r="I8" i="7"/>
  <c r="H8" i="7"/>
  <c r="G8" i="7"/>
  <c r="F8" i="7"/>
  <c r="E8" i="7"/>
  <c r="D8" i="7"/>
  <c r="C8" i="7"/>
  <c r="B8" i="7"/>
  <c r="L7" i="7"/>
  <c r="K7" i="7"/>
  <c r="J7" i="7"/>
  <c r="I7" i="7"/>
  <c r="H7" i="7"/>
  <c r="G7" i="7"/>
  <c r="F7" i="7"/>
  <c r="E7" i="7"/>
  <c r="D7" i="7"/>
  <c r="C7" i="7"/>
  <c r="B7" i="7"/>
  <c r="L6" i="7"/>
  <c r="K6" i="7"/>
  <c r="J6" i="7"/>
  <c r="I6" i="7"/>
  <c r="H6" i="7"/>
  <c r="G6" i="7"/>
  <c r="F6" i="7"/>
  <c r="E6" i="7"/>
  <c r="D6" i="7"/>
  <c r="C6" i="7"/>
  <c r="B6" i="7"/>
  <c r="L5" i="7"/>
  <c r="K5" i="7"/>
  <c r="J5" i="7"/>
  <c r="I5" i="7"/>
  <c r="H5" i="7"/>
  <c r="G5" i="7"/>
  <c r="F5" i="7"/>
  <c r="E5" i="7"/>
  <c r="D5" i="7"/>
  <c r="C5" i="7"/>
  <c r="B5" i="7"/>
  <c r="V147" i="112" l="1"/>
  <c r="M23" i="17"/>
  <c r="M24" i="17" s="1"/>
  <c r="M31" i="17" s="1"/>
  <c r="M83" i="17" s="1"/>
  <c r="L29" i="17"/>
  <c r="L30" i="17" s="1"/>
  <c r="L48" i="118"/>
  <c r="L49" i="118" s="1"/>
  <c r="L50" i="118" s="1"/>
  <c r="K48" i="118"/>
  <c r="L23" i="17"/>
  <c r="L24" i="17" s="1"/>
  <c r="M48" i="118"/>
  <c r="M49" i="118" s="1"/>
  <c r="M50" i="118" s="1"/>
  <c r="J29" i="17"/>
  <c r="J30" i="17" s="1"/>
  <c r="J31" i="17" s="1"/>
  <c r="J83" i="17" s="1"/>
  <c r="J48" i="118"/>
  <c r="J23" i="17"/>
  <c r="J24" i="17" s="1"/>
  <c r="S147" i="112"/>
  <c r="AD30" i="7"/>
  <c r="R30" i="7" s="1"/>
  <c r="AJ7" i="7"/>
  <c r="AB15" i="7"/>
  <c r="P15" i="7" s="1"/>
  <c r="AC37" i="7"/>
  <c r="Q37" i="7" s="1"/>
  <c r="AG42" i="7"/>
  <c r="U42" i="7" s="1"/>
  <c r="AG44" i="7"/>
  <c r="U44" i="7" s="1"/>
  <c r="AG48" i="7"/>
  <c r="U48" i="7" s="1"/>
  <c r="AC95" i="7"/>
  <c r="Q95" i="7" s="1"/>
  <c r="AK95" i="7"/>
  <c r="Y95" i="7" s="1"/>
  <c r="AC97" i="7"/>
  <c r="AK97" i="7"/>
  <c r="Y97" i="7" s="1"/>
  <c r="AK103" i="7"/>
  <c r="Y103" i="7" s="1"/>
  <c r="AD19" i="7"/>
  <c r="AD51" i="7"/>
  <c r="R51" i="7" s="1"/>
  <c r="AA66" i="7"/>
  <c r="O66" i="7" s="1"/>
  <c r="AA68" i="7"/>
  <c r="O68" i="7" s="1"/>
  <c r="AI68" i="7"/>
  <c r="W68" i="7" s="1"/>
  <c r="AI70" i="7"/>
  <c r="W70" i="7" s="1"/>
  <c r="AA72" i="7"/>
  <c r="AI74" i="7"/>
  <c r="W74" i="7" s="1"/>
  <c r="AE75" i="7"/>
  <c r="S75" i="7" s="1"/>
  <c r="AA76" i="7"/>
  <c r="O76" i="7" s="1"/>
  <c r="AI76" i="7"/>
  <c r="W76" i="7" s="1"/>
  <c r="AD27" i="7"/>
  <c r="R27" i="7" s="1"/>
  <c r="AD37" i="7"/>
  <c r="R37" i="7" s="1"/>
  <c r="AI44" i="7"/>
  <c r="AA46" i="7"/>
  <c r="O46" i="7" s="1"/>
  <c r="AI48" i="7"/>
  <c r="W48" i="7" s="1"/>
  <c r="AA74" i="7"/>
  <c r="O74" i="7" s="1"/>
  <c r="AF27" i="7"/>
  <c r="T27" i="7" s="1"/>
  <c r="AF33" i="7"/>
  <c r="T33" i="7" s="1"/>
  <c r="AJ40" i="7"/>
  <c r="X40" i="7" s="1"/>
  <c r="AB44" i="7"/>
  <c r="P44" i="7" s="1"/>
  <c r="AF51" i="7"/>
  <c r="T51" i="7" s="1"/>
  <c r="AF55" i="7"/>
  <c r="T55" i="7" s="1"/>
  <c r="AF63" i="7"/>
  <c r="AF75" i="7"/>
  <c r="T75" i="7" s="1"/>
  <c r="AF85" i="7"/>
  <c r="T85" i="7" s="1"/>
  <c r="AF91" i="7"/>
  <c r="T91" i="7" s="1"/>
  <c r="AF93" i="7"/>
  <c r="T93" i="7" s="1"/>
  <c r="AF97" i="7"/>
  <c r="T97" i="7" s="1"/>
  <c r="AI36" i="7"/>
  <c r="AI46" i="7"/>
  <c r="W46" i="7" s="1"/>
  <c r="AA48" i="7"/>
  <c r="AK40" i="7"/>
  <c r="Y40" i="7" s="1"/>
  <c r="AC44" i="7"/>
  <c r="Q44" i="7" s="1"/>
  <c r="AK44" i="7"/>
  <c r="Y44" i="7" s="1"/>
  <c r="AC46" i="7"/>
  <c r="Q46" i="7" s="1"/>
  <c r="AK46" i="7"/>
  <c r="Y46" i="7" s="1"/>
  <c r="AC48" i="7"/>
  <c r="AK48" i="7"/>
  <c r="Y48" i="7" s="1"/>
  <c r="AG65" i="7"/>
  <c r="AC66" i="7"/>
  <c r="Q66" i="7" s="1"/>
  <c r="AK66" i="7"/>
  <c r="Y66" i="7" s="1"/>
  <c r="AC70" i="7"/>
  <c r="Q70" i="7" s="1"/>
  <c r="AK70" i="7"/>
  <c r="AG71" i="7"/>
  <c r="U71" i="7" s="1"/>
  <c r="AG93" i="7"/>
  <c r="AG99" i="7"/>
  <c r="U99" i="7" s="1"/>
  <c r="AD24" i="7"/>
  <c r="R24" i="7" s="1"/>
  <c r="AD72" i="7"/>
  <c r="R72" i="7" s="1"/>
  <c r="AD38" i="7"/>
  <c r="R38" i="7" s="1"/>
  <c r="AE36" i="7"/>
  <c r="S36" i="7" s="1"/>
  <c r="AE42" i="7"/>
  <c r="AE46" i="7"/>
  <c r="S46" i="7" s="1"/>
  <c r="AE48" i="7"/>
  <c r="AA55" i="7"/>
  <c r="O55" i="7" s="1"/>
  <c r="AI55" i="7"/>
  <c r="W55" i="7" s="1"/>
  <c r="AE66" i="7"/>
  <c r="S66" i="7" s="1"/>
  <c r="AE70" i="7"/>
  <c r="S70" i="7" s="1"/>
  <c r="AA71" i="7"/>
  <c r="O71" i="7" s="1"/>
  <c r="AI71" i="7"/>
  <c r="AE72" i="7"/>
  <c r="S72" i="7" s="1"/>
  <c r="AI85" i="7"/>
  <c r="AI93" i="7"/>
  <c r="W93" i="7" s="1"/>
  <c r="AA99" i="7"/>
  <c r="AI99" i="7"/>
  <c r="W99" i="7" s="1"/>
  <c r="AI101" i="7"/>
  <c r="W101" i="7" s="1"/>
  <c r="AD18" i="7"/>
  <c r="R18" i="7" s="1"/>
  <c r="AJ5" i="7"/>
  <c r="AB7" i="7"/>
  <c r="P7" i="7" s="1"/>
  <c r="AB11" i="7"/>
  <c r="AJ11" i="7"/>
  <c r="X11" i="7" s="1"/>
  <c r="AJ15" i="7"/>
  <c r="X15" i="7" s="1"/>
  <c r="AB17" i="7"/>
  <c r="P17" i="7" s="1"/>
  <c r="AJ17" i="7"/>
  <c r="X17" i="7" s="1"/>
  <c r="AB19" i="7"/>
  <c r="P19" i="7" s="1"/>
  <c r="AB27" i="7"/>
  <c r="P27" i="7" s="1"/>
  <c r="AB93" i="7"/>
  <c r="AB95" i="7"/>
  <c r="AJ95" i="7"/>
  <c r="X95" i="7" s="1"/>
  <c r="AJ101" i="7"/>
  <c r="X101" i="7" s="1"/>
  <c r="AJ103" i="7"/>
  <c r="X103" i="7" s="1"/>
  <c r="F4" i="101"/>
  <c r="N77" i="101" s="1"/>
  <c r="K77" i="101" s="1"/>
  <c r="X147" i="112"/>
  <c r="O147" i="112"/>
  <c r="Q147" i="112"/>
  <c r="Z148" i="112"/>
  <c r="P147" i="112"/>
  <c r="U147" i="112"/>
  <c r="Y147" i="112"/>
  <c r="AG11" i="7"/>
  <c r="AG15" i="7"/>
  <c r="AG23" i="7"/>
  <c r="U23" i="7" s="1"/>
  <c r="AG27" i="7"/>
  <c r="AG33" i="7"/>
  <c r="U33" i="7" s="1"/>
  <c r="AH5" i="7"/>
  <c r="AH11" i="7"/>
  <c r="V11" i="7" s="1"/>
  <c r="AH13" i="7"/>
  <c r="V13" i="7" s="1"/>
  <c r="AH19" i="7"/>
  <c r="V19" i="7" s="1"/>
  <c r="AH23" i="7"/>
  <c r="V23" i="7" s="1"/>
  <c r="AA13" i="7"/>
  <c r="O13" i="7" s="1"/>
  <c r="AA17" i="7"/>
  <c r="AA23" i="7"/>
  <c r="AI23" i="7"/>
  <c r="W23" i="7" s="1"/>
  <c r="AI25" i="7"/>
  <c r="W25" i="7" s="1"/>
  <c r="AI29" i="7"/>
  <c r="W29" i="7" s="1"/>
  <c r="AA33" i="7"/>
  <c r="O33" i="7" s="1"/>
  <c r="AI33" i="7"/>
  <c r="AJ27" i="7"/>
  <c r="X27" i="7" s="1"/>
  <c r="AB29" i="7"/>
  <c r="AJ29" i="7"/>
  <c r="X29" i="7" s="1"/>
  <c r="AA39" i="7"/>
  <c r="O39" i="7" s="1"/>
  <c r="AI41" i="7"/>
  <c r="W41" i="7" s="1"/>
  <c r="AC15" i="7"/>
  <c r="Q15" i="7" s="1"/>
  <c r="AK15" i="7"/>
  <c r="AC19" i="7"/>
  <c r="Q19" i="7" s="1"/>
  <c r="AK19" i="7"/>
  <c r="Y19" i="7" s="1"/>
  <c r="AK23" i="7"/>
  <c r="Y23" i="7" s="1"/>
  <c r="AC27" i="7"/>
  <c r="Q27" i="7" s="1"/>
  <c r="AK27" i="7"/>
  <c r="Y27" i="7" s="1"/>
  <c r="AC29" i="7"/>
  <c r="Q29" i="7" s="1"/>
  <c r="AK29" i="7"/>
  <c r="Y29" i="7" s="1"/>
  <c r="AC31" i="7"/>
  <c r="Q31" i="7" s="1"/>
  <c r="AK31" i="7"/>
  <c r="AH35" i="7"/>
  <c r="V35" i="7" s="1"/>
  <c r="AK43" i="7"/>
  <c r="AE33" i="7"/>
  <c r="S33" i="7" s="1"/>
  <c r="AH44" i="7"/>
  <c r="V44" i="7" s="1"/>
  <c r="S101" i="7"/>
  <c r="R98" i="7"/>
  <c r="S93" i="7"/>
  <c r="R90" i="7"/>
  <c r="AI35" i="7"/>
  <c r="W35" i="7" s="1"/>
  <c r="AF38" i="7"/>
  <c r="T38" i="7" s="1"/>
  <c r="AF44" i="7"/>
  <c r="T44" i="7" s="1"/>
  <c r="AB51" i="7"/>
  <c r="P51" i="7" s="1"/>
  <c r="AJ51" i="7"/>
  <c r="X51" i="7" s="1"/>
  <c r="AJ57" i="7"/>
  <c r="X57" i="7" s="1"/>
  <c r="AB67" i="7"/>
  <c r="P67" i="7" s="1"/>
  <c r="AJ67" i="7"/>
  <c r="X67" i="7" s="1"/>
  <c r="AF70" i="7"/>
  <c r="T70" i="7" s="1"/>
  <c r="AB71" i="7"/>
  <c r="P71" i="7" s="1"/>
  <c r="AJ71" i="7"/>
  <c r="X71" i="7" s="1"/>
  <c r="AB75" i="7"/>
  <c r="P75" i="7" s="1"/>
  <c r="AJ75" i="7"/>
  <c r="X75" i="7" s="1"/>
  <c r="AB81" i="7"/>
  <c r="P81" i="7" s="1"/>
  <c r="AJ81" i="7"/>
  <c r="X81" i="7" s="1"/>
  <c r="AB87" i="7"/>
  <c r="P87" i="7" s="1"/>
  <c r="AJ87" i="7"/>
  <c r="X87" i="7" s="1"/>
  <c r="AJ89" i="7"/>
  <c r="X89" i="7" s="1"/>
  <c r="AJ91" i="7"/>
  <c r="AE12" i="7"/>
  <c r="S12" i="7" s="1"/>
  <c r="AG10" i="7"/>
  <c r="U10" i="7" s="1"/>
  <c r="AK59" i="7"/>
  <c r="Y59" i="7" s="1"/>
  <c r="AC87" i="7"/>
  <c r="Q87" i="7" s="1"/>
  <c r="AK87" i="7"/>
  <c r="Y87" i="7" s="1"/>
  <c r="AC89" i="7"/>
  <c r="Q89" i="7" s="1"/>
  <c r="AK89" i="7"/>
  <c r="Y89" i="7" s="1"/>
  <c r="AB26" i="7"/>
  <c r="P26" i="7" s="1"/>
  <c r="AJ26" i="7"/>
  <c r="X26" i="7" s="1"/>
  <c r="AB28" i="7"/>
  <c r="P28" i="7" s="1"/>
  <c r="AJ28" i="7"/>
  <c r="X28" i="7" s="1"/>
  <c r="AC14" i="7"/>
  <c r="Q14" i="7" s="1"/>
  <c r="AK14" i="7"/>
  <c r="Y14" i="7" s="1"/>
  <c r="AH51" i="7"/>
  <c r="V51" i="7" s="1"/>
  <c r="AH59" i="7"/>
  <c r="V59" i="7" s="1"/>
  <c r="AH71" i="7"/>
  <c r="V71" i="7" s="1"/>
  <c r="AH83" i="7"/>
  <c r="V83" i="7" s="1"/>
  <c r="AH87" i="7"/>
  <c r="V87" i="7" s="1"/>
  <c r="L31" i="98"/>
  <c r="L83" i="98" s="1"/>
  <c r="J31" i="98"/>
  <c r="J83" i="98" s="1"/>
  <c r="M31" i="97"/>
  <c r="M83" i="97" s="1"/>
  <c r="L31" i="97"/>
  <c r="L83" i="97" s="1"/>
  <c r="J31" i="97"/>
  <c r="J83" i="97" s="1"/>
  <c r="M31" i="96"/>
  <c r="M83" i="96" s="1"/>
  <c r="J31" i="96"/>
  <c r="J83" i="96" s="1"/>
  <c r="L31" i="96"/>
  <c r="L83" i="96" s="1"/>
  <c r="J31" i="95"/>
  <c r="J83" i="95" s="1"/>
  <c r="M83" i="94"/>
  <c r="L31" i="95"/>
  <c r="L83" i="95" s="1"/>
  <c r="M31" i="95"/>
  <c r="M83" i="95" s="1"/>
  <c r="L31" i="94"/>
  <c r="L83" i="94" s="1"/>
  <c r="W85" i="7"/>
  <c r="J31" i="94"/>
  <c r="J83" i="94" s="1"/>
  <c r="L31" i="93"/>
  <c r="L83" i="93" s="1"/>
  <c r="M31" i="93"/>
  <c r="M83" i="93" s="1"/>
  <c r="J31" i="93"/>
  <c r="J83" i="93" s="1"/>
  <c r="M31" i="92"/>
  <c r="M83" i="92" s="1"/>
  <c r="L31" i="92"/>
  <c r="L83" i="92" s="1"/>
  <c r="J31" i="92"/>
  <c r="J83" i="92" s="1"/>
  <c r="L31" i="91"/>
  <c r="L83" i="91" s="1"/>
  <c r="J31" i="91"/>
  <c r="J83" i="91" s="1"/>
  <c r="M31" i="90"/>
  <c r="M83" i="90" s="1"/>
  <c r="M83" i="91"/>
  <c r="L31" i="90"/>
  <c r="L83" i="90" s="1"/>
  <c r="J31" i="90"/>
  <c r="J83" i="90" s="1"/>
  <c r="J31" i="89"/>
  <c r="J83" i="89" s="1"/>
  <c r="L31" i="88"/>
  <c r="L83" i="88" s="1"/>
  <c r="L31" i="89"/>
  <c r="L83" i="89" s="1"/>
  <c r="J31" i="88"/>
  <c r="J83" i="88" s="1"/>
  <c r="M83" i="88"/>
  <c r="M83" i="87"/>
  <c r="R77" i="7"/>
  <c r="L31" i="86"/>
  <c r="L83" i="86" s="1"/>
  <c r="L31" i="87"/>
  <c r="L83" i="87" s="1"/>
  <c r="J31" i="87"/>
  <c r="J83" i="87" s="1"/>
  <c r="J31" i="86"/>
  <c r="J83" i="86" s="1"/>
  <c r="M31" i="85"/>
  <c r="M83" i="85" s="1"/>
  <c r="J31" i="85"/>
  <c r="J83" i="85" s="1"/>
  <c r="L31" i="85"/>
  <c r="L83" i="85" s="1"/>
  <c r="L31" i="84"/>
  <c r="L83" i="84" s="1"/>
  <c r="L31" i="80"/>
  <c r="L83" i="80" s="1"/>
  <c r="L31" i="82"/>
  <c r="L83" i="82" s="1"/>
  <c r="J31" i="84"/>
  <c r="J83" i="84" s="1"/>
  <c r="J31" i="83"/>
  <c r="J83" i="83" s="1"/>
  <c r="L31" i="83"/>
  <c r="L83" i="83" s="1"/>
  <c r="J31" i="82"/>
  <c r="J83" i="82" s="1"/>
  <c r="L31" i="81"/>
  <c r="L83" i="81" s="1"/>
  <c r="J31" i="81"/>
  <c r="J83" i="81" s="1"/>
  <c r="J31" i="80"/>
  <c r="J83" i="80" s="1"/>
  <c r="L31" i="79"/>
  <c r="L83" i="79" s="1"/>
  <c r="M31" i="79"/>
  <c r="M83" i="79" s="1"/>
  <c r="L31" i="77"/>
  <c r="L83" i="77" s="1"/>
  <c r="J31" i="79"/>
  <c r="J83" i="79" s="1"/>
  <c r="L31" i="78"/>
  <c r="L83" i="78" s="1"/>
  <c r="M31" i="78"/>
  <c r="M83" i="78" s="1"/>
  <c r="J31" i="78"/>
  <c r="J83" i="78" s="1"/>
  <c r="J31" i="74"/>
  <c r="J83" i="74" s="1"/>
  <c r="L31" i="76"/>
  <c r="L83" i="76" s="1"/>
  <c r="J31" i="77"/>
  <c r="J83" i="77" s="1"/>
  <c r="M83" i="77"/>
  <c r="J31" i="76"/>
  <c r="J83" i="76" s="1"/>
  <c r="M31" i="76"/>
  <c r="M83" i="76" s="1"/>
  <c r="M83" i="75"/>
  <c r="L31" i="75"/>
  <c r="L83" i="75" s="1"/>
  <c r="J31" i="75"/>
  <c r="J83" i="75" s="1"/>
  <c r="L31" i="72"/>
  <c r="L83" i="72" s="1"/>
  <c r="L31" i="74"/>
  <c r="L83" i="74" s="1"/>
  <c r="M83" i="74"/>
  <c r="L31" i="73"/>
  <c r="L83" i="73" s="1"/>
  <c r="J31" i="73"/>
  <c r="J83" i="73" s="1"/>
  <c r="T63" i="7"/>
  <c r="J31" i="72"/>
  <c r="J83" i="72" s="1"/>
  <c r="L31" i="71"/>
  <c r="L83" i="71" s="1"/>
  <c r="L31" i="70"/>
  <c r="L83" i="70" s="1"/>
  <c r="J31" i="71"/>
  <c r="J83" i="71" s="1"/>
  <c r="J31" i="70"/>
  <c r="J83" i="70" s="1"/>
  <c r="M83" i="70"/>
  <c r="M83" i="69"/>
  <c r="L31" i="69"/>
  <c r="L83" i="69" s="1"/>
  <c r="M31" i="20"/>
  <c r="M83" i="20" s="1"/>
  <c r="J31" i="69"/>
  <c r="J83" i="69" s="1"/>
  <c r="L31" i="68"/>
  <c r="L83" i="68" s="1"/>
  <c r="J31" i="62"/>
  <c r="J83" i="62" s="1"/>
  <c r="J31" i="68"/>
  <c r="J83" i="68" s="1"/>
  <c r="M31" i="67"/>
  <c r="M83" i="67" s="1"/>
  <c r="J31" i="67"/>
  <c r="J83" i="67" s="1"/>
  <c r="J31" i="66"/>
  <c r="J83" i="66" s="1"/>
  <c r="L31" i="67"/>
  <c r="L83" i="67" s="1"/>
  <c r="L31" i="66"/>
  <c r="L83" i="66" s="1"/>
  <c r="M31" i="66"/>
  <c r="M83" i="66" s="1"/>
  <c r="L31" i="65"/>
  <c r="L83" i="65" s="1"/>
  <c r="M31" i="65"/>
  <c r="M83" i="65" s="1"/>
  <c r="J31" i="65"/>
  <c r="J83" i="65" s="1"/>
  <c r="J31" i="64"/>
  <c r="J83" i="64" s="1"/>
  <c r="L31" i="64"/>
  <c r="L83" i="64" s="1"/>
  <c r="J31" i="63"/>
  <c r="J83" i="63" s="1"/>
  <c r="M31" i="64"/>
  <c r="M83" i="64" s="1"/>
  <c r="M31" i="63"/>
  <c r="M83" i="63" s="1"/>
  <c r="L31" i="63"/>
  <c r="L83" i="63" s="1"/>
  <c r="M31" i="62"/>
  <c r="M83" i="62" s="1"/>
  <c r="L31" i="62"/>
  <c r="L83" i="62" s="1"/>
  <c r="L31" i="61"/>
  <c r="L83" i="61" s="1"/>
  <c r="J31" i="61"/>
  <c r="J83" i="61" s="1"/>
  <c r="J31" i="60"/>
  <c r="J83" i="60" s="1"/>
  <c r="M31" i="60"/>
  <c r="M83" i="60" s="1"/>
  <c r="M31" i="59"/>
  <c r="M83" i="59" s="1"/>
  <c r="L31" i="59"/>
  <c r="L83" i="59" s="1"/>
  <c r="L31" i="60"/>
  <c r="L83" i="60" s="1"/>
  <c r="J31" i="59"/>
  <c r="J83" i="59" s="1"/>
  <c r="R48" i="7"/>
  <c r="S48" i="7"/>
  <c r="L31" i="58"/>
  <c r="L83" i="58" s="1"/>
  <c r="M83" i="58"/>
  <c r="J31" i="58"/>
  <c r="J83" i="58" s="1"/>
  <c r="L31" i="57"/>
  <c r="L83" i="57" s="1"/>
  <c r="J31" i="57"/>
  <c r="J83" i="57" s="1"/>
  <c r="L31" i="55"/>
  <c r="L83" i="55" s="1"/>
  <c r="L31" i="54"/>
  <c r="L83" i="54" s="1"/>
  <c r="M83" i="56"/>
  <c r="L31" i="56"/>
  <c r="L83" i="56" s="1"/>
  <c r="J31" i="56"/>
  <c r="J83" i="56" s="1"/>
  <c r="J31" i="55"/>
  <c r="J83" i="55" s="1"/>
  <c r="M83" i="54"/>
  <c r="J31" i="54"/>
  <c r="J83" i="54" s="1"/>
  <c r="L31" i="53"/>
  <c r="L83" i="53" s="1"/>
  <c r="J31" i="53"/>
  <c r="J83" i="53" s="1"/>
  <c r="J31" i="52"/>
  <c r="J83" i="52" s="1"/>
  <c r="J31" i="48"/>
  <c r="J83" i="48" s="1"/>
  <c r="J31" i="51"/>
  <c r="J83" i="51" s="1"/>
  <c r="L31" i="52"/>
  <c r="L83" i="52" s="1"/>
  <c r="M31" i="51"/>
  <c r="M83" i="51" s="1"/>
  <c r="L31" i="51"/>
  <c r="L83" i="51" s="1"/>
  <c r="L31" i="50"/>
  <c r="L83" i="50" s="1"/>
  <c r="J31" i="49"/>
  <c r="J83" i="49" s="1"/>
  <c r="M83" i="50"/>
  <c r="J31" i="50"/>
  <c r="J83" i="50" s="1"/>
  <c r="V38" i="7"/>
  <c r="L31" i="48"/>
  <c r="L83" i="48" s="1"/>
  <c r="L31" i="49"/>
  <c r="L83" i="49" s="1"/>
  <c r="M83" i="49"/>
  <c r="M31" i="48"/>
  <c r="M83" i="48" s="1"/>
  <c r="L31" i="47"/>
  <c r="L83" i="47" s="1"/>
  <c r="J31" i="47"/>
  <c r="J83" i="47" s="1"/>
  <c r="J31" i="46"/>
  <c r="J83" i="46" s="1"/>
  <c r="M31" i="46"/>
  <c r="M83" i="46" s="1"/>
  <c r="L31" i="46"/>
  <c r="L83" i="46" s="1"/>
  <c r="L31" i="45"/>
  <c r="L83" i="45" s="1"/>
  <c r="J31" i="45"/>
  <c r="J83" i="45" s="1"/>
  <c r="L31" i="44"/>
  <c r="L83" i="44" s="1"/>
  <c r="J31" i="44"/>
  <c r="J83" i="44" s="1"/>
  <c r="L31" i="43"/>
  <c r="L83" i="43" s="1"/>
  <c r="M31" i="43"/>
  <c r="M83" i="43" s="1"/>
  <c r="J31" i="43"/>
  <c r="J83" i="43" s="1"/>
  <c r="M83" i="42"/>
  <c r="L31" i="42"/>
  <c r="L83" i="42" s="1"/>
  <c r="J31" i="42"/>
  <c r="J83" i="42" s="1"/>
  <c r="J31" i="41"/>
  <c r="J83" i="41" s="1"/>
  <c r="M83" i="41"/>
  <c r="L31" i="41"/>
  <c r="L83" i="41" s="1"/>
  <c r="M31" i="40"/>
  <c r="M83" i="40" s="1"/>
  <c r="L31" i="40"/>
  <c r="L83" i="40" s="1"/>
  <c r="J31" i="40"/>
  <c r="J83" i="40" s="1"/>
  <c r="L31" i="39"/>
  <c r="L83" i="39" s="1"/>
  <c r="J31" i="39"/>
  <c r="J83" i="39" s="1"/>
  <c r="J31" i="38"/>
  <c r="J83" i="38" s="1"/>
  <c r="L31" i="36"/>
  <c r="L83" i="36" s="1"/>
  <c r="L31" i="38"/>
  <c r="L83" i="38" s="1"/>
  <c r="M31" i="38"/>
  <c r="M83" i="38" s="1"/>
  <c r="M31" i="37"/>
  <c r="M83" i="37" s="1"/>
  <c r="L31" i="37"/>
  <c r="L83" i="37" s="1"/>
  <c r="J31" i="37"/>
  <c r="J83" i="37" s="1"/>
  <c r="M83" i="36"/>
  <c r="J31" i="36"/>
  <c r="J83" i="36" s="1"/>
  <c r="J31" i="33"/>
  <c r="J83" i="33" s="1"/>
  <c r="L31" i="35"/>
  <c r="L83" i="35" s="1"/>
  <c r="J31" i="35"/>
  <c r="J83" i="35" s="1"/>
  <c r="J31" i="34"/>
  <c r="J83" i="34" s="1"/>
  <c r="L31" i="34"/>
  <c r="L83" i="34" s="1"/>
  <c r="M31" i="34"/>
  <c r="M83" i="34" s="1"/>
  <c r="L31" i="33"/>
  <c r="L83" i="33" s="1"/>
  <c r="M31" i="32"/>
  <c r="M83" i="32" s="1"/>
  <c r="L31" i="32"/>
  <c r="L83" i="32" s="1"/>
  <c r="J31" i="32"/>
  <c r="J83" i="32" s="1"/>
  <c r="M31" i="31"/>
  <c r="M83" i="31" s="1"/>
  <c r="L31" i="31"/>
  <c r="L83" i="31" s="1"/>
  <c r="L31" i="30"/>
  <c r="L83" i="30" s="1"/>
  <c r="J31" i="31"/>
  <c r="J83" i="31" s="1"/>
  <c r="M31" i="30"/>
  <c r="M83" i="30" s="1"/>
  <c r="J31" i="30"/>
  <c r="J83" i="30" s="1"/>
  <c r="L31" i="29"/>
  <c r="L83" i="29" s="1"/>
  <c r="J31" i="28"/>
  <c r="J83" i="28" s="1"/>
  <c r="J31" i="29"/>
  <c r="J83" i="29" s="1"/>
  <c r="L31" i="28"/>
  <c r="L83" i="28" s="1"/>
  <c r="M83" i="28"/>
  <c r="L31" i="27"/>
  <c r="L83" i="27" s="1"/>
  <c r="M31" i="27"/>
  <c r="M83" i="27" s="1"/>
  <c r="J31" i="27"/>
  <c r="J83" i="27" s="1"/>
  <c r="L31" i="22"/>
  <c r="L83" i="22" s="1"/>
  <c r="L31" i="26"/>
  <c r="L83" i="26" s="1"/>
  <c r="M31" i="26"/>
  <c r="M83" i="26" s="1"/>
  <c r="J31" i="26"/>
  <c r="J83" i="26" s="1"/>
  <c r="J22" i="25"/>
  <c r="J23" i="25" s="1"/>
  <c r="J24" i="25" s="1"/>
  <c r="J31" i="25" s="1"/>
  <c r="J83" i="25" s="1"/>
  <c r="L22" i="25"/>
  <c r="L23" i="25" s="1"/>
  <c r="L24" i="25" s="1"/>
  <c r="L31" i="25" s="1"/>
  <c r="L83" i="25" s="1"/>
  <c r="M22" i="25"/>
  <c r="M23" i="25" s="1"/>
  <c r="M24" i="25" s="1"/>
  <c r="M31" i="25" s="1"/>
  <c r="M83" i="25" s="1"/>
  <c r="K22" i="25"/>
  <c r="K37" i="118" s="1"/>
  <c r="L31" i="23"/>
  <c r="L83" i="23" s="1"/>
  <c r="L31" i="24"/>
  <c r="L83" i="24" s="1"/>
  <c r="J31" i="20"/>
  <c r="J83" i="20" s="1"/>
  <c r="M31" i="24"/>
  <c r="M83" i="24" s="1"/>
  <c r="J31" i="24"/>
  <c r="J83" i="24" s="1"/>
  <c r="P11" i="7"/>
  <c r="M31" i="23"/>
  <c r="M83" i="23" s="1"/>
  <c r="R10" i="7"/>
  <c r="J31" i="23"/>
  <c r="J83" i="23" s="1"/>
  <c r="M83" i="21"/>
  <c r="J31" i="22"/>
  <c r="J83" i="22" s="1"/>
  <c r="J31" i="21"/>
  <c r="J83" i="21" s="1"/>
  <c r="L31" i="21"/>
  <c r="L83" i="21" s="1"/>
  <c r="L31" i="20"/>
  <c r="L83" i="20" s="1"/>
  <c r="M31" i="19"/>
  <c r="M83" i="19" s="1"/>
  <c r="L31" i="19"/>
  <c r="L83" i="19" s="1"/>
  <c r="J31" i="19"/>
  <c r="J83" i="19" s="1"/>
  <c r="M83" i="18"/>
  <c r="L31" i="18"/>
  <c r="L83" i="18" s="1"/>
  <c r="J31" i="18"/>
  <c r="J83" i="18" s="1"/>
  <c r="M83" i="16"/>
  <c r="J31" i="16"/>
  <c r="J83" i="16" s="1"/>
  <c r="L31" i="16"/>
  <c r="L83" i="16" s="1"/>
  <c r="AK64" i="7"/>
  <c r="AA32" i="7"/>
  <c r="AC18" i="7"/>
  <c r="AK18" i="7"/>
  <c r="AC22" i="7"/>
  <c r="AK22" i="7"/>
  <c r="AC24" i="7"/>
  <c r="AC30" i="7"/>
  <c r="AK30" i="7"/>
  <c r="AB37" i="7"/>
  <c r="AJ37" i="7"/>
  <c r="AB43" i="7"/>
  <c r="AE52" i="7"/>
  <c r="AE60" i="7"/>
  <c r="AE62" i="7"/>
  <c r="AC72" i="7"/>
  <c r="AK72" i="7"/>
  <c r="AJ80" i="7"/>
  <c r="AB86" i="7"/>
  <c r="AJ86" i="7"/>
  <c r="AB92" i="7"/>
  <c r="AJ92" i="7"/>
  <c r="AB94" i="7"/>
  <c r="AJ94" i="7"/>
  <c r="AB102" i="7"/>
  <c r="AJ102" i="7"/>
  <c r="AC74" i="7"/>
  <c r="AK74" i="7"/>
  <c r="AC88" i="7"/>
  <c r="AC90" i="7"/>
  <c r="AK90" i="7"/>
  <c r="AK94" i="7"/>
  <c r="AC98" i="7"/>
  <c r="AK98" i="7"/>
  <c r="AK102" i="7"/>
  <c r="AF54" i="7"/>
  <c r="AG8" i="7"/>
  <c r="AI32" i="7"/>
  <c r="AG50" i="7"/>
  <c r="AG56" i="7"/>
  <c r="AG58" i="7"/>
  <c r="AF28" i="7"/>
  <c r="AF30" i="7"/>
  <c r="AE37" i="7"/>
  <c r="AE41" i="7"/>
  <c r="AG66" i="7"/>
  <c r="AC67" i="7"/>
  <c r="AK67" i="7"/>
  <c r="AG68" i="7"/>
  <c r="AG70" i="7"/>
  <c r="AE78" i="7"/>
  <c r="AE80" i="7"/>
  <c r="AE86" i="7"/>
  <c r="AE94" i="7"/>
  <c r="AE30" i="7"/>
  <c r="AF45" i="7"/>
  <c r="AI50" i="7"/>
  <c r="AA52" i="7"/>
  <c r="AI54" i="7"/>
  <c r="AA56" i="7"/>
  <c r="AA58" i="7"/>
  <c r="AI62" i="7"/>
  <c r="AA64" i="7"/>
  <c r="AI64" i="7"/>
  <c r="AF78" i="7"/>
  <c r="AH6" i="7"/>
  <c r="AF7" i="7"/>
  <c r="AE11" i="7"/>
  <c r="AI12" i="7"/>
  <c r="AH21" i="7"/>
  <c r="AA35" i="7"/>
  <c r="O35" i="7" s="1"/>
  <c r="AJ52" i="7"/>
  <c r="AG78" i="7"/>
  <c r="AG80" i="7"/>
  <c r="AG86" i="7"/>
  <c r="AG92" i="7"/>
  <c r="AG94" i="7"/>
  <c r="AG100" i="7"/>
  <c r="AG102" i="7"/>
  <c r="AE20" i="7"/>
  <c r="AE24" i="7"/>
  <c r="AI8" i="7"/>
  <c r="AG22" i="7"/>
  <c r="AF37" i="7"/>
  <c r="AF39" i="7"/>
  <c r="AF41" i="7"/>
  <c r="AA12" i="7"/>
  <c r="AE13" i="7"/>
  <c r="AH22" i="7"/>
  <c r="AG39" i="7"/>
  <c r="AB50" i="7"/>
  <c r="AC6" i="7"/>
  <c r="AK6" i="7"/>
  <c r="AC10" i="7"/>
  <c r="AK10" i="7"/>
  <c r="AF15" i="7"/>
  <c r="AA16" i="7"/>
  <c r="AA18" i="7"/>
  <c r="AI20" i="7"/>
  <c r="AA24" i="7"/>
  <c r="AI24" i="7"/>
  <c r="AE27" i="7"/>
  <c r="AA28" i="7"/>
  <c r="AI28" i="7"/>
  <c r="AE29" i="7"/>
  <c r="AB35" i="7"/>
  <c r="P35" i="7" s="1"/>
  <c r="AH37" i="7"/>
  <c r="AH39" i="7"/>
  <c r="AH41" i="7"/>
  <c r="AH45" i="7"/>
  <c r="AC52" i="7"/>
  <c r="AK52" i="7"/>
  <c r="AC54" i="7"/>
  <c r="AK54" i="7"/>
  <c r="AK60" i="7"/>
  <c r="AC62" i="7"/>
  <c r="AB66" i="7"/>
  <c r="AJ66" i="7"/>
  <c r="AF71" i="7"/>
  <c r="AI72" i="7"/>
  <c r="AH74" i="7"/>
  <c r="AH86" i="7"/>
  <c r="AF89" i="7"/>
  <c r="AH94" i="7"/>
  <c r="AH98" i="7"/>
  <c r="AH102" i="7"/>
  <c r="AF23" i="7"/>
  <c r="AG17" i="7"/>
  <c r="U17" i="7" s="1"/>
  <c r="AG19" i="7"/>
  <c r="AJ43" i="7"/>
  <c r="AE45" i="7"/>
  <c r="M83" i="7"/>
  <c r="AK83" i="7"/>
  <c r="AJ44" i="7"/>
  <c r="AH30" i="7"/>
  <c r="AI14" i="7"/>
  <c r="M50" i="7"/>
  <c r="AK12" i="7"/>
  <c r="AF48" i="7"/>
  <c r="AG76" i="7"/>
  <c r="AC78" i="7"/>
  <c r="AB80" i="7"/>
  <c r="AI16" i="7"/>
  <c r="AG18" i="7"/>
  <c r="AF31" i="7"/>
  <c r="AE44" i="7"/>
  <c r="AI82" i="7"/>
  <c r="W44" i="7"/>
  <c r="AE58" i="7"/>
  <c r="AC60" i="7"/>
  <c r="AK62" i="7"/>
  <c r="AC38" i="7"/>
  <c r="X7" i="7"/>
  <c r="AF13" i="7"/>
  <c r="AA20" i="7"/>
  <c r="W36" i="7"/>
  <c r="AB57" i="7"/>
  <c r="R65" i="7"/>
  <c r="AE68" i="7"/>
  <c r="AB96" i="7"/>
  <c r="AE98" i="7"/>
  <c r="AE51" i="7"/>
  <c r="S51" i="7" s="1"/>
  <c r="AF19" i="7"/>
  <c r="AE8" i="7"/>
  <c r="AE10" i="7"/>
  <c r="AG51" i="7"/>
  <c r="U51" i="7" s="1"/>
  <c r="AG64" i="7"/>
  <c r="AH33" i="7"/>
  <c r="AG37" i="7"/>
  <c r="AD82" i="7"/>
  <c r="AF16" i="7"/>
  <c r="AE28" i="7"/>
  <c r="AD40" i="7"/>
  <c r="AF40" i="7"/>
  <c r="AE96" i="7"/>
  <c r="AC7" i="7"/>
  <c r="AK7" i="7"/>
  <c r="AA9" i="7"/>
  <c r="AI9" i="7"/>
  <c r="AE17" i="7"/>
  <c r="S17" i="7" s="1"/>
  <c r="AG20" i="7"/>
  <c r="M24" i="7"/>
  <c r="AJ24" i="7"/>
  <c r="M32" i="7"/>
  <c r="AJ32" i="7"/>
  <c r="AG40" i="7"/>
  <c r="AE43" i="7"/>
  <c r="R43" i="7"/>
  <c r="M47" i="7"/>
  <c r="AD56" i="7"/>
  <c r="AF56" i="7"/>
  <c r="AD63" i="7"/>
  <c r="AK76" i="7"/>
  <c r="AC83" i="7"/>
  <c r="AG84" i="7"/>
  <c r="AB85" i="7"/>
  <c r="AE88" i="7"/>
  <c r="AE64" i="7"/>
  <c r="AA90" i="7"/>
  <c r="M8" i="7"/>
  <c r="AF20" i="7"/>
  <c r="AA25" i="7"/>
  <c r="AD7" i="7"/>
  <c r="AC12" i="7"/>
  <c r="AH16" i="7"/>
  <c r="AC16" i="7"/>
  <c r="AJ19" i="7"/>
  <c r="AH20" i="7"/>
  <c r="AK24" i="7"/>
  <c r="M29" i="7"/>
  <c r="AC32" i="7"/>
  <c r="AK32" i="7"/>
  <c r="AI40" i="7"/>
  <c r="AF43" i="7"/>
  <c r="AG43" i="7"/>
  <c r="M48" i="7"/>
  <c r="AE56" i="7"/>
  <c r="AG74" i="7"/>
  <c r="AH82" i="7"/>
  <c r="AG96" i="7"/>
  <c r="AB97" i="7"/>
  <c r="AC100" i="7"/>
  <c r="AK100" i="7"/>
  <c r="AJ10" i="7"/>
  <c r="AE82" i="7"/>
  <c r="AF11" i="7"/>
  <c r="AD67" i="7"/>
  <c r="AF67" i="7"/>
  <c r="AG6" i="7"/>
  <c r="M15" i="7"/>
  <c r="AI18" i="7"/>
  <c r="AI21" i="7"/>
  <c r="AD25" i="7"/>
  <c r="AH43" i="7"/>
  <c r="AD53" i="7"/>
  <c r="AH53" i="7"/>
  <c r="AC68" i="7"/>
  <c r="AK68" i="7"/>
  <c r="AF73" i="7"/>
  <c r="AH73" i="7"/>
  <c r="AE76" i="7"/>
  <c r="AG79" i="7"/>
  <c r="U79" i="7" s="1"/>
  <c r="AE81" i="7"/>
  <c r="AG88" i="7"/>
  <c r="AB89" i="7"/>
  <c r="AH90" i="7"/>
  <c r="AC92" i="7"/>
  <c r="AI98" i="7"/>
  <c r="AB40" i="7"/>
  <c r="AA93" i="7"/>
  <c r="AG60" i="7"/>
  <c r="AB60" i="7"/>
  <c r="AD79" i="7"/>
  <c r="R79" i="7" s="1"/>
  <c r="AJ88" i="7"/>
  <c r="AB88" i="7"/>
  <c r="AE6" i="7"/>
  <c r="AJ9" i="7"/>
  <c r="AH10" i="7"/>
  <c r="M12" i="7"/>
  <c r="AJ12" i="7"/>
  <c r="AH12" i="7"/>
  <c r="AJ16" i="7"/>
  <c r="AG16" i="7"/>
  <c r="AH17" i="7"/>
  <c r="V17" i="7" s="1"/>
  <c r="AJ18" i="7"/>
  <c r="AB20" i="7"/>
  <c r="AB21" i="7"/>
  <c r="AJ21" i="7"/>
  <c r="AE22" i="7"/>
  <c r="AC23" i="7"/>
  <c r="AH26" i="7"/>
  <c r="AG30" i="7"/>
  <c r="AA31" i="7"/>
  <c r="AI31" i="7"/>
  <c r="AE32" i="7"/>
  <c r="AI52" i="7"/>
  <c r="AB52" i="7"/>
  <c r="AE53" i="7"/>
  <c r="AI56" i="7"/>
  <c r="AA60" i="7"/>
  <c r="AC64" i="7"/>
  <c r="AK80" i="7"/>
  <c r="AJ85" i="7"/>
  <c r="AI90" i="7"/>
  <c r="AA101" i="7"/>
  <c r="AD21" i="7"/>
  <c r="AI66" i="7"/>
  <c r="AE16" i="7"/>
  <c r="AC40" i="7"/>
  <c r="AE18" i="7"/>
  <c r="AD8" i="7"/>
  <c r="AB10" i="7"/>
  <c r="AH14" i="7"/>
  <c r="AD5" i="7"/>
  <c r="AF8" i="7"/>
  <c r="AA8" i="7"/>
  <c r="M10" i="7"/>
  <c r="AI10" i="7"/>
  <c r="AD15" i="7"/>
  <c r="AB18" i="7"/>
  <c r="AC20" i="7"/>
  <c r="AK20" i="7"/>
  <c r="AF22" i="7"/>
  <c r="R22" i="7"/>
  <c r="AF24" i="7"/>
  <c r="AF25" i="7"/>
  <c r="AF32" i="7"/>
  <c r="AG38" i="7"/>
  <c r="AA40" i="7"/>
  <c r="AF53" i="7"/>
  <c r="AA54" i="7"/>
  <c r="AJ60" i="7"/>
  <c r="AG62" i="7"/>
  <c r="AH63" i="7"/>
  <c r="Y70" i="7"/>
  <c r="AD75" i="7"/>
  <c r="AC82" i="7"/>
  <c r="AK82" i="7"/>
  <c r="AC84" i="7"/>
  <c r="AK84" i="7"/>
  <c r="AK92" i="7"/>
  <c r="AJ96" i="7"/>
  <c r="AJ97" i="7"/>
  <c r="AB101" i="7"/>
  <c r="AC53" i="7"/>
  <c r="AK53" i="7"/>
  <c r="AC56" i="7"/>
  <c r="AK56" i="7"/>
  <c r="AD69" i="7"/>
  <c r="AJ73" i="7"/>
  <c r="AC75" i="7"/>
  <c r="AK75" i="7"/>
  <c r="AC79" i="7"/>
  <c r="Q79" i="7" s="1"/>
  <c r="AK79" i="7"/>
  <c r="Y79" i="7" s="1"/>
  <c r="AC80" i="7"/>
  <c r="M89" i="7"/>
  <c r="AI89" i="7"/>
  <c r="AE90" i="7"/>
  <c r="AA92" i="7"/>
  <c r="AI92" i="7"/>
  <c r="AI97" i="7"/>
  <c r="AB100" i="7"/>
  <c r="AJ100" i="7"/>
  <c r="AF101" i="7"/>
  <c r="AE40" i="7"/>
  <c r="AA44" i="7"/>
  <c r="M57" i="7"/>
  <c r="AF60" i="7"/>
  <c r="AE67" i="7"/>
  <c r="AE73" i="7"/>
  <c r="AF80" i="7"/>
  <c r="AD87" i="7"/>
  <c r="AF88" i="7"/>
  <c r="AJ93" i="7"/>
  <c r="AF96" i="7"/>
  <c r="AG28" i="7"/>
  <c r="AH29" i="7"/>
  <c r="AC35" i="7"/>
  <c r="Q35" i="7" s="1"/>
  <c r="AB39" i="7"/>
  <c r="AJ41" i="7"/>
  <c r="AB45" i="7"/>
  <c r="AJ45" i="7"/>
  <c r="AG52" i="7"/>
  <c r="AH54" i="7"/>
  <c r="M55" i="7"/>
  <c r="AD55" i="7"/>
  <c r="AK58" i="7"/>
  <c r="AG59" i="7"/>
  <c r="AI60" i="7"/>
  <c r="AF76" i="7"/>
  <c r="AF83" i="7"/>
  <c r="AE85" i="7"/>
  <c r="AE87" i="7"/>
  <c r="M94" i="7"/>
  <c r="AD95" i="7"/>
  <c r="AC96" i="7"/>
  <c r="AE25" i="7"/>
  <c r="AH28" i="7"/>
  <c r="AD33" i="7"/>
  <c r="AE35" i="7"/>
  <c r="S35" i="7" s="1"/>
  <c r="AB36" i="7"/>
  <c r="AJ36" i="7"/>
  <c r="AK37" i="7"/>
  <c r="AC45" i="7"/>
  <c r="Q48" i="7"/>
  <c r="AD50" i="7"/>
  <c r="AH52" i="7"/>
  <c r="AE54" i="7"/>
  <c r="AF68" i="7"/>
  <c r="AJ72" i="7"/>
  <c r="AG73" i="7"/>
  <c r="AB74" i="7"/>
  <c r="AJ74" i="7"/>
  <c r="AI78" i="7"/>
  <c r="AH79" i="7"/>
  <c r="V79" i="7" s="1"/>
  <c r="AG83" i="7"/>
  <c r="AF84" i="7"/>
  <c r="AA85" i="7"/>
  <c r="AI86" i="7"/>
  <c r="AH88" i="7"/>
  <c r="AH95" i="7"/>
  <c r="AH96" i="7"/>
  <c r="AG31" i="7"/>
  <c r="AF35" i="7"/>
  <c r="T35" i="7" s="1"/>
  <c r="AI39" i="7"/>
  <c r="AJ39" i="7"/>
  <c r="AG41" i="7"/>
  <c r="AD45" i="7"/>
  <c r="AE50" i="7"/>
  <c r="AH65" i="7"/>
  <c r="AH76" i="7"/>
  <c r="AJ78" i="7"/>
  <c r="AH81" i="7"/>
  <c r="AA84" i="7"/>
  <c r="AI84" i="7"/>
  <c r="AG85" i="7"/>
  <c r="AI96" i="7"/>
  <c r="AF100" i="7"/>
  <c r="AI102" i="7"/>
  <c r="AG25" i="7"/>
  <c r="AH31" i="7"/>
  <c r="AG35" i="7"/>
  <c r="U35" i="7" s="1"/>
  <c r="AK36" i="7"/>
  <c r="AE38" i="7"/>
  <c r="AE39" i="7"/>
  <c r="AH46" i="7"/>
  <c r="AB53" i="7"/>
  <c r="AJ53" i="7"/>
  <c r="AH68" i="7"/>
  <c r="AK78" i="7"/>
  <c r="AB79" i="7"/>
  <c r="P79" i="7" s="1"/>
  <c r="AJ79" i="7"/>
  <c r="X79" i="7" s="1"/>
  <c r="AI81" i="7"/>
  <c r="M82" i="7"/>
  <c r="AB84" i="7"/>
  <c r="AJ84" i="7"/>
  <c r="AK88" i="7"/>
  <c r="AH89" i="7"/>
  <c r="AE89" i="7"/>
  <c r="AF90" i="7"/>
  <c r="AF92" i="7"/>
  <c r="AI94" i="7"/>
  <c r="AK96" i="7"/>
  <c r="AH97" i="7"/>
  <c r="AE97" i="7"/>
  <c r="AF98" i="7"/>
  <c r="AA100" i="7"/>
  <c r="AI100" i="7"/>
  <c r="AG101" i="7"/>
  <c r="AE102" i="7"/>
  <c r="AD6" i="7"/>
  <c r="M6" i="7"/>
  <c r="AG7" i="7"/>
  <c r="AE9" i="7"/>
  <c r="J104" i="7"/>
  <c r="J106" i="7" s="1"/>
  <c r="AI5" i="7"/>
  <c r="AB8" i="7"/>
  <c r="AJ8" i="7"/>
  <c r="B104" i="7"/>
  <c r="B106" i="7" s="1"/>
  <c r="M5" i="7"/>
  <c r="AA5" i="7"/>
  <c r="M7" i="7"/>
  <c r="M22" i="7"/>
  <c r="AA22" i="7"/>
  <c r="AD54" i="7"/>
  <c r="C104" i="7"/>
  <c r="C106" i="7" s="1"/>
  <c r="AF12" i="7"/>
  <c r="AB22" i="7"/>
  <c r="H104" i="7"/>
  <c r="H106" i="7" s="1"/>
  <c r="X5" i="7"/>
  <c r="AF5" i="7"/>
  <c r="AA6" i="7"/>
  <c r="AI6" i="7"/>
  <c r="I104" i="7"/>
  <c r="I106" i="7" s="1"/>
  <c r="AG5" i="7"/>
  <c r="AB6" i="7"/>
  <c r="AJ6" i="7"/>
  <c r="AE7" i="7"/>
  <c r="AH8" i="7"/>
  <c r="M9" i="7"/>
  <c r="AC9" i="7"/>
  <c r="AK9" i="7"/>
  <c r="AF10" i="7"/>
  <c r="AA11" i="7"/>
  <c r="AI11" i="7"/>
  <c r="AD12" i="7"/>
  <c r="AG13" i="7"/>
  <c r="AB14" i="7"/>
  <c r="AJ14" i="7"/>
  <c r="AE15" i="7"/>
  <c r="AB16" i="7"/>
  <c r="AK16" i="7"/>
  <c r="AI17" i="7"/>
  <c r="W17" i="7" s="1"/>
  <c r="AF18" i="7"/>
  <c r="AH18" i="7"/>
  <c r="AD23" i="7"/>
  <c r="M23" i="7"/>
  <c r="AA26" i="7"/>
  <c r="AI26" i="7"/>
  <c r="AG32" i="7"/>
  <c r="M14" i="7"/>
  <c r="AE19" i="7"/>
  <c r="M21" i="7"/>
  <c r="AA21" i="7"/>
  <c r="AJ34" i="7"/>
  <c r="AG34" i="7"/>
  <c r="AK34" i="7"/>
  <c r="AC34" i="7"/>
  <c r="M54" i="7"/>
  <c r="M11" i="7"/>
  <c r="AC11" i="7"/>
  <c r="AK11" i="7"/>
  <c r="AI13" i="7"/>
  <c r="AD44" i="7"/>
  <c r="M44" i="7"/>
  <c r="D104" i="7"/>
  <c r="D106" i="7" s="1"/>
  <c r="L104" i="7"/>
  <c r="L106" i="7" s="1"/>
  <c r="AB5" i="7"/>
  <c r="AH7" i="7"/>
  <c r="AC8" i="7"/>
  <c r="AK8" i="7"/>
  <c r="AF9" i="7"/>
  <c r="AA10" i="7"/>
  <c r="AD11" i="7"/>
  <c r="AG12" i="7"/>
  <c r="AB13" i="7"/>
  <c r="AJ13" i="7"/>
  <c r="AE14" i="7"/>
  <c r="AH15" i="7"/>
  <c r="R16" i="7"/>
  <c r="M16" i="7"/>
  <c r="AD17" i="7"/>
  <c r="R17" i="7" s="1"/>
  <c r="AD20" i="7"/>
  <c r="M20" i="7"/>
  <c r="AC21" i="7"/>
  <c r="AK21" i="7"/>
  <c r="AG24" i="7"/>
  <c r="R26" i="7"/>
  <c r="AG26" i="7"/>
  <c r="AK26" i="7"/>
  <c r="AC26" i="7"/>
  <c r="AD34" i="7"/>
  <c r="AA37" i="7"/>
  <c r="M37" i="7"/>
  <c r="AI37" i="7"/>
  <c r="AB25" i="7"/>
  <c r="E104" i="7"/>
  <c r="E106" i="7" s="1"/>
  <c r="AC5" i="7"/>
  <c r="AK5" i="7"/>
  <c r="AF6" i="7"/>
  <c r="AA7" i="7"/>
  <c r="AI7" i="7"/>
  <c r="AG9" i="7"/>
  <c r="M13" i="7"/>
  <c r="AC13" i="7"/>
  <c r="AK13" i="7"/>
  <c r="AF14" i="7"/>
  <c r="AA15" i="7"/>
  <c r="AI15" i="7"/>
  <c r="AC17" i="7"/>
  <c r="Q17" i="7" s="1"/>
  <c r="AK17" i="7"/>
  <c r="Y17" i="7" s="1"/>
  <c r="AE26" i="7"/>
  <c r="AF29" i="7"/>
  <c r="Y31" i="7"/>
  <c r="M36" i="7"/>
  <c r="AI22" i="7"/>
  <c r="M17" i="7"/>
  <c r="M18" i="125" s="1"/>
  <c r="AE34" i="7"/>
  <c r="AD13" i="7"/>
  <c r="AG14" i="7"/>
  <c r="AF17" i="7"/>
  <c r="T17" i="7" s="1"/>
  <c r="M19" i="7"/>
  <c r="AA19" i="7"/>
  <c r="AI19" i="7"/>
  <c r="AE21" i="7"/>
  <c r="U27" i="7"/>
  <c r="AC28" i="7"/>
  <c r="AK28" i="7"/>
  <c r="AD31" i="7"/>
  <c r="M31" i="7"/>
  <c r="AH34" i="7"/>
  <c r="AB38" i="7"/>
  <c r="AJ38" i="7"/>
  <c r="AH60" i="7"/>
  <c r="AD9" i="7"/>
  <c r="K104" i="7"/>
  <c r="K106" i="7" s="1"/>
  <c r="F104" i="7"/>
  <c r="F106" i="7" s="1"/>
  <c r="AH9" i="7"/>
  <c r="G104" i="7"/>
  <c r="G106" i="7" s="1"/>
  <c r="AE5" i="7"/>
  <c r="AB12" i="7"/>
  <c r="R14" i="7"/>
  <c r="U15" i="7"/>
  <c r="O17" i="7"/>
  <c r="M18" i="7"/>
  <c r="AF21" i="7"/>
  <c r="AH27" i="7"/>
  <c r="M30" i="7"/>
  <c r="AA30" i="7"/>
  <c r="AI30" i="7"/>
  <c r="W33" i="7"/>
  <c r="AA34" i="7"/>
  <c r="AI34" i="7"/>
  <c r="AC39" i="7"/>
  <c r="M39" i="7"/>
  <c r="AK39" i="7"/>
  <c r="O48" i="7"/>
  <c r="AI49" i="7"/>
  <c r="AA49" i="7"/>
  <c r="AH49" i="7"/>
  <c r="AJ49" i="7"/>
  <c r="AD49" i="7"/>
  <c r="AB49" i="7"/>
  <c r="AF36" i="7"/>
  <c r="AJ25" i="7"/>
  <c r="AB9" i="7"/>
  <c r="AA14" i="7"/>
  <c r="AJ20" i="7"/>
  <c r="AG21" i="7"/>
  <c r="AB33" i="7"/>
  <c r="AJ33" i="7"/>
  <c r="AB34" i="7"/>
  <c r="S42" i="7"/>
  <c r="AH58" i="7"/>
  <c r="AB23" i="7"/>
  <c r="AJ23" i="7"/>
  <c r="AH25" i="7"/>
  <c r="M26" i="7"/>
  <c r="AD29" i="7"/>
  <c r="AB31" i="7"/>
  <c r="AJ31" i="7"/>
  <c r="M34" i="7"/>
  <c r="AD36" i="7"/>
  <c r="AD41" i="7"/>
  <c r="AK42" i="7"/>
  <c r="AJ42" i="7"/>
  <c r="AB42" i="7"/>
  <c r="AD42" i="7"/>
  <c r="M43" i="7"/>
  <c r="M45" i="7"/>
  <c r="AA45" i="7"/>
  <c r="AI45" i="7"/>
  <c r="AH48" i="7"/>
  <c r="AC49" i="7"/>
  <c r="AK49" i="7"/>
  <c r="AG53" i="7"/>
  <c r="AH55" i="7"/>
  <c r="AA62" i="7"/>
  <c r="M62" i="7"/>
  <c r="AH70" i="7"/>
  <c r="M28" i="7"/>
  <c r="AF42" i="7"/>
  <c r="AK47" i="7"/>
  <c r="AC47" i="7"/>
  <c r="AJ47" i="7"/>
  <c r="AB47" i="7"/>
  <c r="AB48" i="7"/>
  <c r="AJ48" i="7"/>
  <c r="AE49" i="7"/>
  <c r="M51" i="7"/>
  <c r="M52" i="125" s="1"/>
  <c r="AA51" i="7"/>
  <c r="AI51" i="7"/>
  <c r="W51" i="7" s="1"/>
  <c r="M53" i="7"/>
  <c r="AA53" i="7"/>
  <c r="AI53" i="7"/>
  <c r="AH56" i="7"/>
  <c r="AC57" i="7"/>
  <c r="AK57" i="7"/>
  <c r="M58" i="7"/>
  <c r="AJ22" i="7"/>
  <c r="O23" i="7"/>
  <c r="AE23" i="7"/>
  <c r="AH24" i="7"/>
  <c r="M25" i="7"/>
  <c r="AC25" i="7"/>
  <c r="AK25" i="7"/>
  <c r="AF26" i="7"/>
  <c r="AA27" i="7"/>
  <c r="AI27" i="7"/>
  <c r="AD28" i="7"/>
  <c r="AG29" i="7"/>
  <c r="AB30" i="7"/>
  <c r="AJ30" i="7"/>
  <c r="AE31" i="7"/>
  <c r="R32" i="7"/>
  <c r="AH32" i="7"/>
  <c r="M33" i="7"/>
  <c r="AC33" i="7"/>
  <c r="AK33" i="7"/>
  <c r="AF34" i="7"/>
  <c r="AG36" i="7"/>
  <c r="M38" i="7"/>
  <c r="AH42" i="7"/>
  <c r="AE47" i="7"/>
  <c r="AF49" i="7"/>
  <c r="M56" i="7"/>
  <c r="AI57" i="7"/>
  <c r="AA57" i="7"/>
  <c r="AH57" i="7"/>
  <c r="AG57" i="7"/>
  <c r="AH64" i="7"/>
  <c r="AH36" i="7"/>
  <c r="AI38" i="7"/>
  <c r="AH40" i="7"/>
  <c r="AG49" i="7"/>
  <c r="AC51" i="7"/>
  <c r="Q51" i="7" s="1"/>
  <c r="AK51" i="7"/>
  <c r="Y51" i="7" s="1"/>
  <c r="AD52" i="7"/>
  <c r="M52" i="7"/>
  <c r="AK55" i="7"/>
  <c r="AC55" i="7"/>
  <c r="AJ55" i="7"/>
  <c r="AB55" i="7"/>
  <c r="AB56" i="7"/>
  <c r="AJ56" i="7"/>
  <c r="AE57" i="7"/>
  <c r="M59" i="7"/>
  <c r="AA59" i="7"/>
  <c r="AB24" i="7"/>
  <c r="M27" i="7"/>
  <c r="AA29" i="7"/>
  <c r="AB32" i="7"/>
  <c r="AA36" i="7"/>
  <c r="AK38" i="7"/>
  <c r="M40" i="7"/>
  <c r="M41" i="7"/>
  <c r="M42" i="7"/>
  <c r="AA42" i="7"/>
  <c r="AI42" i="7"/>
  <c r="AA43" i="7"/>
  <c r="AI43" i="7"/>
  <c r="AB46" i="7"/>
  <c r="AJ46" i="7"/>
  <c r="AG47" i="7"/>
  <c r="AF50" i="7"/>
  <c r="AE55" i="7"/>
  <c r="AF57" i="7"/>
  <c r="AA38" i="7"/>
  <c r="AA41" i="7"/>
  <c r="AG45" i="7"/>
  <c r="AH47" i="7"/>
  <c r="AD47" i="7"/>
  <c r="M49" i="7"/>
  <c r="AF52" i="7"/>
  <c r="AC59" i="7"/>
  <c r="AJ61" i="7"/>
  <c r="AH61" i="7"/>
  <c r="AF61" i="7"/>
  <c r="AD61" i="7"/>
  <c r="AB61" i="7"/>
  <c r="AC36" i="7"/>
  <c r="AD39" i="7"/>
  <c r="AC41" i="7"/>
  <c r="AK41" i="7"/>
  <c r="AB41" i="7"/>
  <c r="AC42" i="7"/>
  <c r="Y43" i="7"/>
  <c r="AC43" i="7"/>
  <c r="AD46" i="7"/>
  <c r="M46" i="7"/>
  <c r="AA47" i="7"/>
  <c r="AI47" i="7"/>
  <c r="AF47" i="7"/>
  <c r="AH50" i="7"/>
  <c r="AB54" i="7"/>
  <c r="AJ54" i="7"/>
  <c r="AG55" i="7"/>
  <c r="AD57" i="7"/>
  <c r="AF58" i="7"/>
  <c r="AC58" i="7"/>
  <c r="AJ59" i="7"/>
  <c r="AC61" i="7"/>
  <c r="AK61" i="7"/>
  <c r="AH62" i="7"/>
  <c r="AG63" i="7"/>
  <c r="AJ63" i="7"/>
  <c r="AD66" i="7"/>
  <c r="M66" i="7"/>
  <c r="AF69" i="7"/>
  <c r="M73" i="7"/>
  <c r="AA73" i="7"/>
  <c r="AI73" i="7"/>
  <c r="AG75" i="7"/>
  <c r="AE77" i="7"/>
  <c r="AE79" i="7"/>
  <c r="S79" i="7" s="1"/>
  <c r="M103" i="7"/>
  <c r="AA103" i="7"/>
  <c r="AB62" i="7"/>
  <c r="AJ62" i="7"/>
  <c r="AA63" i="7"/>
  <c r="M63" i="7"/>
  <c r="AI63" i="7"/>
  <c r="AF72" i="7"/>
  <c r="AD74" i="7"/>
  <c r="M74" i="7"/>
  <c r="AH78" i="7"/>
  <c r="AA50" i="7"/>
  <c r="AB58" i="7"/>
  <c r="AJ58" i="7"/>
  <c r="AE59" i="7"/>
  <c r="AB59" i="7"/>
  <c r="AB64" i="7"/>
  <c r="AJ64" i="7"/>
  <c r="M65" i="7"/>
  <c r="AA65" i="7"/>
  <c r="AI65" i="7"/>
  <c r="AG67" i="7"/>
  <c r="M69" i="7"/>
  <c r="AI69" i="7"/>
  <c r="AK45" i="7"/>
  <c r="AF46" i="7"/>
  <c r="AJ50" i="7"/>
  <c r="AI58" i="7"/>
  <c r="AD59" i="7"/>
  <c r="AG61" i="7"/>
  <c r="AE61" i="7"/>
  <c r="AD62" i="7"/>
  <c r="AC63" i="7"/>
  <c r="AK63" i="7"/>
  <c r="AB63" i="7"/>
  <c r="AH66" i="7"/>
  <c r="M76" i="7"/>
  <c r="AB76" i="7"/>
  <c r="AJ76" i="7"/>
  <c r="M77" i="7"/>
  <c r="AI77" i="7"/>
  <c r="AH80" i="7"/>
  <c r="AG46" i="7"/>
  <c r="AC50" i="7"/>
  <c r="AK50" i="7"/>
  <c r="AG54" i="7"/>
  <c r="R58" i="7"/>
  <c r="AF59" i="7"/>
  <c r="AD60" i="7"/>
  <c r="M60" i="7"/>
  <c r="AD64" i="7"/>
  <c r="M64" i="7"/>
  <c r="AC69" i="7"/>
  <c r="AK69" i="7"/>
  <c r="M61" i="7"/>
  <c r="AA61" i="7"/>
  <c r="AI61" i="7"/>
  <c r="AF62" i="7"/>
  <c r="AE63" i="7"/>
  <c r="AF65" i="7"/>
  <c r="AJ65" i="7"/>
  <c r="AB65" i="7"/>
  <c r="AJ69" i="7"/>
  <c r="AB69" i="7"/>
  <c r="AH69" i="7"/>
  <c r="AC71" i="7"/>
  <c r="AK71" i="7"/>
  <c r="M72" i="7"/>
  <c r="AC77" i="7"/>
  <c r="AK77" i="7"/>
  <c r="AI59" i="7"/>
  <c r="AF64" i="7"/>
  <c r="AE65" i="7"/>
  <c r="M68" i="7"/>
  <c r="AB68" i="7"/>
  <c r="AJ68" i="7"/>
  <c r="AE69" i="7"/>
  <c r="AJ77" i="7"/>
  <c r="AB77" i="7"/>
  <c r="AH77" i="7"/>
  <c r="AF86" i="7"/>
  <c r="R70" i="7"/>
  <c r="M71" i="7"/>
  <c r="R78" i="7"/>
  <c r="AC81" i="7"/>
  <c r="AK81" i="7"/>
  <c r="AF82" i="7"/>
  <c r="AA83" i="7"/>
  <c r="AI83" i="7"/>
  <c r="P93" i="7"/>
  <c r="M95" i="7"/>
  <c r="AA95" i="7"/>
  <c r="AI95" i="7"/>
  <c r="AG97" i="7"/>
  <c r="AH99" i="7"/>
  <c r="AK99" i="7"/>
  <c r="AC99" i="7"/>
  <c r="AC101" i="7"/>
  <c r="AK101" i="7"/>
  <c r="M102" i="7"/>
  <c r="AH67" i="7"/>
  <c r="AA70" i="7"/>
  <c r="AD71" i="7"/>
  <c r="AG72" i="7"/>
  <c r="AB73" i="7"/>
  <c r="AE74" i="7"/>
  <c r="AH75" i="7"/>
  <c r="AC76" i="7"/>
  <c r="AF77" i="7"/>
  <c r="AA78" i="7"/>
  <c r="AF81" i="7"/>
  <c r="M87" i="7"/>
  <c r="AA87" i="7"/>
  <c r="AI87" i="7"/>
  <c r="AG89" i="7"/>
  <c r="R91" i="7"/>
  <c r="AH91" i="7"/>
  <c r="AK91" i="7"/>
  <c r="AC91" i="7"/>
  <c r="AC93" i="7"/>
  <c r="AK93" i="7"/>
  <c r="AE99" i="7"/>
  <c r="U65" i="7"/>
  <c r="AC65" i="7"/>
  <c r="AK65" i="7"/>
  <c r="AF66" i="7"/>
  <c r="AA67" i="7"/>
  <c r="AI67" i="7"/>
  <c r="AD68" i="7"/>
  <c r="AG69" i="7"/>
  <c r="AB70" i="7"/>
  <c r="AJ70" i="7"/>
  <c r="W71" i="7"/>
  <c r="AE71" i="7"/>
  <c r="AH72" i="7"/>
  <c r="AC73" i="7"/>
  <c r="AK73" i="7"/>
  <c r="AF74" i="7"/>
  <c r="AA75" i="7"/>
  <c r="AI75" i="7"/>
  <c r="AD76" i="7"/>
  <c r="AG77" i="7"/>
  <c r="AB78" i="7"/>
  <c r="AD83" i="7"/>
  <c r="AC85" i="7"/>
  <c r="AK85" i="7"/>
  <c r="M86" i="7"/>
  <c r="AE91" i="7"/>
  <c r="AD96" i="7"/>
  <c r="M96" i="7"/>
  <c r="M97" i="7"/>
  <c r="AF99" i="7"/>
  <c r="AD99" i="7"/>
  <c r="M70" i="7"/>
  <c r="AD73" i="7"/>
  <c r="M78" i="7"/>
  <c r="M79" i="7"/>
  <c r="M80" i="125" s="1"/>
  <c r="AA79" i="7"/>
  <c r="O79" i="7" s="1"/>
  <c r="AI79" i="7"/>
  <c r="W79" i="7" s="1"/>
  <c r="AD80" i="7"/>
  <c r="M80" i="7"/>
  <c r="AD88" i="7"/>
  <c r="M88" i="7"/>
  <c r="AH100" i="7"/>
  <c r="M67" i="7"/>
  <c r="AA69" i="7"/>
  <c r="AB72" i="7"/>
  <c r="M75" i="7"/>
  <c r="AA77" i="7"/>
  <c r="AG81" i="7"/>
  <c r="AB82" i="7"/>
  <c r="AJ82" i="7"/>
  <c r="AA82" i="7"/>
  <c r="AE83" i="7"/>
  <c r="AG91" i="7"/>
  <c r="AH92" i="7"/>
  <c r="O98" i="7"/>
  <c r="AH84" i="7"/>
  <c r="AB98" i="7"/>
  <c r="AJ98" i="7"/>
  <c r="AF102" i="7"/>
  <c r="M81" i="7"/>
  <c r="AB90" i="7"/>
  <c r="AJ90" i="7"/>
  <c r="AA91" i="7"/>
  <c r="AI91" i="7"/>
  <c r="AF94" i="7"/>
  <c r="AJ99" i="7"/>
  <c r="AF79" i="7"/>
  <c r="T79" i="7" s="1"/>
  <c r="AA80" i="7"/>
  <c r="AI80" i="7"/>
  <c r="AD81" i="7"/>
  <c r="AG82" i="7"/>
  <c r="AB83" i="7"/>
  <c r="AJ83" i="7"/>
  <c r="AE84" i="7"/>
  <c r="R85" i="7"/>
  <c r="AH85" i="7"/>
  <c r="AC86" i="7"/>
  <c r="AK86" i="7"/>
  <c r="AF87" i="7"/>
  <c r="AA88" i="7"/>
  <c r="AI88" i="7"/>
  <c r="AD89" i="7"/>
  <c r="AG90" i="7"/>
  <c r="AB91" i="7"/>
  <c r="AE92" i="7"/>
  <c r="R93" i="7"/>
  <c r="AH93" i="7"/>
  <c r="AC94" i="7"/>
  <c r="P95" i="7"/>
  <c r="AF95" i="7"/>
  <c r="AA96" i="7"/>
  <c r="AD97" i="7"/>
  <c r="AG98" i="7"/>
  <c r="AB99" i="7"/>
  <c r="AE100" i="7"/>
  <c r="R101" i="7"/>
  <c r="AH101" i="7"/>
  <c r="AC102" i="7"/>
  <c r="P103" i="7"/>
  <c r="AF103" i="7"/>
  <c r="T103" i="7" s="1"/>
  <c r="AD86" i="7"/>
  <c r="AG87" i="7"/>
  <c r="M91" i="7"/>
  <c r="AD94" i="7"/>
  <c r="AG95" i="7"/>
  <c r="M99" i="7"/>
  <c r="AD102" i="7"/>
  <c r="Q103" i="7"/>
  <c r="AG103" i="7"/>
  <c r="U103" i="7" s="1"/>
  <c r="R103" i="7"/>
  <c r="AH103" i="7"/>
  <c r="V103" i="7" s="1"/>
  <c r="R84" i="7"/>
  <c r="M85" i="7"/>
  <c r="R92" i="7"/>
  <c r="M93" i="7"/>
  <c r="U93" i="7"/>
  <c r="S95" i="7"/>
  <c r="Q97" i="7"/>
  <c r="O99" i="7"/>
  <c r="R100" i="7"/>
  <c r="M101" i="7"/>
  <c r="S103" i="7"/>
  <c r="AI103" i="7"/>
  <c r="W103" i="7" s="1"/>
  <c r="M90" i="7"/>
  <c r="M98" i="7"/>
  <c r="AA81" i="7"/>
  <c r="AA89" i="7"/>
  <c r="AA97" i="7"/>
  <c r="M84" i="7"/>
  <c r="AA86" i="7"/>
  <c r="M92" i="7"/>
  <c r="AA94" i="7"/>
  <c r="M100" i="7"/>
  <c r="AA102" i="7"/>
  <c r="G77" i="9" l="1"/>
  <c r="H77" i="9" s="1"/>
  <c r="M78" i="125"/>
  <c r="G97" i="9"/>
  <c r="H97" i="9" s="1"/>
  <c r="M98" i="125"/>
  <c r="G69" i="9"/>
  <c r="H69" i="9" s="1"/>
  <c r="M70" i="125"/>
  <c r="G46" i="9"/>
  <c r="H46" i="9" s="1"/>
  <c r="M47" i="125"/>
  <c r="G27" i="9"/>
  <c r="H27" i="9" s="1"/>
  <c r="M28" i="125"/>
  <c r="G56" i="9"/>
  <c r="H56" i="9" s="1"/>
  <c r="M57" i="125"/>
  <c r="G45" i="9"/>
  <c r="H45" i="9" s="1"/>
  <c r="M46" i="125"/>
  <c r="G34" i="9"/>
  <c r="H34" i="9" s="1"/>
  <c r="M35" i="125"/>
  <c r="G37" i="9"/>
  <c r="H37" i="9" s="1"/>
  <c r="M38" i="125"/>
  <c r="G9" i="9"/>
  <c r="H9" i="9" s="1"/>
  <c r="M10" i="125"/>
  <c r="G89" i="9"/>
  <c r="H89" i="9" s="1"/>
  <c r="M90" i="125"/>
  <c r="G48" i="9"/>
  <c r="H48" i="9" s="1"/>
  <c r="M49" i="125"/>
  <c r="G8" i="9"/>
  <c r="H8" i="9" s="1"/>
  <c r="M9" i="125"/>
  <c r="G32" i="9"/>
  <c r="H32" i="9" s="1"/>
  <c r="M33" i="125"/>
  <c r="G50" i="9"/>
  <c r="H50" i="9" s="1"/>
  <c r="M51" i="125"/>
  <c r="G98" i="9"/>
  <c r="H98" i="9" s="1"/>
  <c r="M99" i="125"/>
  <c r="G90" i="9"/>
  <c r="H90" i="9" s="1"/>
  <c r="M91" i="125"/>
  <c r="G81" i="9"/>
  <c r="H81" i="9" s="1"/>
  <c r="M82" i="125"/>
  <c r="G96" i="9"/>
  <c r="H96" i="9" s="1"/>
  <c r="M97" i="125"/>
  <c r="G63" i="9"/>
  <c r="H63" i="9" s="1"/>
  <c r="M64" i="125"/>
  <c r="G49" i="9"/>
  <c r="H49" i="9" s="1"/>
  <c r="M50" i="125"/>
  <c r="G42" i="9"/>
  <c r="H42" i="9" s="1"/>
  <c r="M43" i="125"/>
  <c r="G33" i="9"/>
  <c r="H33" i="9" s="1"/>
  <c r="M34" i="125"/>
  <c r="G53" i="9"/>
  <c r="H53" i="9" s="1"/>
  <c r="M54" i="125"/>
  <c r="G43" i="9"/>
  <c r="H43" i="9" s="1"/>
  <c r="M44" i="125"/>
  <c r="AL18" i="125"/>
  <c r="Z18" i="125" s="1"/>
  <c r="G21" i="9"/>
  <c r="H21" i="9" s="1"/>
  <c r="M22" i="125"/>
  <c r="G22" i="9"/>
  <c r="H22" i="9" s="1"/>
  <c r="M23" i="125"/>
  <c r="G87" i="9"/>
  <c r="H87" i="9" s="1"/>
  <c r="M88" i="125"/>
  <c r="G10" i="9"/>
  <c r="H10" i="9" s="1"/>
  <c r="M11" i="125"/>
  <c r="G61" i="9"/>
  <c r="H61" i="9" s="1"/>
  <c r="M62" i="125"/>
  <c r="G92" i="9"/>
  <c r="H92" i="9" s="1"/>
  <c r="M93" i="125"/>
  <c r="G93" i="9"/>
  <c r="H93" i="9" s="1"/>
  <c r="M94" i="125"/>
  <c r="G67" i="9"/>
  <c r="H67" i="9" s="1"/>
  <c r="M68" i="125"/>
  <c r="Z80" i="125"/>
  <c r="AL80" i="125"/>
  <c r="G76" i="9"/>
  <c r="H76" i="9" s="1"/>
  <c r="M77" i="125"/>
  <c r="G41" i="9"/>
  <c r="H41" i="9" s="1"/>
  <c r="M42" i="125"/>
  <c r="G30" i="9"/>
  <c r="H30" i="9" s="1"/>
  <c r="M31" i="125"/>
  <c r="G20" i="9"/>
  <c r="H20" i="9" s="1"/>
  <c r="M21" i="125"/>
  <c r="G11" i="9"/>
  <c r="H11" i="9" s="1"/>
  <c r="M12" i="125"/>
  <c r="G7" i="9"/>
  <c r="H7" i="9" s="1"/>
  <c r="M8" i="125"/>
  <c r="G94" i="9"/>
  <c r="H94" i="9" s="1"/>
  <c r="M95" i="125"/>
  <c r="G15" i="9"/>
  <c r="H15" i="9" s="1"/>
  <c r="M16" i="125"/>
  <c r="G24" i="9"/>
  <c r="H24" i="9" s="1"/>
  <c r="M25" i="125"/>
  <c r="G100" i="9"/>
  <c r="H100" i="9" s="1"/>
  <c r="M101" i="125"/>
  <c r="G99" i="9"/>
  <c r="H99" i="9" s="1"/>
  <c r="M100" i="125"/>
  <c r="G78" i="9"/>
  <c r="H78" i="9" s="1"/>
  <c r="M79" i="125"/>
  <c r="G102" i="9"/>
  <c r="H102" i="9" s="1"/>
  <c r="M103" i="125"/>
  <c r="G72" i="9"/>
  <c r="H72" i="9" s="1"/>
  <c r="M73" i="125"/>
  <c r="G64" i="9"/>
  <c r="H64" i="9" s="1"/>
  <c r="M65" i="125"/>
  <c r="G40" i="9"/>
  <c r="H40" i="9" s="1"/>
  <c r="M41" i="125"/>
  <c r="G59" i="9"/>
  <c r="H59" i="9" s="1"/>
  <c r="M60" i="125"/>
  <c r="G52" i="9"/>
  <c r="H52" i="9" s="1"/>
  <c r="M53" i="125"/>
  <c r="G58" i="9"/>
  <c r="H58" i="9" s="1"/>
  <c r="M59" i="125"/>
  <c r="G39" i="9"/>
  <c r="H39" i="9" s="1"/>
  <c r="M40" i="125"/>
  <c r="G36" i="9"/>
  <c r="H36" i="9" s="1"/>
  <c r="M37" i="125"/>
  <c r="G54" i="9"/>
  <c r="H54" i="9" s="1"/>
  <c r="M55" i="125"/>
  <c r="G14" i="9"/>
  <c r="H14" i="9" s="1"/>
  <c r="M15" i="125"/>
  <c r="G55" i="9"/>
  <c r="H55" i="9" s="1"/>
  <c r="M56" i="125"/>
  <c r="G47" i="9"/>
  <c r="H47" i="9" s="1"/>
  <c r="M48" i="125"/>
  <c r="G75" i="9"/>
  <c r="H75" i="9" s="1"/>
  <c r="M76" i="125"/>
  <c r="G88" i="9"/>
  <c r="H88" i="9" s="1"/>
  <c r="M89" i="125"/>
  <c r="G86" i="9"/>
  <c r="H86" i="9" s="1"/>
  <c r="M87" i="125"/>
  <c r="G95" i="9"/>
  <c r="H95" i="9" s="1"/>
  <c r="M96" i="125"/>
  <c r="G71" i="9"/>
  <c r="H71" i="9" s="1"/>
  <c r="M72" i="125"/>
  <c r="G65" i="9"/>
  <c r="H65" i="9" s="1"/>
  <c r="M66" i="125"/>
  <c r="G73" i="9"/>
  <c r="H73" i="9" s="1"/>
  <c r="M74" i="125"/>
  <c r="G38" i="9"/>
  <c r="H38" i="9" s="1"/>
  <c r="M39" i="125"/>
  <c r="AL52" i="125"/>
  <c r="G26" i="9"/>
  <c r="H26" i="9" s="1"/>
  <c r="M27" i="125"/>
  <c r="G31" i="9"/>
  <c r="H31" i="9" s="1"/>
  <c r="M32" i="125"/>
  <c r="G19" i="9"/>
  <c r="H19" i="9" s="1"/>
  <c r="M20" i="125"/>
  <c r="G5" i="9"/>
  <c r="M6" i="125"/>
  <c r="G6" i="9"/>
  <c r="H6" i="9" s="1"/>
  <c r="M7" i="125"/>
  <c r="G62" i="9"/>
  <c r="H62" i="9" s="1"/>
  <c r="M63" i="125"/>
  <c r="G23" i="9"/>
  <c r="H23" i="9" s="1"/>
  <c r="M24" i="125"/>
  <c r="G101" i="9"/>
  <c r="H101" i="9" s="1"/>
  <c r="M102" i="125"/>
  <c r="G70" i="9"/>
  <c r="H70" i="9" s="1"/>
  <c r="M71" i="125"/>
  <c r="G68" i="9"/>
  <c r="H68" i="9" s="1"/>
  <c r="M69" i="125"/>
  <c r="G60" i="9"/>
  <c r="H60" i="9" s="1"/>
  <c r="M61" i="125"/>
  <c r="G74" i="9"/>
  <c r="H74" i="9" s="1"/>
  <c r="M75" i="125"/>
  <c r="G28" i="9"/>
  <c r="H28" i="9" s="1"/>
  <c r="M29" i="125"/>
  <c r="G18" i="9"/>
  <c r="H18" i="9" s="1"/>
  <c r="M19" i="125"/>
  <c r="G16" i="9"/>
  <c r="H16" i="9" s="1"/>
  <c r="M17" i="125"/>
  <c r="G44" i="9"/>
  <c r="H44" i="9" s="1"/>
  <c r="M45" i="125"/>
  <c r="G57" i="9"/>
  <c r="H57" i="9" s="1"/>
  <c r="M58" i="125"/>
  <c r="G12" i="9"/>
  <c r="H12" i="9" s="1"/>
  <c r="M13" i="125"/>
  <c r="G83" i="9"/>
  <c r="H83" i="9" s="1"/>
  <c r="M84" i="125"/>
  <c r="G84" i="9"/>
  <c r="H84" i="9" s="1"/>
  <c r="M85" i="125"/>
  <c r="G85" i="9"/>
  <c r="H85" i="9" s="1"/>
  <c r="M86" i="125"/>
  <c r="G91" i="9"/>
  <c r="H91" i="9" s="1"/>
  <c r="M92" i="125"/>
  <c r="G80" i="9"/>
  <c r="H80" i="9" s="1"/>
  <c r="M81" i="125"/>
  <c r="G103" i="9"/>
  <c r="H103" i="9" s="1"/>
  <c r="M104" i="125"/>
  <c r="G66" i="9"/>
  <c r="H66" i="9" s="1"/>
  <c r="M67" i="125"/>
  <c r="G25" i="9"/>
  <c r="H25" i="9" s="1"/>
  <c r="M26" i="125"/>
  <c r="G13" i="9"/>
  <c r="H13" i="9" s="1"/>
  <c r="M14" i="125"/>
  <c r="G82" i="9"/>
  <c r="H82" i="9" s="1"/>
  <c r="M83" i="125"/>
  <c r="G29" i="9"/>
  <c r="H29" i="9" s="1"/>
  <c r="M30" i="125"/>
  <c r="L31" i="17"/>
  <c r="L83" i="17" s="1"/>
  <c r="L37" i="118"/>
  <c r="L38" i="118" s="1"/>
  <c r="L39" i="118" s="1"/>
  <c r="L51" i="118" s="1"/>
  <c r="L133" i="118" s="1"/>
  <c r="J37" i="118"/>
  <c r="N48" i="118"/>
  <c r="J49" i="118"/>
  <c r="J50" i="118" s="1"/>
  <c r="M37" i="118"/>
  <c r="M38" i="118" s="1"/>
  <c r="M39" i="118" s="1"/>
  <c r="M51" i="118" s="1"/>
  <c r="M133" i="118" s="1"/>
  <c r="O72" i="7"/>
  <c r="R19" i="7"/>
  <c r="V5" i="7"/>
  <c r="U11" i="7"/>
  <c r="P29" i="7"/>
  <c r="Y15" i="7"/>
  <c r="S102" i="7"/>
  <c r="Y102" i="7"/>
  <c r="Q102" i="7"/>
  <c r="T102" i="7"/>
  <c r="X102" i="7"/>
  <c r="V102" i="7"/>
  <c r="P102" i="7"/>
  <c r="R102" i="7"/>
  <c r="W102" i="7"/>
  <c r="U102" i="7"/>
  <c r="U101" i="7"/>
  <c r="P101" i="7"/>
  <c r="F3" i="101"/>
  <c r="N65" i="101" s="1"/>
  <c r="K65" i="101" s="1"/>
  <c r="Y101" i="7"/>
  <c r="T101" i="7"/>
  <c r="Q101" i="7"/>
  <c r="O101" i="7"/>
  <c r="T100" i="7"/>
  <c r="X100" i="7"/>
  <c r="Y100" i="7"/>
  <c r="U100" i="7"/>
  <c r="V100" i="7"/>
  <c r="W100" i="7"/>
  <c r="P100" i="7"/>
  <c r="Q100" i="7"/>
  <c r="O100" i="7"/>
  <c r="Y99" i="7"/>
  <c r="X99" i="7"/>
  <c r="V99" i="7"/>
  <c r="T99" i="7"/>
  <c r="R99" i="7"/>
  <c r="S99" i="7"/>
  <c r="Q99" i="7"/>
  <c r="Q98" i="7"/>
  <c r="Y98" i="7"/>
  <c r="W98" i="7"/>
  <c r="X98" i="7"/>
  <c r="S98" i="7"/>
  <c r="V98" i="7"/>
  <c r="U98" i="7"/>
  <c r="T98" i="7"/>
  <c r="U97" i="7"/>
  <c r="R97" i="7"/>
  <c r="S97" i="7"/>
  <c r="V97" i="7"/>
  <c r="X97" i="7"/>
  <c r="W97" i="7"/>
  <c r="P97" i="7"/>
  <c r="X96" i="7"/>
  <c r="Q96" i="7"/>
  <c r="T96" i="7"/>
  <c r="W96" i="7"/>
  <c r="V96" i="7"/>
  <c r="R96" i="7"/>
  <c r="S96" i="7"/>
  <c r="P96" i="7"/>
  <c r="Y96" i="7"/>
  <c r="U96" i="7"/>
  <c r="R95" i="7"/>
  <c r="U95" i="7"/>
  <c r="W95" i="7"/>
  <c r="T95" i="7"/>
  <c r="V95" i="7"/>
  <c r="O95" i="7"/>
  <c r="R94" i="7"/>
  <c r="W94" i="7"/>
  <c r="Y94" i="7"/>
  <c r="X94" i="7"/>
  <c r="Q94" i="7"/>
  <c r="T94" i="7"/>
  <c r="P94" i="7"/>
  <c r="S94" i="7"/>
  <c r="U94" i="7"/>
  <c r="V94" i="7"/>
  <c r="Y93" i="7"/>
  <c r="X93" i="7"/>
  <c r="O93" i="7"/>
  <c r="V93" i="7"/>
  <c r="W92" i="7"/>
  <c r="U92" i="7"/>
  <c r="P92" i="7"/>
  <c r="O92" i="7"/>
  <c r="S92" i="7"/>
  <c r="T92" i="7"/>
  <c r="X92" i="7"/>
  <c r="V92" i="7"/>
  <c r="Y92" i="7"/>
  <c r="Q92" i="7"/>
  <c r="S91" i="7"/>
  <c r="Q91" i="7"/>
  <c r="X91" i="7"/>
  <c r="W91" i="7"/>
  <c r="Y91" i="7"/>
  <c r="O91" i="7"/>
  <c r="V91" i="7"/>
  <c r="P91" i="7"/>
  <c r="U91" i="7"/>
  <c r="U90" i="7"/>
  <c r="T90" i="7"/>
  <c r="S90" i="7"/>
  <c r="W90" i="7"/>
  <c r="V90" i="7"/>
  <c r="Y90" i="7"/>
  <c r="O90" i="7"/>
  <c r="Q90" i="7"/>
  <c r="X90" i="7"/>
  <c r="S89" i="7"/>
  <c r="T89" i="7"/>
  <c r="V89" i="7"/>
  <c r="W89" i="7"/>
  <c r="P89" i="7"/>
  <c r="U89" i="7"/>
  <c r="R89" i="7"/>
  <c r="U88" i="7"/>
  <c r="R88" i="7"/>
  <c r="Q88" i="7"/>
  <c r="W88" i="7"/>
  <c r="T88" i="7"/>
  <c r="S88" i="7"/>
  <c r="Y88" i="7"/>
  <c r="V88" i="7"/>
  <c r="P88" i="7"/>
  <c r="X88" i="7"/>
  <c r="U87" i="7"/>
  <c r="S87" i="7"/>
  <c r="T87" i="7"/>
  <c r="R87" i="7"/>
  <c r="W87" i="7"/>
  <c r="Q86" i="7"/>
  <c r="T86" i="7"/>
  <c r="W86" i="7"/>
  <c r="Y86" i="7"/>
  <c r="S86" i="7"/>
  <c r="X86" i="7"/>
  <c r="U86" i="7"/>
  <c r="P86" i="7"/>
  <c r="R86" i="7"/>
  <c r="V86" i="7"/>
  <c r="V85" i="7"/>
  <c r="P85" i="7"/>
  <c r="Y85" i="7"/>
  <c r="U85" i="7"/>
  <c r="S85" i="7"/>
  <c r="O85" i="7"/>
  <c r="X85" i="7"/>
  <c r="S84" i="7"/>
  <c r="U84" i="7"/>
  <c r="W84" i="7"/>
  <c r="V84" i="7"/>
  <c r="X84" i="7"/>
  <c r="O84" i="7"/>
  <c r="P84" i="7"/>
  <c r="Y84" i="7"/>
  <c r="T84" i="7"/>
  <c r="Q84" i="7"/>
  <c r="W83" i="7"/>
  <c r="X83" i="7"/>
  <c r="O83" i="7"/>
  <c r="T83" i="7"/>
  <c r="Q83" i="7"/>
  <c r="Y83" i="7"/>
  <c r="S83" i="7"/>
  <c r="P83" i="7"/>
  <c r="R83" i="7"/>
  <c r="U83" i="7"/>
  <c r="R82" i="7"/>
  <c r="X82" i="7"/>
  <c r="P82" i="7"/>
  <c r="S82" i="7"/>
  <c r="U82" i="7"/>
  <c r="W82" i="7"/>
  <c r="Y82" i="7"/>
  <c r="T82" i="7"/>
  <c r="Q82" i="7"/>
  <c r="V82" i="7"/>
  <c r="T81" i="7"/>
  <c r="U81" i="7"/>
  <c r="R81" i="7"/>
  <c r="Q81" i="7"/>
  <c r="Y81" i="7"/>
  <c r="V81" i="7"/>
  <c r="W81" i="7"/>
  <c r="S81" i="7"/>
  <c r="S80" i="7"/>
  <c r="W80" i="7"/>
  <c r="U80" i="7"/>
  <c r="X80" i="7"/>
  <c r="R80" i="7"/>
  <c r="Y80" i="7"/>
  <c r="P80" i="7"/>
  <c r="T80" i="7"/>
  <c r="V80" i="7"/>
  <c r="Q80" i="7"/>
  <c r="X78" i="7"/>
  <c r="W78" i="7"/>
  <c r="S78" i="7"/>
  <c r="Y78" i="7"/>
  <c r="V78" i="7"/>
  <c r="U78" i="7"/>
  <c r="T78" i="7"/>
  <c r="Q78" i="7"/>
  <c r="P78" i="7"/>
  <c r="T77" i="7"/>
  <c r="P77" i="7"/>
  <c r="W77" i="7"/>
  <c r="X77" i="7"/>
  <c r="Y77" i="7"/>
  <c r="S77" i="7"/>
  <c r="U77" i="7"/>
  <c r="Q77" i="7"/>
  <c r="V77" i="7"/>
  <c r="R76" i="7"/>
  <c r="S76" i="7"/>
  <c r="T76" i="7"/>
  <c r="Y76" i="7"/>
  <c r="V76" i="7"/>
  <c r="U76" i="7"/>
  <c r="X76" i="7"/>
  <c r="Q76" i="7"/>
  <c r="Y75" i="7"/>
  <c r="U75" i="7"/>
  <c r="Q75" i="7"/>
  <c r="R75" i="7"/>
  <c r="W75" i="7"/>
  <c r="V75" i="7"/>
  <c r="O75" i="7"/>
  <c r="R74" i="7"/>
  <c r="T74" i="7"/>
  <c r="S74" i="7"/>
  <c r="Y74" i="7"/>
  <c r="Q74" i="7"/>
  <c r="X74" i="7"/>
  <c r="U74" i="7"/>
  <c r="P74" i="7"/>
  <c r="V74" i="7"/>
  <c r="P73" i="7"/>
  <c r="W73" i="7"/>
  <c r="X73" i="7"/>
  <c r="R73" i="7"/>
  <c r="U73" i="7"/>
  <c r="V73" i="7"/>
  <c r="S73" i="7"/>
  <c r="T73" i="7"/>
  <c r="Y73" i="7"/>
  <c r="Q73" i="7"/>
  <c r="W72" i="7"/>
  <c r="Q72" i="7"/>
  <c r="X72" i="7"/>
  <c r="T72" i="7"/>
  <c r="Y72" i="7"/>
  <c r="V72" i="7"/>
  <c r="U72" i="7"/>
  <c r="T71" i="7"/>
  <c r="S71" i="7"/>
  <c r="Y71" i="7"/>
  <c r="Q71" i="7"/>
  <c r="X70" i="7"/>
  <c r="V70" i="7"/>
  <c r="P70" i="7"/>
  <c r="U70" i="7"/>
  <c r="X69" i="7"/>
  <c r="W69" i="7"/>
  <c r="O69" i="7"/>
  <c r="U69" i="7"/>
  <c r="Q69" i="7"/>
  <c r="R69" i="7"/>
  <c r="F3" i="79" s="1"/>
  <c r="F4" i="79"/>
  <c r="N77" i="79" s="1"/>
  <c r="K77" i="79" s="1"/>
  <c r="V69" i="7"/>
  <c r="P69" i="7"/>
  <c r="T69" i="7"/>
  <c r="S69" i="7"/>
  <c r="Y69" i="7"/>
  <c r="Q68" i="7"/>
  <c r="T68" i="7"/>
  <c r="X68" i="7"/>
  <c r="S68" i="7"/>
  <c r="Y68" i="7"/>
  <c r="R68" i="7"/>
  <c r="V68" i="7"/>
  <c r="U68" i="7"/>
  <c r="Y67" i="7"/>
  <c r="R67" i="7"/>
  <c r="V67" i="7"/>
  <c r="Q67" i="7"/>
  <c r="S67" i="7"/>
  <c r="W67" i="7"/>
  <c r="U67" i="7"/>
  <c r="T67" i="7"/>
  <c r="X66" i="7"/>
  <c r="U66" i="7"/>
  <c r="R66" i="7"/>
  <c r="P66" i="7"/>
  <c r="W66" i="7"/>
  <c r="T66" i="7"/>
  <c r="V66" i="7"/>
  <c r="Y65" i="7"/>
  <c r="Q65" i="7"/>
  <c r="S65" i="7"/>
  <c r="P65" i="7"/>
  <c r="X65" i="7"/>
  <c r="V65" i="7"/>
  <c r="T65" i="7"/>
  <c r="W65" i="7"/>
  <c r="V64" i="7"/>
  <c r="U64" i="7"/>
  <c r="R64" i="7"/>
  <c r="Y64" i="7"/>
  <c r="X64" i="7"/>
  <c r="W64" i="7"/>
  <c r="T64" i="7"/>
  <c r="P64" i="7"/>
  <c r="O64" i="7"/>
  <c r="Q64" i="7"/>
  <c r="S64" i="7"/>
  <c r="Q63" i="7"/>
  <c r="R63" i="7"/>
  <c r="W63" i="7"/>
  <c r="Y63" i="7"/>
  <c r="X63" i="7"/>
  <c r="O63" i="7"/>
  <c r="U63" i="7"/>
  <c r="S63" i="7"/>
  <c r="P63" i="7"/>
  <c r="V63" i="7"/>
  <c r="Y62" i="7"/>
  <c r="X62" i="7"/>
  <c r="T62" i="7"/>
  <c r="P62" i="7"/>
  <c r="U62" i="7"/>
  <c r="S62" i="7"/>
  <c r="R62" i="7"/>
  <c r="W62" i="7"/>
  <c r="O62" i="7"/>
  <c r="V62" i="7"/>
  <c r="Q62" i="7"/>
  <c r="Y61" i="7"/>
  <c r="W61" i="7"/>
  <c r="Q61" i="7"/>
  <c r="P61" i="7"/>
  <c r="R61" i="7"/>
  <c r="X61" i="7"/>
  <c r="S61" i="7"/>
  <c r="T61" i="7"/>
  <c r="U61" i="7"/>
  <c r="V61" i="7"/>
  <c r="O60" i="7"/>
  <c r="U60" i="7"/>
  <c r="Q60" i="7"/>
  <c r="V60" i="7"/>
  <c r="R60" i="7"/>
  <c r="X60" i="7"/>
  <c r="W60" i="7"/>
  <c r="S60" i="7"/>
  <c r="P60" i="7"/>
  <c r="Y60" i="7"/>
  <c r="Q59" i="7"/>
  <c r="U59" i="7"/>
  <c r="S59" i="7"/>
  <c r="R59" i="7"/>
  <c r="O59" i="7"/>
  <c r="X59" i="7"/>
  <c r="W59" i="7"/>
  <c r="T59" i="7"/>
  <c r="P59" i="7"/>
  <c r="Q58" i="7"/>
  <c r="O58" i="7"/>
  <c r="X58" i="7"/>
  <c r="T58" i="7"/>
  <c r="V58" i="7"/>
  <c r="Y58" i="7"/>
  <c r="P58" i="7"/>
  <c r="W58" i="7"/>
  <c r="S58" i="7"/>
  <c r="U58" i="7"/>
  <c r="R57" i="7"/>
  <c r="S57" i="7"/>
  <c r="U57" i="7"/>
  <c r="P57" i="7"/>
  <c r="T57" i="7"/>
  <c r="V57" i="7"/>
  <c r="Y57" i="7"/>
  <c r="Q57" i="7"/>
  <c r="W57" i="7"/>
  <c r="O56" i="7"/>
  <c r="W56" i="7"/>
  <c r="X56" i="7"/>
  <c r="S56" i="7"/>
  <c r="Y56" i="7"/>
  <c r="U56" i="7"/>
  <c r="V56" i="7"/>
  <c r="Q56" i="7"/>
  <c r="T56" i="7"/>
  <c r="R56" i="7"/>
  <c r="Y55" i="7"/>
  <c r="V55" i="7"/>
  <c r="R55" i="7"/>
  <c r="U55" i="7"/>
  <c r="S55" i="7"/>
  <c r="P55" i="7"/>
  <c r="X55" i="7"/>
  <c r="Q55" i="7"/>
  <c r="S54" i="7"/>
  <c r="W54" i="7"/>
  <c r="X54" i="7"/>
  <c r="P54" i="7"/>
  <c r="V54" i="7"/>
  <c r="Q54" i="7"/>
  <c r="R54" i="7"/>
  <c r="O54" i="7"/>
  <c r="Y54" i="7"/>
  <c r="U54" i="7"/>
  <c r="T54" i="7"/>
  <c r="U53" i="7"/>
  <c r="W53" i="7"/>
  <c r="Y53" i="7"/>
  <c r="P53" i="7"/>
  <c r="O53" i="7"/>
  <c r="Q53" i="7"/>
  <c r="T53" i="7"/>
  <c r="V53" i="7"/>
  <c r="R53" i="7"/>
  <c r="S53" i="7"/>
  <c r="X53" i="7"/>
  <c r="U52" i="7"/>
  <c r="Q52" i="7"/>
  <c r="S52" i="7"/>
  <c r="R52" i="7"/>
  <c r="V52" i="7"/>
  <c r="O52" i="7"/>
  <c r="T52" i="7"/>
  <c r="P52" i="7"/>
  <c r="W52" i="7"/>
  <c r="Y52" i="7"/>
  <c r="X52" i="7"/>
  <c r="V50" i="7"/>
  <c r="T50" i="7"/>
  <c r="U50" i="7"/>
  <c r="Y50" i="7"/>
  <c r="S50" i="7"/>
  <c r="P50" i="7"/>
  <c r="Q50" i="7"/>
  <c r="R50" i="7"/>
  <c r="W50" i="7"/>
  <c r="X50" i="7"/>
  <c r="S49" i="7"/>
  <c r="U49" i="7"/>
  <c r="V49" i="7"/>
  <c r="P49" i="7"/>
  <c r="T49" i="7"/>
  <c r="X49" i="7"/>
  <c r="Y49" i="7"/>
  <c r="W49" i="7"/>
  <c r="R49" i="7"/>
  <c r="Q49" i="7"/>
  <c r="V48" i="7"/>
  <c r="X48" i="7"/>
  <c r="T48" i="7"/>
  <c r="R47" i="7"/>
  <c r="V47" i="7"/>
  <c r="U47" i="7"/>
  <c r="T47" i="7"/>
  <c r="P47" i="7"/>
  <c r="W47" i="7"/>
  <c r="S47" i="7"/>
  <c r="X47" i="7"/>
  <c r="Q47" i="7"/>
  <c r="Y47" i="7"/>
  <c r="U46" i="7"/>
  <c r="R46" i="7"/>
  <c r="T46" i="7"/>
  <c r="X46" i="7"/>
  <c r="V46" i="7"/>
  <c r="P45" i="7"/>
  <c r="T45" i="7"/>
  <c r="Y45" i="7"/>
  <c r="W45" i="7"/>
  <c r="Q45" i="7"/>
  <c r="O45" i="7"/>
  <c r="V45" i="7"/>
  <c r="R45" i="7"/>
  <c r="U45" i="7"/>
  <c r="S45" i="7"/>
  <c r="X45" i="7"/>
  <c r="R44" i="7"/>
  <c r="O44" i="7"/>
  <c r="S44" i="7"/>
  <c r="X44" i="7"/>
  <c r="P43" i="7"/>
  <c r="X43" i="7"/>
  <c r="Q43" i="7"/>
  <c r="W43" i="7"/>
  <c r="V43" i="7"/>
  <c r="S43" i="7"/>
  <c r="U43" i="7"/>
  <c r="T43" i="7"/>
  <c r="T42" i="7"/>
  <c r="W42" i="7"/>
  <c r="X42" i="7"/>
  <c r="P42" i="7"/>
  <c r="Y42" i="7"/>
  <c r="Q42" i="7"/>
  <c r="V42" i="7"/>
  <c r="R42" i="7"/>
  <c r="U41" i="7"/>
  <c r="X41" i="7"/>
  <c r="Q41" i="7"/>
  <c r="R41" i="7"/>
  <c r="T41" i="7"/>
  <c r="Y41" i="7"/>
  <c r="P41" i="7"/>
  <c r="V41" i="7"/>
  <c r="S41" i="7"/>
  <c r="O40" i="7"/>
  <c r="W40" i="7"/>
  <c r="T40" i="7"/>
  <c r="R40" i="7"/>
  <c r="P40" i="7"/>
  <c r="S40" i="7"/>
  <c r="U40" i="7"/>
  <c r="Q40" i="7"/>
  <c r="V40" i="7"/>
  <c r="R39" i="7"/>
  <c r="U39" i="7"/>
  <c r="Y39" i="7"/>
  <c r="X39" i="7"/>
  <c r="P39" i="7"/>
  <c r="W39" i="7"/>
  <c r="T39" i="7"/>
  <c r="S39" i="7"/>
  <c r="V39" i="7"/>
  <c r="X38" i="7"/>
  <c r="P38" i="7"/>
  <c r="W38" i="7"/>
  <c r="Q38" i="7"/>
  <c r="Y38" i="7"/>
  <c r="S38" i="7"/>
  <c r="U38" i="7"/>
  <c r="P37" i="7"/>
  <c r="W37" i="7"/>
  <c r="U37" i="7"/>
  <c r="Y37" i="7"/>
  <c r="T37" i="7"/>
  <c r="S37" i="7"/>
  <c r="V37" i="7"/>
  <c r="X37" i="7"/>
  <c r="R36" i="7"/>
  <c r="V36" i="7"/>
  <c r="X36" i="7"/>
  <c r="P36" i="7"/>
  <c r="Y36" i="7"/>
  <c r="Q36" i="7"/>
  <c r="T36" i="7"/>
  <c r="U36" i="7"/>
  <c r="T34" i="7"/>
  <c r="V34" i="7"/>
  <c r="R34" i="7"/>
  <c r="Q34" i="7"/>
  <c r="W34" i="7"/>
  <c r="P34" i="7"/>
  <c r="Y34" i="7"/>
  <c r="S34" i="7"/>
  <c r="U34" i="7"/>
  <c r="X34" i="7"/>
  <c r="X33" i="7"/>
  <c r="Y33" i="7"/>
  <c r="V33" i="7"/>
  <c r="Q33" i="7"/>
  <c r="R33" i="7"/>
  <c r="O32" i="7"/>
  <c r="U32" i="7"/>
  <c r="Y32" i="7"/>
  <c r="T32" i="7"/>
  <c r="Q32" i="7"/>
  <c r="P32" i="7"/>
  <c r="X32" i="7"/>
  <c r="V32" i="7"/>
  <c r="S32" i="7"/>
  <c r="W32" i="7"/>
  <c r="P31" i="7"/>
  <c r="V31" i="7"/>
  <c r="S31" i="7"/>
  <c r="W31" i="7"/>
  <c r="X31" i="7"/>
  <c r="U31" i="7"/>
  <c r="O31" i="7"/>
  <c r="T31" i="7"/>
  <c r="R31" i="7"/>
  <c r="W30" i="7"/>
  <c r="Y30" i="7"/>
  <c r="S30" i="7"/>
  <c r="X30" i="7"/>
  <c r="P30" i="7"/>
  <c r="U30" i="7"/>
  <c r="Q30" i="7"/>
  <c r="T30" i="7"/>
  <c r="V30" i="7"/>
  <c r="T29" i="7"/>
  <c r="U29" i="7"/>
  <c r="R29" i="7"/>
  <c r="S29" i="7"/>
  <c r="V29" i="7"/>
  <c r="O28" i="7"/>
  <c r="U28" i="7"/>
  <c r="Y28" i="7"/>
  <c r="S28" i="7"/>
  <c r="T28" i="7"/>
  <c r="R28" i="7"/>
  <c r="Q28" i="7"/>
  <c r="V28" i="7"/>
  <c r="W28" i="7"/>
  <c r="V27" i="7"/>
  <c r="S27" i="7"/>
  <c r="W27" i="7"/>
  <c r="Q26" i="7"/>
  <c r="V26" i="7"/>
  <c r="U26" i="7"/>
  <c r="S26" i="7"/>
  <c r="W26" i="7"/>
  <c r="Y26" i="7"/>
  <c r="T26" i="7"/>
  <c r="U25" i="7"/>
  <c r="Y25" i="7"/>
  <c r="Q25" i="7"/>
  <c r="X25" i="7"/>
  <c r="T25" i="7"/>
  <c r="R25" i="7"/>
  <c r="O25" i="7"/>
  <c r="P25" i="7"/>
  <c r="V25" i="7"/>
  <c r="S25" i="7"/>
  <c r="S24" i="7"/>
  <c r="U24" i="7"/>
  <c r="Y24" i="7"/>
  <c r="T24" i="7"/>
  <c r="Q24" i="7"/>
  <c r="P24" i="7"/>
  <c r="X24" i="7"/>
  <c r="V24" i="7"/>
  <c r="W24" i="7"/>
  <c r="O24" i="7"/>
  <c r="Q23" i="7"/>
  <c r="S23" i="7"/>
  <c r="X23" i="7"/>
  <c r="T23" i="7"/>
  <c r="P23" i="7"/>
  <c r="R23" i="7"/>
  <c r="O22" i="7"/>
  <c r="Q22" i="7"/>
  <c r="X22" i="7"/>
  <c r="U22" i="7"/>
  <c r="P22" i="7"/>
  <c r="S22" i="7"/>
  <c r="V22" i="7"/>
  <c r="W22" i="7"/>
  <c r="T22" i="7"/>
  <c r="Y22" i="7"/>
  <c r="U21" i="7"/>
  <c r="Y21" i="7"/>
  <c r="O21" i="7"/>
  <c r="P21" i="7"/>
  <c r="X21" i="7"/>
  <c r="T21" i="7"/>
  <c r="Q21" i="7"/>
  <c r="V21" i="7"/>
  <c r="S21" i="7"/>
  <c r="R21" i="7"/>
  <c r="W21" i="7"/>
  <c r="T20" i="7"/>
  <c r="O20" i="7"/>
  <c r="S20" i="7"/>
  <c r="Q20" i="7"/>
  <c r="P20" i="7"/>
  <c r="X20" i="7"/>
  <c r="V20" i="7"/>
  <c r="U20" i="7"/>
  <c r="W20" i="7"/>
  <c r="Y20" i="7"/>
  <c r="S19" i="7"/>
  <c r="U19" i="7"/>
  <c r="X19" i="7"/>
  <c r="W19" i="7"/>
  <c r="T19" i="7"/>
  <c r="O19" i="7"/>
  <c r="S18" i="7"/>
  <c r="O18" i="7"/>
  <c r="W18" i="7"/>
  <c r="V18" i="7"/>
  <c r="T18" i="7"/>
  <c r="P18" i="7"/>
  <c r="X18" i="7"/>
  <c r="Y18" i="7"/>
  <c r="U18" i="7"/>
  <c r="Q18" i="7"/>
  <c r="Q16" i="7"/>
  <c r="Y16" i="7"/>
  <c r="V16" i="7"/>
  <c r="P16" i="7"/>
  <c r="U16" i="7"/>
  <c r="X16" i="7"/>
  <c r="W16" i="7"/>
  <c r="O16" i="7"/>
  <c r="T16" i="7"/>
  <c r="S16" i="7"/>
  <c r="V15" i="7"/>
  <c r="S15" i="7"/>
  <c r="W15" i="7"/>
  <c r="T15" i="7"/>
  <c r="O15" i="7"/>
  <c r="R15" i="7"/>
  <c r="S14" i="7"/>
  <c r="X14" i="7"/>
  <c r="P14" i="7"/>
  <c r="O14" i="7"/>
  <c r="T14" i="7"/>
  <c r="V14" i="7"/>
  <c r="U14" i="7"/>
  <c r="W14" i="7"/>
  <c r="W13" i="7"/>
  <c r="Q13" i="7"/>
  <c r="X13" i="7"/>
  <c r="S13" i="7"/>
  <c r="P13" i="7"/>
  <c r="U13" i="7"/>
  <c r="T13" i="7"/>
  <c r="R13" i="7"/>
  <c r="Y13" i="7"/>
  <c r="T12" i="7"/>
  <c r="Q12" i="7"/>
  <c r="P12" i="7"/>
  <c r="V12" i="7"/>
  <c r="X12" i="7"/>
  <c r="O12" i="7"/>
  <c r="U12" i="7"/>
  <c r="R12" i="7"/>
  <c r="Y12" i="7"/>
  <c r="W12" i="7"/>
  <c r="Q11" i="7"/>
  <c r="Y11" i="7"/>
  <c r="R11" i="7"/>
  <c r="W11" i="7"/>
  <c r="S11" i="7"/>
  <c r="T11" i="7"/>
  <c r="T10" i="7"/>
  <c r="W10" i="7"/>
  <c r="S10" i="7"/>
  <c r="X10" i="7"/>
  <c r="Y10" i="7"/>
  <c r="V10" i="7"/>
  <c r="Q10" i="7"/>
  <c r="P10" i="7"/>
  <c r="Q9" i="7"/>
  <c r="V9" i="7"/>
  <c r="W9" i="7"/>
  <c r="O9" i="7"/>
  <c r="S9" i="7"/>
  <c r="R9" i="7"/>
  <c r="T9" i="7"/>
  <c r="X9" i="7"/>
  <c r="U9" i="7"/>
  <c r="Y9" i="7"/>
  <c r="V8" i="7"/>
  <c r="R8" i="7"/>
  <c r="S8" i="7"/>
  <c r="U8" i="7"/>
  <c r="Y8" i="7"/>
  <c r="X8" i="7"/>
  <c r="Q8" i="7"/>
  <c r="P8" i="7"/>
  <c r="O8" i="7"/>
  <c r="T8" i="7"/>
  <c r="W8" i="7"/>
  <c r="W7" i="7"/>
  <c r="Y7" i="7"/>
  <c r="Q7" i="7"/>
  <c r="U7" i="7"/>
  <c r="T7" i="7"/>
  <c r="R7" i="7"/>
  <c r="S7" i="7"/>
  <c r="T6" i="7"/>
  <c r="R6" i="7"/>
  <c r="W6" i="7"/>
  <c r="O6" i="7"/>
  <c r="U6" i="7"/>
  <c r="Y6" i="7"/>
  <c r="S6" i="7"/>
  <c r="Q6" i="7"/>
  <c r="P6" i="7"/>
  <c r="V6" i="7"/>
  <c r="Q5" i="7"/>
  <c r="R5" i="7"/>
  <c r="O5" i="7"/>
  <c r="H5" i="9"/>
  <c r="W5" i="7"/>
  <c r="U5" i="7"/>
  <c r="Y5" i="7"/>
  <c r="P5" i="7"/>
  <c r="Z35" i="7"/>
  <c r="AL56" i="7"/>
  <c r="AL60" i="7"/>
  <c r="AL64" i="7"/>
  <c r="T60" i="7"/>
  <c r="AL93" i="7"/>
  <c r="AL40" i="7"/>
  <c r="AL9" i="7"/>
  <c r="AL48" i="7"/>
  <c r="AL80" i="7"/>
  <c r="AL33" i="7"/>
  <c r="AJ104" i="7"/>
  <c r="AJ106" i="7" s="1"/>
  <c r="AL87" i="7"/>
  <c r="AL46" i="7"/>
  <c r="AL10" i="7"/>
  <c r="AL84" i="7"/>
  <c r="AL38" i="7"/>
  <c r="X6" i="7"/>
  <c r="AL101" i="7"/>
  <c r="AL88" i="7"/>
  <c r="AL85" i="7"/>
  <c r="AL27" i="7"/>
  <c r="AL53" i="7"/>
  <c r="AL44" i="7"/>
  <c r="AL12" i="7"/>
  <c r="AL100" i="7"/>
  <c r="AL35" i="7"/>
  <c r="P48" i="7"/>
  <c r="P33" i="7"/>
  <c r="AL39" i="7"/>
  <c r="AL20" i="7"/>
  <c r="AL76" i="7"/>
  <c r="AL72" i="7"/>
  <c r="AL67" i="7"/>
  <c r="S100" i="7"/>
  <c r="AL52" i="7"/>
  <c r="AH104" i="7"/>
  <c r="AH106" i="7" s="1"/>
  <c r="AL98" i="7"/>
  <c r="AL78" i="7"/>
  <c r="AL70" i="7"/>
  <c r="P76" i="7"/>
  <c r="AL73" i="7"/>
  <c r="AL43" i="7"/>
  <c r="AL28" i="7"/>
  <c r="AL37" i="7"/>
  <c r="AL17" i="7"/>
  <c r="AL90" i="7"/>
  <c r="AL71" i="7"/>
  <c r="P56" i="7"/>
  <c r="AL96" i="7"/>
  <c r="P90" i="7"/>
  <c r="AL99" i="7"/>
  <c r="P99" i="7"/>
  <c r="P98" i="7"/>
  <c r="AL68" i="7"/>
  <c r="AL31" i="7"/>
  <c r="AL8" i="7"/>
  <c r="Z79" i="7"/>
  <c r="P72" i="7"/>
  <c r="P68" i="7"/>
  <c r="AL94" i="7"/>
  <c r="O94" i="7"/>
  <c r="AL69" i="7"/>
  <c r="Q85" i="7"/>
  <c r="AL66" i="7"/>
  <c r="R71" i="7"/>
  <c r="AL65" i="7"/>
  <c r="O70" i="7"/>
  <c r="AL54" i="7"/>
  <c r="P46" i="7"/>
  <c r="AL36" i="7"/>
  <c r="O36" i="7"/>
  <c r="AL55" i="7"/>
  <c r="O49" i="7"/>
  <c r="AL49" i="7"/>
  <c r="Q39" i="7"/>
  <c r="R20" i="7"/>
  <c r="O10" i="7"/>
  <c r="P9" i="7"/>
  <c r="AL42" i="7"/>
  <c r="O42" i="7"/>
  <c r="AL13" i="7"/>
  <c r="AL86" i="7"/>
  <c r="O86" i="7"/>
  <c r="Q93" i="7"/>
  <c r="O96" i="7"/>
  <c r="O67" i="7"/>
  <c r="O65" i="7"/>
  <c r="AL29" i="7"/>
  <c r="O29" i="7"/>
  <c r="AL62" i="7"/>
  <c r="AL25" i="7"/>
  <c r="AB104" i="7"/>
  <c r="AB106" i="7" s="1"/>
  <c r="AL6" i="7"/>
  <c r="AD104" i="7"/>
  <c r="AD106" i="7" s="1"/>
  <c r="O26" i="7"/>
  <c r="AL26" i="7"/>
  <c r="V101" i="7"/>
  <c r="AL92" i="7"/>
  <c r="AL83" i="7"/>
  <c r="O80" i="7"/>
  <c r="AL74" i="7"/>
  <c r="O73" i="7"/>
  <c r="AL14" i="7"/>
  <c r="AL19" i="7"/>
  <c r="AL7" i="7"/>
  <c r="AL18" i="7"/>
  <c r="V7" i="7"/>
  <c r="O97" i="7"/>
  <c r="AL97" i="7"/>
  <c r="O78" i="7"/>
  <c r="AL103" i="7"/>
  <c r="O57" i="7"/>
  <c r="AL57" i="7"/>
  <c r="AL51" i="7"/>
  <c r="O38" i="7"/>
  <c r="AL30" i="7"/>
  <c r="AE104" i="7"/>
  <c r="AE106" i="7" s="1"/>
  <c r="S5" i="7"/>
  <c r="AL58" i="7"/>
  <c r="AL24" i="7"/>
  <c r="AL15" i="7"/>
  <c r="AL21" i="7"/>
  <c r="AL16" i="7"/>
  <c r="AL11" i="7"/>
  <c r="AF104" i="7"/>
  <c r="AF106" i="7" s="1"/>
  <c r="O11" i="7"/>
  <c r="AL91" i="7"/>
  <c r="AL41" i="7"/>
  <c r="O41" i="7"/>
  <c r="AL59" i="7"/>
  <c r="O27" i="7"/>
  <c r="O34" i="7"/>
  <c r="AL34" i="7"/>
  <c r="AL23" i="7"/>
  <c r="AK104" i="7"/>
  <c r="AK106" i="7" s="1"/>
  <c r="AG104" i="7"/>
  <c r="AG106" i="7" s="1"/>
  <c r="AI104" i="7"/>
  <c r="AI106" i="7" s="1"/>
  <c r="AL79" i="7"/>
  <c r="AL50" i="7"/>
  <c r="O50" i="7"/>
  <c r="O89" i="7"/>
  <c r="AL89" i="7"/>
  <c r="AL77" i="7"/>
  <c r="AL95" i="7"/>
  <c r="O88" i="7"/>
  <c r="AL102" i="7"/>
  <c r="O102" i="7"/>
  <c r="AL81" i="7"/>
  <c r="O81" i="7"/>
  <c r="AL82" i="7"/>
  <c r="O82" i="7"/>
  <c r="AL75" i="7"/>
  <c r="O87" i="7"/>
  <c r="AL63" i="7"/>
  <c r="O103" i="7"/>
  <c r="Z103" i="7" s="1"/>
  <c r="O43" i="7"/>
  <c r="O51" i="7"/>
  <c r="Z51" i="7" s="1"/>
  <c r="O30" i="7"/>
  <c r="Z17" i="7"/>
  <c r="AC104" i="7"/>
  <c r="AC106" i="7" s="1"/>
  <c r="O37" i="7"/>
  <c r="AA104" i="7"/>
  <c r="AA106" i="7" s="1"/>
  <c r="AL5" i="7"/>
  <c r="T5" i="7"/>
  <c r="O7" i="7"/>
  <c r="O77" i="7"/>
  <c r="O61" i="7"/>
  <c r="AL61" i="7"/>
  <c r="O47" i="7"/>
  <c r="AL47" i="7"/>
  <c r="AL45" i="7"/>
  <c r="AL32" i="7"/>
  <c r="AL22" i="7"/>
  <c r="M104" i="7"/>
  <c r="M106" i="7" s="1"/>
  <c r="AL6" i="125" l="1"/>
  <c r="O5" i="9" s="1"/>
  <c r="M105" i="125"/>
  <c r="M107" i="125" s="1"/>
  <c r="M112" i="125" s="1"/>
  <c r="AL100" i="125"/>
  <c r="Z76" i="125"/>
  <c r="M75" i="9" s="1"/>
  <c r="AL76" i="125"/>
  <c r="O75" i="9" s="1"/>
  <c r="AL81" i="125"/>
  <c r="O80" i="9" s="1"/>
  <c r="AL61" i="125"/>
  <c r="O60" i="9" s="1"/>
  <c r="Z61" i="125"/>
  <c r="M60" i="9" s="1"/>
  <c r="AL8" i="125"/>
  <c r="O7" i="9" s="1"/>
  <c r="AL42" i="125"/>
  <c r="O41" i="9" s="1"/>
  <c r="AL43" i="125"/>
  <c r="O42" i="9" s="1"/>
  <c r="AL82" i="125"/>
  <c r="O81" i="9" s="1"/>
  <c r="AL96" i="125"/>
  <c r="O95" i="9" s="1"/>
  <c r="R18" i="125"/>
  <c r="S18" i="125"/>
  <c r="U18" i="125"/>
  <c r="O18" i="125"/>
  <c r="P18" i="125"/>
  <c r="Q18" i="125"/>
  <c r="T18" i="125"/>
  <c r="V18" i="125"/>
  <c r="X18" i="125"/>
  <c r="W18" i="125"/>
  <c r="AL57" i="125"/>
  <c r="O56" i="9" s="1"/>
  <c r="H104" i="9"/>
  <c r="AL26" i="125"/>
  <c r="O25" i="9" s="1"/>
  <c r="AL13" i="125"/>
  <c r="O12" i="9" s="1"/>
  <c r="G104" i="9"/>
  <c r="AL56" i="125"/>
  <c r="O55" i="9" s="1"/>
  <c r="AL85" i="125"/>
  <c r="O84" i="9" s="1"/>
  <c r="AL17" i="125"/>
  <c r="O16" i="9" s="1"/>
  <c r="AL102" i="125"/>
  <c r="AL59" i="125"/>
  <c r="O58" i="9" s="1"/>
  <c r="Z65" i="125"/>
  <c r="M64" i="9" s="1"/>
  <c r="AL65" i="125"/>
  <c r="O64" i="9" s="1"/>
  <c r="AL25" i="125"/>
  <c r="O24" i="9" s="1"/>
  <c r="Z68" i="125"/>
  <c r="M67" i="9" s="1"/>
  <c r="AL68" i="125"/>
  <c r="O67" i="9" s="1"/>
  <c r="AE18" i="125"/>
  <c r="AG18" i="125"/>
  <c r="AD18" i="125"/>
  <c r="AC18" i="125"/>
  <c r="AJ18" i="125"/>
  <c r="AB18" i="125"/>
  <c r="AI18" i="125"/>
  <c r="AA18" i="125"/>
  <c r="AH18" i="125"/>
  <c r="AF18" i="125"/>
  <c r="AL49" i="125"/>
  <c r="O48" i="9" s="1"/>
  <c r="AL38" i="125"/>
  <c r="O37" i="9" s="1"/>
  <c r="AL83" i="125"/>
  <c r="O82" i="9" s="1"/>
  <c r="AL24" i="125"/>
  <c r="O23" i="9" s="1"/>
  <c r="Z27" i="125"/>
  <c r="M26" i="9" s="1"/>
  <c r="AL27" i="125"/>
  <c r="O26" i="9" s="1"/>
  <c r="Z74" i="125"/>
  <c r="M73" i="9" s="1"/>
  <c r="AL74" i="125"/>
  <c r="O73" i="9" s="1"/>
  <c r="AL37" i="125"/>
  <c r="O36" i="9" s="1"/>
  <c r="AL53" i="125"/>
  <c r="O52" i="9" s="1"/>
  <c r="AL73" i="125"/>
  <c r="O72" i="9" s="1"/>
  <c r="AL16" i="125"/>
  <c r="O15" i="9" s="1"/>
  <c r="AL11" i="125"/>
  <c r="O10" i="9" s="1"/>
  <c r="Z51" i="125"/>
  <c r="M50" i="9" s="1"/>
  <c r="AL51" i="125"/>
  <c r="O50" i="9" s="1"/>
  <c r="AL90" i="125"/>
  <c r="O89" i="9" s="1"/>
  <c r="AL98" i="125"/>
  <c r="O97" i="9" s="1"/>
  <c r="AL58" i="125"/>
  <c r="O57" i="9" s="1"/>
  <c r="AL19" i="125"/>
  <c r="AL69" i="125"/>
  <c r="AL101" i="125"/>
  <c r="O100" i="9" s="1"/>
  <c r="AL12" i="125"/>
  <c r="O11" i="9" s="1"/>
  <c r="AL94" i="125"/>
  <c r="O93" i="9" s="1"/>
  <c r="AL44" i="125"/>
  <c r="O43" i="9" s="1"/>
  <c r="AL50" i="125"/>
  <c r="O49" i="9" s="1"/>
  <c r="AL91" i="125"/>
  <c r="O90" i="9" s="1"/>
  <c r="AL28" i="125"/>
  <c r="O27" i="9" s="1"/>
  <c r="N44" i="124"/>
  <c r="AL92" i="125"/>
  <c r="O91" i="9" s="1"/>
  <c r="AL63" i="125"/>
  <c r="O62" i="9" s="1"/>
  <c r="Z63" i="125"/>
  <c r="M62" i="9" s="1"/>
  <c r="AL66" i="125"/>
  <c r="O65" i="9" s="1"/>
  <c r="AL87" i="125"/>
  <c r="O86" i="9" s="1"/>
  <c r="AL40" i="125"/>
  <c r="O39" i="9" s="1"/>
  <c r="AL60" i="125"/>
  <c r="O59" i="9" s="1"/>
  <c r="AL103" i="125"/>
  <c r="O102" i="9" s="1"/>
  <c r="Z103" i="125"/>
  <c r="M102" i="9" s="1"/>
  <c r="AL77" i="125"/>
  <c r="O76" i="9" s="1"/>
  <c r="AL23" i="125"/>
  <c r="O22" i="9" s="1"/>
  <c r="AL33" i="125"/>
  <c r="O32" i="9" s="1"/>
  <c r="AL35" i="125"/>
  <c r="O34" i="9" s="1"/>
  <c r="Z35" i="125"/>
  <c r="M34" i="9" s="1"/>
  <c r="AL67" i="125"/>
  <c r="O66" i="9" s="1"/>
  <c r="Z67" i="125"/>
  <c r="M66" i="9" s="1"/>
  <c r="AL29" i="125"/>
  <c r="O28" i="9" s="1"/>
  <c r="Z29" i="125"/>
  <c r="M28" i="9" s="1"/>
  <c r="AL71" i="125"/>
  <c r="O70" i="9" s="1"/>
  <c r="AL20" i="125"/>
  <c r="O19" i="9" s="1"/>
  <c r="AG52" i="125"/>
  <c r="AF52" i="125"/>
  <c r="AD52" i="125"/>
  <c r="AE52" i="125"/>
  <c r="AC52" i="125"/>
  <c r="AB52" i="125"/>
  <c r="AA52" i="125"/>
  <c r="AJ52" i="125"/>
  <c r="AI52" i="125"/>
  <c r="AH52" i="125"/>
  <c r="AL48" i="125"/>
  <c r="O47" i="9" s="1"/>
  <c r="AL15" i="125"/>
  <c r="O14" i="9" s="1"/>
  <c r="AL21" i="125"/>
  <c r="O20" i="9" s="1"/>
  <c r="Z21" i="125"/>
  <c r="M20" i="9" s="1"/>
  <c r="AL93" i="125"/>
  <c r="O92" i="9" s="1"/>
  <c r="AL88" i="125"/>
  <c r="O87" i="9" s="1"/>
  <c r="AL54" i="125"/>
  <c r="O53" i="9" s="1"/>
  <c r="AL64" i="125"/>
  <c r="O63" i="9" s="1"/>
  <c r="AL99" i="125"/>
  <c r="O98" i="9" s="1"/>
  <c r="AL10" i="125"/>
  <c r="O9" i="9" s="1"/>
  <c r="AL47" i="125"/>
  <c r="O46" i="9" s="1"/>
  <c r="Z14" i="125"/>
  <c r="M13" i="9" s="1"/>
  <c r="AL14" i="125"/>
  <c r="O13" i="9" s="1"/>
  <c r="AL86" i="125"/>
  <c r="O85" i="9" s="1"/>
  <c r="Z86" i="125"/>
  <c r="M85" i="9" s="1"/>
  <c r="AL45" i="125"/>
  <c r="O44" i="9" s="1"/>
  <c r="Z45" i="125"/>
  <c r="M44" i="9" s="1"/>
  <c r="Z52" i="125"/>
  <c r="AL89" i="125"/>
  <c r="O88" i="9" s="1"/>
  <c r="Z41" i="125"/>
  <c r="M40" i="9" s="1"/>
  <c r="AL41" i="125"/>
  <c r="O40" i="9" s="1"/>
  <c r="AL79" i="125"/>
  <c r="AI80" i="125"/>
  <c r="AA80" i="125"/>
  <c r="AH80" i="125"/>
  <c r="AF80" i="125"/>
  <c r="AD80" i="125"/>
  <c r="AC80" i="125"/>
  <c r="AJ80" i="125"/>
  <c r="AG80" i="125"/>
  <c r="AE80" i="125"/>
  <c r="AB80" i="125"/>
  <c r="AL22" i="125"/>
  <c r="O21" i="9" s="1"/>
  <c r="Z9" i="125"/>
  <c r="M8" i="9" s="1"/>
  <c r="AL9" i="125"/>
  <c r="O8" i="9" s="1"/>
  <c r="AL46" i="125"/>
  <c r="AL78" i="125"/>
  <c r="AL30" i="125"/>
  <c r="O29" i="9" s="1"/>
  <c r="Z30" i="125"/>
  <c r="M29" i="9" s="1"/>
  <c r="AL104" i="125"/>
  <c r="O103" i="9" s="1"/>
  <c r="AL84" i="125"/>
  <c r="O83" i="9" s="1"/>
  <c r="Z75" i="125"/>
  <c r="M74" i="9" s="1"/>
  <c r="AL75" i="125"/>
  <c r="O74" i="9" s="1"/>
  <c r="AL7" i="125"/>
  <c r="O6" i="9" s="1"/>
  <c r="AL32" i="125"/>
  <c r="O31" i="9" s="1"/>
  <c r="AL39" i="125"/>
  <c r="O38" i="9" s="1"/>
  <c r="Z39" i="125"/>
  <c r="M38" i="9" s="1"/>
  <c r="AL72" i="125"/>
  <c r="O71" i="9" s="1"/>
  <c r="AL55" i="125"/>
  <c r="O54" i="9" s="1"/>
  <c r="AL95" i="125"/>
  <c r="O94" i="9" s="1"/>
  <c r="Z95" i="125"/>
  <c r="M94" i="9" s="1"/>
  <c r="AL31" i="125"/>
  <c r="O30" i="9" s="1"/>
  <c r="Z31" i="125"/>
  <c r="M30" i="9" s="1"/>
  <c r="O80" i="125"/>
  <c r="B80" i="125" s="1"/>
  <c r="W80" i="125"/>
  <c r="Q80" i="125"/>
  <c r="D80" i="125" s="1"/>
  <c r="R80" i="125"/>
  <c r="S80" i="125"/>
  <c r="U80" i="125"/>
  <c r="H80" i="125" s="1"/>
  <c r="X80" i="125"/>
  <c r="K80" i="125" s="1"/>
  <c r="P80" i="125"/>
  <c r="C80" i="125" s="1"/>
  <c r="T80" i="125"/>
  <c r="G80" i="125" s="1"/>
  <c r="V80" i="125"/>
  <c r="I80" i="125" s="1"/>
  <c r="AL62" i="125"/>
  <c r="O61" i="9" s="1"/>
  <c r="AL34" i="125"/>
  <c r="O33" i="9" s="1"/>
  <c r="AL97" i="125"/>
  <c r="O96" i="9" s="1"/>
  <c r="AL70" i="125"/>
  <c r="O69" i="9" s="1"/>
  <c r="L44" i="124"/>
  <c r="L44" i="127" s="1"/>
  <c r="N37" i="118"/>
  <c r="J38" i="118"/>
  <c r="J39" i="118" s="1"/>
  <c r="J51" i="118" s="1"/>
  <c r="J133" i="118" s="1"/>
  <c r="M111" i="7"/>
  <c r="N145" i="118"/>
  <c r="F5" i="101"/>
  <c r="Z102" i="7"/>
  <c r="P102" i="9" s="1"/>
  <c r="Z101" i="7"/>
  <c r="Z100" i="7"/>
  <c r="Z99" i="7"/>
  <c r="Z98" i="7"/>
  <c r="Z97" i="7"/>
  <c r="Z96" i="7"/>
  <c r="Z95" i="7"/>
  <c r="Z94" i="7"/>
  <c r="P94" i="9" s="1"/>
  <c r="Z93" i="7"/>
  <c r="Z92" i="7"/>
  <c r="Z91" i="7"/>
  <c r="Z90" i="7"/>
  <c r="Z89" i="7"/>
  <c r="Z88" i="7"/>
  <c r="Z87" i="7"/>
  <c r="Z86" i="7"/>
  <c r="Z85" i="7"/>
  <c r="P85" i="9" s="1"/>
  <c r="Z84" i="7"/>
  <c r="Z75" i="7"/>
  <c r="P75" i="9" s="1"/>
  <c r="Z83" i="7"/>
  <c r="Z82" i="7"/>
  <c r="Z81" i="7"/>
  <c r="Z80" i="7"/>
  <c r="Z78" i="7"/>
  <c r="Z77" i="7"/>
  <c r="Z76" i="7"/>
  <c r="Z74" i="7"/>
  <c r="P74" i="9" s="1"/>
  <c r="Z73" i="7"/>
  <c r="Z72" i="7"/>
  <c r="Z70" i="7"/>
  <c r="Z69" i="7"/>
  <c r="F5" i="79"/>
  <c r="N65" i="79"/>
  <c r="K65" i="79" s="1"/>
  <c r="Z68" i="7"/>
  <c r="Z66" i="7"/>
  <c r="P66" i="9" s="1"/>
  <c r="Z67" i="7"/>
  <c r="P67" i="9" s="1"/>
  <c r="Z63" i="7"/>
  <c r="Z65" i="7"/>
  <c r="Z64" i="7"/>
  <c r="P64" i="9" s="1"/>
  <c r="Z62" i="7"/>
  <c r="P62" i="9" s="1"/>
  <c r="Z61" i="7"/>
  <c r="Z55" i="7"/>
  <c r="Z60" i="7"/>
  <c r="P60" i="9" s="1"/>
  <c r="Z59" i="7"/>
  <c r="Z58" i="7"/>
  <c r="Z57" i="7"/>
  <c r="Z56" i="7"/>
  <c r="Z52" i="7"/>
  <c r="Z54" i="7"/>
  <c r="Z53" i="7"/>
  <c r="Z50" i="7"/>
  <c r="P50" i="9" s="1"/>
  <c r="Z49" i="7"/>
  <c r="Z48" i="7"/>
  <c r="Z47" i="7"/>
  <c r="Z46" i="7"/>
  <c r="Z44" i="7"/>
  <c r="P44" i="9" s="1"/>
  <c r="Z45" i="7"/>
  <c r="Z43" i="7"/>
  <c r="Z42" i="7"/>
  <c r="Z41" i="7"/>
  <c r="Z40" i="7"/>
  <c r="P40" i="9" s="1"/>
  <c r="Z39" i="7"/>
  <c r="Z38" i="7"/>
  <c r="P38" i="9" s="1"/>
  <c r="Z37" i="7"/>
  <c r="Z36" i="7"/>
  <c r="Z34" i="7"/>
  <c r="P34" i="9" s="1"/>
  <c r="Z31" i="7"/>
  <c r="Z33" i="7"/>
  <c r="Z32" i="7"/>
  <c r="Z28" i="7"/>
  <c r="P28" i="9" s="1"/>
  <c r="Z25" i="7"/>
  <c r="Z30" i="7"/>
  <c r="P30" i="9" s="1"/>
  <c r="Z29" i="7"/>
  <c r="P29" i="9" s="1"/>
  <c r="Z27" i="7"/>
  <c r="Z26" i="7"/>
  <c r="P26" i="9" s="1"/>
  <c r="Z24" i="7"/>
  <c r="Z23" i="7"/>
  <c r="Z21" i="7"/>
  <c r="Z22" i="7"/>
  <c r="Z19" i="7"/>
  <c r="Z20" i="7"/>
  <c r="P20" i="9" s="1"/>
  <c r="Z18" i="7"/>
  <c r="Z16" i="7"/>
  <c r="Z12" i="7"/>
  <c r="Z15" i="7"/>
  <c r="Z14" i="7"/>
  <c r="Z13" i="7"/>
  <c r="P13" i="9" s="1"/>
  <c r="Z11" i="7"/>
  <c r="Z10" i="7"/>
  <c r="Z8" i="7"/>
  <c r="P8" i="9" s="1"/>
  <c r="W104" i="7"/>
  <c r="W106" i="7" s="1"/>
  <c r="U104" i="7"/>
  <c r="U106" i="7" s="1"/>
  <c r="X104" i="7"/>
  <c r="X106" i="7" s="1"/>
  <c r="Y104" i="7"/>
  <c r="Y106" i="7" s="1"/>
  <c r="S104" i="7"/>
  <c r="S106" i="7" s="1"/>
  <c r="V104" i="7"/>
  <c r="V106" i="7" s="1"/>
  <c r="R104" i="7"/>
  <c r="R106" i="7" s="1"/>
  <c r="T104" i="7"/>
  <c r="T106" i="7" s="1"/>
  <c r="Z7" i="7"/>
  <c r="Z6" i="7"/>
  <c r="P104" i="7"/>
  <c r="P106" i="7" s="1"/>
  <c r="O104" i="7"/>
  <c r="O106" i="7" s="1"/>
  <c r="Z71" i="7"/>
  <c r="Q104" i="7"/>
  <c r="Q106" i="7" s="1"/>
  <c r="AL104" i="7"/>
  <c r="AL106" i="7" s="1"/>
  <c r="Z9" i="7"/>
  <c r="Z5" i="7"/>
  <c r="Z12" i="125" l="1"/>
  <c r="M11" i="9" s="1"/>
  <c r="P11" i="9" s="1"/>
  <c r="Z24" i="125"/>
  <c r="M23" i="9" s="1"/>
  <c r="Z17" i="125"/>
  <c r="M16" i="9" s="1"/>
  <c r="F18" i="125"/>
  <c r="P21" i="9"/>
  <c r="P23" i="9"/>
  <c r="P72" i="9"/>
  <c r="P82" i="9"/>
  <c r="P73" i="9"/>
  <c r="Z7" i="125"/>
  <c r="M6" i="9" s="1"/>
  <c r="P6" i="9" s="1"/>
  <c r="Z78" i="125"/>
  <c r="M77" i="9" s="1"/>
  <c r="O77" i="9"/>
  <c r="P77" i="9" s="1"/>
  <c r="Z79" i="125"/>
  <c r="M78" i="9" s="1"/>
  <c r="O78" i="9"/>
  <c r="Z37" i="125"/>
  <c r="M36" i="9" s="1"/>
  <c r="Z83" i="125"/>
  <c r="M82" i="9" s="1"/>
  <c r="E18" i="125"/>
  <c r="P16" i="9"/>
  <c r="Z62" i="125"/>
  <c r="M61" i="9" s="1"/>
  <c r="Z55" i="125"/>
  <c r="M54" i="9" s="1"/>
  <c r="Z46" i="125"/>
  <c r="M45" i="9" s="1"/>
  <c r="P45" i="9" s="1"/>
  <c r="O45" i="9"/>
  <c r="O4" i="9" s="1"/>
  <c r="O104" i="9" s="1"/>
  <c r="Z93" i="125"/>
  <c r="M92" i="9" s="1"/>
  <c r="P92" i="9" s="1"/>
  <c r="Z91" i="125"/>
  <c r="M90" i="9" s="1"/>
  <c r="P90" i="9" s="1"/>
  <c r="Z69" i="125"/>
  <c r="M68" i="9" s="1"/>
  <c r="O68" i="9"/>
  <c r="Z81" i="125"/>
  <c r="M80" i="9" s="1"/>
  <c r="P43" i="9"/>
  <c r="P68" i="9"/>
  <c r="P100" i="9"/>
  <c r="Z23" i="125"/>
  <c r="M22" i="9" s="1"/>
  <c r="P22" i="9" s="1"/>
  <c r="Z19" i="125"/>
  <c r="M18" i="9" s="1"/>
  <c r="P18" i="9" s="1"/>
  <c r="O18" i="9"/>
  <c r="P36" i="9"/>
  <c r="P54" i="9"/>
  <c r="P61" i="9"/>
  <c r="Z72" i="125"/>
  <c r="M71" i="9" s="1"/>
  <c r="Z22" i="125"/>
  <c r="M21" i="9" s="1"/>
  <c r="Z44" i="125"/>
  <c r="M43" i="9" s="1"/>
  <c r="Z58" i="125"/>
  <c r="M57" i="9" s="1"/>
  <c r="P57" i="9" s="1"/>
  <c r="Z16" i="125"/>
  <c r="M15" i="9" s="1"/>
  <c r="P15" i="9" s="1"/>
  <c r="Z49" i="125"/>
  <c r="M48" i="9" s="1"/>
  <c r="P48" i="9" s="1"/>
  <c r="Z100" i="125"/>
  <c r="M99" i="9" s="1"/>
  <c r="P99" i="9" s="1"/>
  <c r="O99" i="9"/>
  <c r="P71" i="9"/>
  <c r="P80" i="9"/>
  <c r="Z102" i="125"/>
  <c r="M101" i="9" s="1"/>
  <c r="P101" i="9" s="1"/>
  <c r="O101" i="9"/>
  <c r="P78" i="9"/>
  <c r="Z70" i="125"/>
  <c r="M69" i="9" s="1"/>
  <c r="P69" i="9" s="1"/>
  <c r="Z98" i="125"/>
  <c r="M97" i="9" s="1"/>
  <c r="P97" i="9" s="1"/>
  <c r="Z73" i="125"/>
  <c r="M72" i="9" s="1"/>
  <c r="K18" i="125"/>
  <c r="J80" i="125"/>
  <c r="Q75" i="125"/>
  <c r="S75" i="125"/>
  <c r="T75" i="125"/>
  <c r="U75" i="125"/>
  <c r="O75" i="125"/>
  <c r="W75" i="125"/>
  <c r="R75" i="125"/>
  <c r="X75" i="125"/>
  <c r="P75" i="125"/>
  <c r="V75" i="125"/>
  <c r="O72" i="125"/>
  <c r="W72" i="125"/>
  <c r="Q72" i="125"/>
  <c r="R72" i="125"/>
  <c r="S72" i="125"/>
  <c r="U72" i="125"/>
  <c r="T72" i="125"/>
  <c r="V72" i="125"/>
  <c r="P72" i="125"/>
  <c r="X72" i="125"/>
  <c r="S78" i="125"/>
  <c r="Q78" i="125"/>
  <c r="X78" i="125"/>
  <c r="P78" i="125"/>
  <c r="R78" i="125"/>
  <c r="U79" i="125"/>
  <c r="O79" i="125"/>
  <c r="W79" i="125"/>
  <c r="P79" i="125"/>
  <c r="AC54" i="125"/>
  <c r="AJ54" i="125"/>
  <c r="L4" i="62" s="1"/>
  <c r="AB54" i="125"/>
  <c r="D4" i="62" s="1"/>
  <c r="N71" i="62" s="1"/>
  <c r="K71" i="62" s="1"/>
  <c r="AH54" i="125"/>
  <c r="J4" i="62" s="1"/>
  <c r="N76" i="62" s="1"/>
  <c r="K76" i="62" s="1"/>
  <c r="AI54" i="125"/>
  <c r="K4" i="62" s="1"/>
  <c r="N78" i="62" s="1"/>
  <c r="K78" i="62" s="1"/>
  <c r="AG54" i="125"/>
  <c r="I4" i="62" s="1"/>
  <c r="N75" i="62" s="1"/>
  <c r="K75" i="62" s="1"/>
  <c r="AF54" i="125"/>
  <c r="H4" i="62" s="1"/>
  <c r="N74" i="62" s="1"/>
  <c r="K74" i="62" s="1"/>
  <c r="AA54" i="125"/>
  <c r="C4" i="62" s="1"/>
  <c r="AE54" i="125"/>
  <c r="G4" i="62" s="1"/>
  <c r="AD54" i="125"/>
  <c r="F4" i="62" s="1"/>
  <c r="N77" i="62" s="1"/>
  <c r="K77" i="62" s="1"/>
  <c r="Z54" i="125"/>
  <c r="M53" i="9" s="1"/>
  <c r="P53" i="9" s="1"/>
  <c r="AG77" i="125"/>
  <c r="I4" i="85" s="1"/>
  <c r="N75" i="85" s="1"/>
  <c r="K75" i="85" s="1"/>
  <c r="AF77" i="125"/>
  <c r="H4" i="85" s="1"/>
  <c r="N74" i="85" s="1"/>
  <c r="K74" i="85" s="1"/>
  <c r="AD77" i="125"/>
  <c r="F4" i="85" s="1"/>
  <c r="N77" i="85" s="1"/>
  <c r="K77" i="85" s="1"/>
  <c r="AJ77" i="125"/>
  <c r="L4" i="85" s="1"/>
  <c r="AB77" i="125"/>
  <c r="D4" i="85" s="1"/>
  <c r="N71" i="85" s="1"/>
  <c r="K71" i="85" s="1"/>
  <c r="AA77" i="125"/>
  <c r="AI77" i="125"/>
  <c r="K4" i="85" s="1"/>
  <c r="N78" i="85" s="1"/>
  <c r="K78" i="85" s="1"/>
  <c r="AH77" i="125"/>
  <c r="J4" i="85" s="1"/>
  <c r="N76" i="85" s="1"/>
  <c r="K76" i="85" s="1"/>
  <c r="AE77" i="125"/>
  <c r="G4" i="85" s="1"/>
  <c r="AC77" i="125"/>
  <c r="E4" i="85" s="1"/>
  <c r="N72" i="85" s="1"/>
  <c r="K72" i="85" s="1"/>
  <c r="Z77" i="125"/>
  <c r="M76" i="9" s="1"/>
  <c r="P76" i="9" s="1"/>
  <c r="AH101" i="125"/>
  <c r="J4" i="108" s="1"/>
  <c r="N76" i="108" s="1"/>
  <c r="K76" i="108" s="1"/>
  <c r="AG101" i="125"/>
  <c r="I4" i="108" s="1"/>
  <c r="N75" i="108" s="1"/>
  <c r="K75" i="108" s="1"/>
  <c r="AE101" i="125"/>
  <c r="G4" i="108" s="1"/>
  <c r="AC101" i="125"/>
  <c r="E4" i="108" s="1"/>
  <c r="N72" i="108" s="1"/>
  <c r="K72" i="108" s="1"/>
  <c r="AF101" i="125"/>
  <c r="H4" i="108" s="1"/>
  <c r="N74" i="108" s="1"/>
  <c r="K74" i="108" s="1"/>
  <c r="AJ101" i="125"/>
  <c r="L4" i="108" s="1"/>
  <c r="AD101" i="125"/>
  <c r="F4" i="108" s="1"/>
  <c r="N77" i="108" s="1"/>
  <c r="K77" i="108" s="1"/>
  <c r="AB101" i="125"/>
  <c r="D4" i="108" s="1"/>
  <c r="N71" i="108" s="1"/>
  <c r="K71" i="108" s="1"/>
  <c r="AA101" i="125"/>
  <c r="AI101" i="125"/>
  <c r="K4" i="108" s="1"/>
  <c r="N78" i="108" s="1"/>
  <c r="K78" i="108" s="1"/>
  <c r="Z101" i="125"/>
  <c r="M100" i="9" s="1"/>
  <c r="U81" i="125"/>
  <c r="O81" i="125"/>
  <c r="W81" i="125"/>
  <c r="P81" i="125"/>
  <c r="X81" i="125"/>
  <c r="Q81" i="125"/>
  <c r="S81" i="125"/>
  <c r="R81" i="125"/>
  <c r="V81" i="125"/>
  <c r="T81" i="125"/>
  <c r="P46" i="125"/>
  <c r="X46" i="125"/>
  <c r="Q46" i="125"/>
  <c r="S46" i="125"/>
  <c r="T46" i="125"/>
  <c r="R46" i="125"/>
  <c r="U46" i="125"/>
  <c r="V46" i="125"/>
  <c r="W46" i="125"/>
  <c r="S69" i="125"/>
  <c r="U69" i="125"/>
  <c r="V69" i="125"/>
  <c r="O69" i="125"/>
  <c r="W69" i="125"/>
  <c r="Q69" i="125"/>
  <c r="R69" i="125"/>
  <c r="T69" i="125"/>
  <c r="X69" i="125"/>
  <c r="P69" i="125"/>
  <c r="AE26" i="125"/>
  <c r="G4" i="36" s="1"/>
  <c r="AD26" i="125"/>
  <c r="F4" i="36" s="1"/>
  <c r="N77" i="36" s="1"/>
  <c r="K77" i="36" s="1"/>
  <c r="AG26" i="125"/>
  <c r="I4" i="36" s="1"/>
  <c r="N75" i="36" s="1"/>
  <c r="K75" i="36" s="1"/>
  <c r="AC26" i="125"/>
  <c r="E4" i="36" s="1"/>
  <c r="N72" i="36" s="1"/>
  <c r="K72" i="36" s="1"/>
  <c r="AJ26" i="125"/>
  <c r="L4" i="36" s="1"/>
  <c r="AB26" i="125"/>
  <c r="D4" i="36" s="1"/>
  <c r="N71" i="36" s="1"/>
  <c r="K71" i="36" s="1"/>
  <c r="AI26" i="125"/>
  <c r="K4" i="36" s="1"/>
  <c r="N78" i="36" s="1"/>
  <c r="K78" i="36" s="1"/>
  <c r="AA26" i="125"/>
  <c r="AH26" i="125"/>
  <c r="J4" i="36" s="1"/>
  <c r="N76" i="36" s="1"/>
  <c r="K76" i="36" s="1"/>
  <c r="AF26" i="125"/>
  <c r="H4" i="36" s="1"/>
  <c r="N74" i="36" s="1"/>
  <c r="K74" i="36" s="1"/>
  <c r="Z26" i="125"/>
  <c r="M25" i="9" s="1"/>
  <c r="P25" i="9" s="1"/>
  <c r="Q70" i="125"/>
  <c r="S70" i="125"/>
  <c r="T70" i="125"/>
  <c r="U70" i="125"/>
  <c r="O70" i="125"/>
  <c r="W70" i="125"/>
  <c r="P70" i="125"/>
  <c r="V70" i="125"/>
  <c r="R70" i="125"/>
  <c r="X70" i="125"/>
  <c r="S14" i="125"/>
  <c r="T14" i="125"/>
  <c r="V14" i="125"/>
  <c r="P14" i="125"/>
  <c r="Q14" i="125"/>
  <c r="R14" i="125"/>
  <c r="U14" i="125"/>
  <c r="W14" i="125"/>
  <c r="X14" i="125"/>
  <c r="O14" i="125"/>
  <c r="AC50" i="125"/>
  <c r="E4" i="59" s="1"/>
  <c r="N72" i="59" s="1"/>
  <c r="K72" i="59" s="1"/>
  <c r="AJ50" i="125"/>
  <c r="L4" i="59" s="1"/>
  <c r="AB50" i="125"/>
  <c r="D4" i="59" s="1"/>
  <c r="N71" i="59" s="1"/>
  <c r="K71" i="59" s="1"/>
  <c r="AH50" i="125"/>
  <c r="J4" i="59" s="1"/>
  <c r="N76" i="59" s="1"/>
  <c r="K76" i="59" s="1"/>
  <c r="AI50" i="125"/>
  <c r="K4" i="59" s="1"/>
  <c r="N78" i="59" s="1"/>
  <c r="K78" i="59" s="1"/>
  <c r="AG50" i="125"/>
  <c r="I4" i="59" s="1"/>
  <c r="N75" i="59" s="1"/>
  <c r="K75" i="59" s="1"/>
  <c r="AD50" i="125"/>
  <c r="F4" i="59" s="1"/>
  <c r="N77" i="59" s="1"/>
  <c r="K77" i="59" s="1"/>
  <c r="AF50" i="125"/>
  <c r="H4" i="59" s="1"/>
  <c r="N74" i="59" s="1"/>
  <c r="K74" i="59" s="1"/>
  <c r="AE50" i="125"/>
  <c r="G4" i="59" s="1"/>
  <c r="AA50" i="125"/>
  <c r="Z50" i="125"/>
  <c r="M49" i="9" s="1"/>
  <c r="P49" i="9" s="1"/>
  <c r="P19" i="125"/>
  <c r="X19" i="125"/>
  <c r="Q19" i="125"/>
  <c r="S19" i="125"/>
  <c r="R19" i="125"/>
  <c r="T19" i="125"/>
  <c r="U19" i="125"/>
  <c r="V19" i="125"/>
  <c r="W19" i="125"/>
  <c r="AI59" i="125"/>
  <c r="K4" i="67" s="1"/>
  <c r="N78" i="67" s="1"/>
  <c r="K78" i="67" s="1"/>
  <c r="AA59" i="125"/>
  <c r="C4" i="67" s="1"/>
  <c r="AH59" i="125"/>
  <c r="J4" i="67" s="1"/>
  <c r="N76" i="67" s="1"/>
  <c r="K76" i="67" s="1"/>
  <c r="AF59" i="125"/>
  <c r="H4" i="67" s="1"/>
  <c r="N74" i="67" s="1"/>
  <c r="K74" i="67" s="1"/>
  <c r="AD59" i="125"/>
  <c r="F4" i="67" s="1"/>
  <c r="N77" i="67" s="1"/>
  <c r="K77" i="67" s="1"/>
  <c r="AG59" i="125"/>
  <c r="I4" i="67" s="1"/>
  <c r="N75" i="67" s="1"/>
  <c r="K75" i="67" s="1"/>
  <c r="AE59" i="125"/>
  <c r="G4" i="67" s="1"/>
  <c r="AC59" i="125"/>
  <c r="AB59" i="125"/>
  <c r="D4" i="67" s="1"/>
  <c r="N71" i="67" s="1"/>
  <c r="K71" i="67" s="1"/>
  <c r="AJ59" i="125"/>
  <c r="L4" i="67" s="1"/>
  <c r="Z59" i="125"/>
  <c r="M58" i="9" s="1"/>
  <c r="P58" i="9" s="1"/>
  <c r="AJ43" i="125"/>
  <c r="L4" i="52" s="1"/>
  <c r="AB43" i="125"/>
  <c r="D4" i="52" s="1"/>
  <c r="N71" i="52" s="1"/>
  <c r="K71" i="52" s="1"/>
  <c r="AI43" i="125"/>
  <c r="K4" i="52" s="1"/>
  <c r="N78" i="52" s="1"/>
  <c r="K78" i="52" s="1"/>
  <c r="AA43" i="125"/>
  <c r="C4" i="52" s="1"/>
  <c r="AG43" i="125"/>
  <c r="I4" i="52" s="1"/>
  <c r="N75" i="52" s="1"/>
  <c r="K75" i="52" s="1"/>
  <c r="AF43" i="125"/>
  <c r="H4" i="52" s="1"/>
  <c r="N74" i="52" s="1"/>
  <c r="K74" i="52" s="1"/>
  <c r="AE43" i="125"/>
  <c r="G4" i="52" s="1"/>
  <c r="AD43" i="125"/>
  <c r="F4" i="52" s="1"/>
  <c r="N77" i="52" s="1"/>
  <c r="K77" i="52" s="1"/>
  <c r="AC43" i="125"/>
  <c r="AH43" i="125"/>
  <c r="J4" i="52" s="1"/>
  <c r="N76" i="52" s="1"/>
  <c r="K76" i="52" s="1"/>
  <c r="Z43" i="125"/>
  <c r="M42" i="9" s="1"/>
  <c r="P42" i="9" s="1"/>
  <c r="AF89" i="125"/>
  <c r="H4" i="96" s="1"/>
  <c r="N74" i="96" s="1"/>
  <c r="K74" i="96" s="1"/>
  <c r="AE89" i="125"/>
  <c r="G4" i="96" s="1"/>
  <c r="AC89" i="125"/>
  <c r="E4" i="96" s="1"/>
  <c r="N72" i="96" s="1"/>
  <c r="K72" i="96" s="1"/>
  <c r="AI89" i="125"/>
  <c r="K4" i="96" s="1"/>
  <c r="N78" i="96" s="1"/>
  <c r="K78" i="96" s="1"/>
  <c r="AA89" i="125"/>
  <c r="AD89" i="125"/>
  <c r="F4" i="96" s="1"/>
  <c r="N77" i="96" s="1"/>
  <c r="K77" i="96" s="1"/>
  <c r="AH89" i="125"/>
  <c r="J4" i="96" s="1"/>
  <c r="N76" i="96" s="1"/>
  <c r="K76" i="96" s="1"/>
  <c r="AB89" i="125"/>
  <c r="D4" i="96" s="1"/>
  <c r="N71" i="96" s="1"/>
  <c r="K71" i="96" s="1"/>
  <c r="AJ89" i="125"/>
  <c r="L4" i="96" s="1"/>
  <c r="AG89" i="125"/>
  <c r="I4" i="96" s="1"/>
  <c r="N75" i="96" s="1"/>
  <c r="K75" i="96" s="1"/>
  <c r="Z89" i="125"/>
  <c r="M88" i="9" s="1"/>
  <c r="P88" i="9" s="1"/>
  <c r="AJ71" i="125"/>
  <c r="L4" i="79" s="1"/>
  <c r="AA71" i="125"/>
  <c r="C4" i="79" s="1"/>
  <c r="AF71" i="125"/>
  <c r="H4" i="79" s="1"/>
  <c r="N74" i="79" s="1"/>
  <c r="K74" i="79" s="1"/>
  <c r="AH71" i="125"/>
  <c r="J4" i="79" s="1"/>
  <c r="N76" i="79" s="1"/>
  <c r="K76" i="79" s="1"/>
  <c r="AG71" i="125"/>
  <c r="I4" i="79" s="1"/>
  <c r="N75" i="79" s="1"/>
  <c r="K75" i="79" s="1"/>
  <c r="AC71" i="125"/>
  <c r="E4" i="79" s="1"/>
  <c r="N72" i="79" s="1"/>
  <c r="K72" i="79" s="1"/>
  <c r="AE71" i="125"/>
  <c r="G4" i="79" s="1"/>
  <c r="AB71" i="125"/>
  <c r="D4" i="79" s="1"/>
  <c r="N71" i="79" s="1"/>
  <c r="K71" i="79" s="1"/>
  <c r="AI71" i="125"/>
  <c r="K4" i="79" s="1"/>
  <c r="N78" i="79" s="1"/>
  <c r="K78" i="79" s="1"/>
  <c r="Z71" i="125"/>
  <c r="M70" i="9" s="1"/>
  <c r="P70" i="9" s="1"/>
  <c r="M44" i="124"/>
  <c r="M44" i="127" s="1"/>
  <c r="K44" i="124"/>
  <c r="K44" i="127" s="1"/>
  <c r="J44" i="124"/>
  <c r="J44" i="127" s="1"/>
  <c r="S37" i="125"/>
  <c r="V37" i="125"/>
  <c r="O37" i="125"/>
  <c r="P37" i="125"/>
  <c r="R37" i="125"/>
  <c r="T37" i="125"/>
  <c r="X37" i="125"/>
  <c r="Q37" i="125"/>
  <c r="W37" i="125"/>
  <c r="U37" i="125"/>
  <c r="Q83" i="125"/>
  <c r="S83" i="125"/>
  <c r="T83" i="125"/>
  <c r="U83" i="125"/>
  <c r="O83" i="125"/>
  <c r="W83" i="125"/>
  <c r="P83" i="125"/>
  <c r="R83" i="125"/>
  <c r="X83" i="125"/>
  <c r="V83" i="125"/>
  <c r="U102" i="125"/>
  <c r="O102" i="125"/>
  <c r="W102" i="125"/>
  <c r="P102" i="125"/>
  <c r="X102" i="125"/>
  <c r="Q102" i="125"/>
  <c r="S102" i="125"/>
  <c r="T102" i="125"/>
  <c r="R102" i="125"/>
  <c r="V102" i="125"/>
  <c r="R22" i="125"/>
  <c r="S22" i="125"/>
  <c r="U22" i="125"/>
  <c r="X22" i="125"/>
  <c r="O22" i="125"/>
  <c r="P22" i="125"/>
  <c r="Q22" i="125"/>
  <c r="T22" i="125"/>
  <c r="V22" i="125"/>
  <c r="W22" i="125"/>
  <c r="AI47" i="125"/>
  <c r="K4" i="56" s="1"/>
  <c r="N78" i="56" s="1"/>
  <c r="K78" i="56" s="1"/>
  <c r="AA47" i="125"/>
  <c r="C4" i="56" s="1"/>
  <c r="AH47" i="125"/>
  <c r="J4" i="56" s="1"/>
  <c r="N76" i="56" s="1"/>
  <c r="K76" i="56" s="1"/>
  <c r="AF47" i="125"/>
  <c r="H4" i="56" s="1"/>
  <c r="N74" i="56" s="1"/>
  <c r="K74" i="56" s="1"/>
  <c r="AD47" i="125"/>
  <c r="F4" i="56" s="1"/>
  <c r="N77" i="56" s="1"/>
  <c r="K77" i="56" s="1"/>
  <c r="AG47" i="125"/>
  <c r="I4" i="56" s="1"/>
  <c r="N75" i="56" s="1"/>
  <c r="K75" i="56" s="1"/>
  <c r="AC47" i="125"/>
  <c r="E4" i="56" s="1"/>
  <c r="N72" i="56" s="1"/>
  <c r="K72" i="56" s="1"/>
  <c r="AB47" i="125"/>
  <c r="AJ47" i="125"/>
  <c r="L4" i="56" s="1"/>
  <c r="AE47" i="125"/>
  <c r="G4" i="56" s="1"/>
  <c r="Z47" i="125"/>
  <c r="M46" i="9" s="1"/>
  <c r="P46" i="9" s="1"/>
  <c r="Q100" i="125"/>
  <c r="S100" i="125"/>
  <c r="T100" i="125"/>
  <c r="U100" i="125"/>
  <c r="O100" i="125"/>
  <c r="W100" i="125"/>
  <c r="R100" i="125"/>
  <c r="V100" i="125"/>
  <c r="P100" i="125"/>
  <c r="X100" i="125"/>
  <c r="AJ87" i="125"/>
  <c r="L4" i="94" s="1"/>
  <c r="AB87" i="125"/>
  <c r="AI87" i="125"/>
  <c r="K4" i="94" s="1"/>
  <c r="N78" i="94" s="1"/>
  <c r="K78" i="94" s="1"/>
  <c r="AA87" i="125"/>
  <c r="C4" i="94" s="1"/>
  <c r="AG87" i="125"/>
  <c r="I4" i="94" s="1"/>
  <c r="N75" i="94" s="1"/>
  <c r="K75" i="94" s="1"/>
  <c r="AE87" i="125"/>
  <c r="G4" i="94" s="1"/>
  <c r="AH87" i="125"/>
  <c r="J4" i="94" s="1"/>
  <c r="N76" i="94" s="1"/>
  <c r="K76" i="94" s="1"/>
  <c r="AF87" i="125"/>
  <c r="H4" i="94" s="1"/>
  <c r="N74" i="94" s="1"/>
  <c r="K74" i="94" s="1"/>
  <c r="AD87" i="125"/>
  <c r="F4" i="94" s="1"/>
  <c r="N77" i="94" s="1"/>
  <c r="K77" i="94" s="1"/>
  <c r="AC87" i="125"/>
  <c r="E4" i="94" s="1"/>
  <c r="N72" i="94" s="1"/>
  <c r="K72" i="94" s="1"/>
  <c r="Z87" i="125"/>
  <c r="M86" i="9" s="1"/>
  <c r="P86" i="9" s="1"/>
  <c r="AC11" i="125"/>
  <c r="AJ11" i="125"/>
  <c r="L4" i="22" s="1"/>
  <c r="AB11" i="125"/>
  <c r="D4" i="22" s="1"/>
  <c r="N71" i="22" s="1"/>
  <c r="K71" i="22" s="1"/>
  <c r="AI11" i="125"/>
  <c r="K4" i="22" s="1"/>
  <c r="N78" i="22" s="1"/>
  <c r="K78" i="22" s="1"/>
  <c r="AA11" i="125"/>
  <c r="C4" i="22" s="1"/>
  <c r="AH11" i="125"/>
  <c r="J4" i="22" s="1"/>
  <c r="N76" i="22" s="1"/>
  <c r="K76" i="22" s="1"/>
  <c r="AE11" i="125"/>
  <c r="G4" i="22" s="1"/>
  <c r="AG11" i="125"/>
  <c r="I4" i="22" s="1"/>
  <c r="N75" i="22" s="1"/>
  <c r="K75" i="22" s="1"/>
  <c r="AF11" i="125"/>
  <c r="H4" i="22" s="1"/>
  <c r="N74" i="22" s="1"/>
  <c r="K74" i="22" s="1"/>
  <c r="AD11" i="125"/>
  <c r="F4" i="22" s="1"/>
  <c r="N77" i="22" s="1"/>
  <c r="K77" i="22" s="1"/>
  <c r="Z11" i="125"/>
  <c r="M10" i="9" s="1"/>
  <c r="P10" i="9" s="1"/>
  <c r="AC15" i="125"/>
  <c r="E4" i="26" s="1"/>
  <c r="N72" i="26" s="1"/>
  <c r="K72" i="26" s="1"/>
  <c r="AJ15" i="125"/>
  <c r="L4" i="26" s="1"/>
  <c r="AB15" i="125"/>
  <c r="AI15" i="125"/>
  <c r="K4" i="26" s="1"/>
  <c r="N78" i="26" s="1"/>
  <c r="K78" i="26" s="1"/>
  <c r="AA15" i="125"/>
  <c r="C4" i="26" s="1"/>
  <c r="AH15" i="125"/>
  <c r="J4" i="26" s="1"/>
  <c r="N76" i="26" s="1"/>
  <c r="K76" i="26" s="1"/>
  <c r="AG15" i="125"/>
  <c r="I4" i="26" s="1"/>
  <c r="N75" i="26" s="1"/>
  <c r="K75" i="26" s="1"/>
  <c r="AF15" i="125"/>
  <c r="H4" i="26" s="1"/>
  <c r="N74" i="26" s="1"/>
  <c r="K74" i="26" s="1"/>
  <c r="AE15" i="125"/>
  <c r="G4" i="26" s="1"/>
  <c r="AD15" i="125"/>
  <c r="F4" i="26" s="1"/>
  <c r="N77" i="26" s="1"/>
  <c r="K77" i="26" s="1"/>
  <c r="Z15" i="125"/>
  <c r="M14" i="9" s="1"/>
  <c r="P14" i="9" s="1"/>
  <c r="AF6" i="125"/>
  <c r="AE6" i="125"/>
  <c r="AH6" i="125"/>
  <c r="AD6" i="125"/>
  <c r="AC6" i="125"/>
  <c r="AJ6" i="125"/>
  <c r="AB6" i="125"/>
  <c r="AI6" i="125"/>
  <c r="AA6" i="125"/>
  <c r="AG6" i="125"/>
  <c r="AL105" i="125"/>
  <c r="AL107" i="125" s="1"/>
  <c r="Z6" i="125"/>
  <c r="M5" i="9" s="1"/>
  <c r="N134" i="118"/>
  <c r="AC70" i="125"/>
  <c r="AJ70" i="125"/>
  <c r="L4" i="78" s="1"/>
  <c r="AB70" i="125"/>
  <c r="D4" i="78" s="1"/>
  <c r="N71" i="78" s="1"/>
  <c r="K71" i="78" s="1"/>
  <c r="AH70" i="125"/>
  <c r="J4" i="78" s="1"/>
  <c r="N76" i="78" s="1"/>
  <c r="K76" i="78" s="1"/>
  <c r="AF70" i="125"/>
  <c r="H4" i="78" s="1"/>
  <c r="N74" i="78" s="1"/>
  <c r="K74" i="78" s="1"/>
  <c r="AI70" i="125"/>
  <c r="K4" i="78" s="1"/>
  <c r="N78" i="78" s="1"/>
  <c r="K78" i="78" s="1"/>
  <c r="AG70" i="125"/>
  <c r="I4" i="78" s="1"/>
  <c r="N75" i="78" s="1"/>
  <c r="K75" i="78" s="1"/>
  <c r="AE70" i="125"/>
  <c r="G4" i="78" s="1"/>
  <c r="AD70" i="125"/>
  <c r="F4" i="78" s="1"/>
  <c r="N77" i="78" s="1"/>
  <c r="K77" i="78" s="1"/>
  <c r="AA70" i="125"/>
  <c r="C4" i="78" s="1"/>
  <c r="AI72" i="125"/>
  <c r="K4" i="80" s="1"/>
  <c r="N78" i="80" s="1"/>
  <c r="K78" i="80" s="1"/>
  <c r="AA72" i="125"/>
  <c r="AH72" i="125"/>
  <c r="J4" i="80" s="1"/>
  <c r="N76" i="80" s="1"/>
  <c r="K76" i="80" s="1"/>
  <c r="AF72" i="125"/>
  <c r="H4" i="80" s="1"/>
  <c r="N74" i="80" s="1"/>
  <c r="K74" i="80" s="1"/>
  <c r="AD72" i="125"/>
  <c r="F4" i="80" s="1"/>
  <c r="N77" i="80" s="1"/>
  <c r="K77" i="80" s="1"/>
  <c r="AC72" i="125"/>
  <c r="E4" i="80" s="1"/>
  <c r="N72" i="80" s="1"/>
  <c r="K72" i="80" s="1"/>
  <c r="AJ72" i="125"/>
  <c r="L4" i="80" s="1"/>
  <c r="AG72" i="125"/>
  <c r="I4" i="80" s="1"/>
  <c r="N75" i="80" s="1"/>
  <c r="K75" i="80" s="1"/>
  <c r="AE72" i="125"/>
  <c r="G4" i="80" s="1"/>
  <c r="AB72" i="125"/>
  <c r="D4" i="80" s="1"/>
  <c r="N71" i="80" s="1"/>
  <c r="K71" i="80" s="1"/>
  <c r="AC75" i="125"/>
  <c r="AJ75" i="125"/>
  <c r="L4" i="83" s="1"/>
  <c r="AB75" i="125"/>
  <c r="D4" i="83" s="1"/>
  <c r="N71" i="83" s="1"/>
  <c r="K71" i="83" s="1"/>
  <c r="AH75" i="125"/>
  <c r="J4" i="83" s="1"/>
  <c r="N76" i="83" s="1"/>
  <c r="K76" i="83" s="1"/>
  <c r="AF75" i="125"/>
  <c r="H4" i="83" s="1"/>
  <c r="N74" i="83" s="1"/>
  <c r="K74" i="83" s="1"/>
  <c r="AA75" i="125"/>
  <c r="C4" i="83" s="1"/>
  <c r="AE75" i="125"/>
  <c r="G4" i="83" s="1"/>
  <c r="AI75" i="125"/>
  <c r="K4" i="83" s="1"/>
  <c r="N78" i="83" s="1"/>
  <c r="K78" i="83" s="1"/>
  <c r="AG75" i="125"/>
  <c r="I4" i="83" s="1"/>
  <c r="N75" i="83" s="1"/>
  <c r="K75" i="83" s="1"/>
  <c r="AD75" i="125"/>
  <c r="F4" i="83" s="1"/>
  <c r="N77" i="83" s="1"/>
  <c r="K77" i="83" s="1"/>
  <c r="U9" i="125"/>
  <c r="V9" i="125"/>
  <c r="P9" i="125"/>
  <c r="X9" i="125"/>
  <c r="O9" i="125"/>
  <c r="Q9" i="125"/>
  <c r="R9" i="125"/>
  <c r="S9" i="125"/>
  <c r="T9" i="125"/>
  <c r="W9" i="125"/>
  <c r="R41" i="125"/>
  <c r="U41" i="125"/>
  <c r="P41" i="125"/>
  <c r="Q41" i="125"/>
  <c r="T41" i="125"/>
  <c r="V41" i="125"/>
  <c r="O41" i="125"/>
  <c r="S41" i="125"/>
  <c r="X41" i="125"/>
  <c r="W41" i="125"/>
  <c r="AE14" i="125"/>
  <c r="G4" i="25" s="1"/>
  <c r="AD14" i="125"/>
  <c r="F4" i="25" s="1"/>
  <c r="N77" i="25" s="1"/>
  <c r="K77" i="25" s="1"/>
  <c r="AC14" i="125"/>
  <c r="AJ14" i="125"/>
  <c r="L4" i="25" s="1"/>
  <c r="AB14" i="125"/>
  <c r="D4" i="25" s="1"/>
  <c r="N71" i="25" s="1"/>
  <c r="K71" i="25" s="1"/>
  <c r="AG14" i="125"/>
  <c r="I4" i="25" s="1"/>
  <c r="N75" i="25" s="1"/>
  <c r="K75" i="25" s="1"/>
  <c r="AI14" i="125"/>
  <c r="K4" i="25" s="1"/>
  <c r="N78" i="25" s="1"/>
  <c r="K78" i="25" s="1"/>
  <c r="AA14" i="125"/>
  <c r="C4" i="25" s="1"/>
  <c r="AH14" i="125"/>
  <c r="J4" i="25" s="1"/>
  <c r="N76" i="25" s="1"/>
  <c r="K76" i="25" s="1"/>
  <c r="AF14" i="125"/>
  <c r="H4" i="25" s="1"/>
  <c r="N74" i="25" s="1"/>
  <c r="K74" i="25" s="1"/>
  <c r="Q91" i="125"/>
  <c r="S91" i="125"/>
  <c r="T91" i="125"/>
  <c r="U91" i="125"/>
  <c r="O91" i="125"/>
  <c r="W91" i="125"/>
  <c r="V91" i="125"/>
  <c r="X91" i="125"/>
  <c r="P91" i="125"/>
  <c r="R91" i="125"/>
  <c r="O12" i="125"/>
  <c r="W12" i="125"/>
  <c r="P12" i="125"/>
  <c r="X12" i="125"/>
  <c r="R12" i="125"/>
  <c r="V12" i="125"/>
  <c r="Q12" i="125"/>
  <c r="S12" i="125"/>
  <c r="T12" i="125"/>
  <c r="U12" i="125"/>
  <c r="P58" i="125"/>
  <c r="X58" i="125"/>
  <c r="Q58" i="125"/>
  <c r="T58" i="125"/>
  <c r="W58" i="125"/>
  <c r="O58" i="125"/>
  <c r="R58" i="125"/>
  <c r="U58" i="125"/>
  <c r="V58" i="125"/>
  <c r="S58" i="125"/>
  <c r="V51" i="125"/>
  <c r="O51" i="125"/>
  <c r="W51" i="125"/>
  <c r="Q51" i="125"/>
  <c r="R51" i="125"/>
  <c r="P51" i="125"/>
  <c r="T51" i="125"/>
  <c r="U51" i="125"/>
  <c r="X51" i="125"/>
  <c r="S51" i="125"/>
  <c r="AE53" i="125"/>
  <c r="G4" i="61" s="1"/>
  <c r="AD53" i="125"/>
  <c r="F4" i="61" s="1"/>
  <c r="N77" i="61" s="1"/>
  <c r="K77" i="61" s="1"/>
  <c r="AJ53" i="125"/>
  <c r="L4" i="61" s="1"/>
  <c r="AB53" i="125"/>
  <c r="D4" i="61" s="1"/>
  <c r="N71" i="61" s="1"/>
  <c r="K71" i="61" s="1"/>
  <c r="AH53" i="125"/>
  <c r="J4" i="61" s="1"/>
  <c r="N76" i="61" s="1"/>
  <c r="K76" i="61" s="1"/>
  <c r="AG53" i="125"/>
  <c r="I4" i="61" s="1"/>
  <c r="N75" i="61" s="1"/>
  <c r="K75" i="61" s="1"/>
  <c r="AF53" i="125"/>
  <c r="H4" i="61" s="1"/>
  <c r="N74" i="61" s="1"/>
  <c r="K74" i="61" s="1"/>
  <c r="AC53" i="125"/>
  <c r="E4" i="61" s="1"/>
  <c r="N72" i="61" s="1"/>
  <c r="K72" i="61" s="1"/>
  <c r="AA53" i="125"/>
  <c r="AI53" i="125"/>
  <c r="K4" i="61" s="1"/>
  <c r="N78" i="61" s="1"/>
  <c r="K78" i="61" s="1"/>
  <c r="V24" i="125"/>
  <c r="O24" i="125"/>
  <c r="W24" i="125"/>
  <c r="Q24" i="125"/>
  <c r="R24" i="125"/>
  <c r="S24" i="125"/>
  <c r="T24" i="125"/>
  <c r="U24" i="125"/>
  <c r="X24" i="125"/>
  <c r="P24" i="125"/>
  <c r="R49" i="125"/>
  <c r="S49" i="125"/>
  <c r="U49" i="125"/>
  <c r="V49" i="125"/>
  <c r="Q49" i="125"/>
  <c r="T49" i="125"/>
  <c r="X49" i="125"/>
  <c r="P49" i="125"/>
  <c r="O49" i="125"/>
  <c r="W49" i="125"/>
  <c r="R65" i="125"/>
  <c r="S65" i="125"/>
  <c r="V65" i="125"/>
  <c r="Q65" i="125"/>
  <c r="U65" i="125"/>
  <c r="W65" i="125"/>
  <c r="X65" i="125"/>
  <c r="O65" i="125"/>
  <c r="T65" i="125"/>
  <c r="P65" i="125"/>
  <c r="AG85" i="125"/>
  <c r="I4" i="92" s="1"/>
  <c r="N75" i="92" s="1"/>
  <c r="K75" i="92" s="1"/>
  <c r="AF85" i="125"/>
  <c r="H4" i="92" s="1"/>
  <c r="N74" i="92" s="1"/>
  <c r="K74" i="92" s="1"/>
  <c r="AD85" i="125"/>
  <c r="F4" i="92" s="1"/>
  <c r="N77" i="92" s="1"/>
  <c r="K77" i="92" s="1"/>
  <c r="AJ85" i="125"/>
  <c r="L4" i="92" s="1"/>
  <c r="AB85" i="125"/>
  <c r="D4" i="92" s="1"/>
  <c r="N71" i="92" s="1"/>
  <c r="K71" i="92" s="1"/>
  <c r="AI85" i="125"/>
  <c r="K4" i="92" s="1"/>
  <c r="N78" i="92" s="1"/>
  <c r="K78" i="92" s="1"/>
  <c r="AH85" i="125"/>
  <c r="J4" i="92" s="1"/>
  <c r="N76" i="92" s="1"/>
  <c r="K76" i="92" s="1"/>
  <c r="AA85" i="125"/>
  <c r="AE85" i="125"/>
  <c r="G4" i="92" s="1"/>
  <c r="AC85" i="125"/>
  <c r="E4" i="92" s="1"/>
  <c r="N72" i="92" s="1"/>
  <c r="K72" i="92" s="1"/>
  <c r="AG13" i="125"/>
  <c r="I4" i="24" s="1"/>
  <c r="N75" i="24" s="1"/>
  <c r="K75" i="24" s="1"/>
  <c r="AI13" i="125"/>
  <c r="K4" i="24" s="1"/>
  <c r="N78" i="24" s="1"/>
  <c r="K78" i="24" s="1"/>
  <c r="AF13" i="125"/>
  <c r="H4" i="24" s="1"/>
  <c r="N74" i="24" s="1"/>
  <c r="K74" i="24" s="1"/>
  <c r="AE13" i="125"/>
  <c r="G4" i="24" s="1"/>
  <c r="AA13" i="125"/>
  <c r="AD13" i="125"/>
  <c r="F4" i="24" s="1"/>
  <c r="N77" i="24" s="1"/>
  <c r="K77" i="24" s="1"/>
  <c r="AC13" i="125"/>
  <c r="E4" i="24" s="1"/>
  <c r="N72" i="24" s="1"/>
  <c r="K72" i="24" s="1"/>
  <c r="AJ13" i="125"/>
  <c r="L4" i="24" s="1"/>
  <c r="AB13" i="125"/>
  <c r="D4" i="24" s="1"/>
  <c r="N71" i="24" s="1"/>
  <c r="K71" i="24" s="1"/>
  <c r="AH13" i="125"/>
  <c r="J4" i="24" s="1"/>
  <c r="N76" i="24" s="1"/>
  <c r="K76" i="24" s="1"/>
  <c r="J18" i="125"/>
  <c r="AG81" i="125"/>
  <c r="I4" i="88" s="1"/>
  <c r="N75" i="88" s="1"/>
  <c r="K75" i="88" s="1"/>
  <c r="AF81" i="125"/>
  <c r="H4" i="88" s="1"/>
  <c r="N74" i="88" s="1"/>
  <c r="K74" i="88" s="1"/>
  <c r="AD81" i="125"/>
  <c r="F4" i="88" s="1"/>
  <c r="N77" i="88" s="1"/>
  <c r="K77" i="88" s="1"/>
  <c r="AJ81" i="125"/>
  <c r="L4" i="88" s="1"/>
  <c r="AB81" i="125"/>
  <c r="D4" i="88" s="1"/>
  <c r="N71" i="88" s="1"/>
  <c r="K71" i="88" s="1"/>
  <c r="AE81" i="125"/>
  <c r="G4" i="88" s="1"/>
  <c r="AC81" i="125"/>
  <c r="E4" i="88" s="1"/>
  <c r="N72" i="88" s="1"/>
  <c r="K72" i="88" s="1"/>
  <c r="AA81" i="125"/>
  <c r="AI81" i="125"/>
  <c r="K4" i="88" s="1"/>
  <c r="N78" i="88" s="1"/>
  <c r="K78" i="88" s="1"/>
  <c r="AH81" i="125"/>
  <c r="J4" i="88" s="1"/>
  <c r="N76" i="88" s="1"/>
  <c r="K76" i="88" s="1"/>
  <c r="AH97" i="125"/>
  <c r="J4" i="104" s="1"/>
  <c r="N76" i="104" s="1"/>
  <c r="K76" i="104" s="1"/>
  <c r="AG97" i="125"/>
  <c r="I4" i="104" s="1"/>
  <c r="N75" i="104" s="1"/>
  <c r="K75" i="104" s="1"/>
  <c r="AE97" i="125"/>
  <c r="G4" i="104" s="1"/>
  <c r="AC97" i="125"/>
  <c r="E4" i="104" s="1"/>
  <c r="N72" i="104" s="1"/>
  <c r="K72" i="104" s="1"/>
  <c r="AJ97" i="125"/>
  <c r="L4" i="104" s="1"/>
  <c r="AI97" i="125"/>
  <c r="K4" i="104" s="1"/>
  <c r="N78" i="104" s="1"/>
  <c r="K78" i="104" s="1"/>
  <c r="AB97" i="125"/>
  <c r="D4" i="104" s="1"/>
  <c r="N71" i="104" s="1"/>
  <c r="K71" i="104" s="1"/>
  <c r="AF97" i="125"/>
  <c r="H4" i="104" s="1"/>
  <c r="N74" i="104" s="1"/>
  <c r="K74" i="104" s="1"/>
  <c r="AD97" i="125"/>
  <c r="F4" i="104" s="1"/>
  <c r="N77" i="104" s="1"/>
  <c r="K77" i="104" s="1"/>
  <c r="AA97" i="125"/>
  <c r="O31" i="125"/>
  <c r="W31" i="125"/>
  <c r="P31" i="125"/>
  <c r="X31" i="125"/>
  <c r="R31" i="125"/>
  <c r="V31" i="125"/>
  <c r="Q31" i="125"/>
  <c r="S31" i="125"/>
  <c r="T31" i="125"/>
  <c r="U31" i="125"/>
  <c r="V39" i="125"/>
  <c r="Q39" i="125"/>
  <c r="O39" i="125"/>
  <c r="P39" i="125"/>
  <c r="S39" i="125"/>
  <c r="T39" i="125"/>
  <c r="X39" i="125"/>
  <c r="R39" i="125"/>
  <c r="W39" i="125"/>
  <c r="U39" i="125"/>
  <c r="AI84" i="125"/>
  <c r="K4" i="91" s="1"/>
  <c r="N78" i="91" s="1"/>
  <c r="K78" i="91" s="1"/>
  <c r="AA84" i="125"/>
  <c r="AH84" i="125"/>
  <c r="J4" i="91" s="1"/>
  <c r="N76" i="91" s="1"/>
  <c r="K76" i="91" s="1"/>
  <c r="AF84" i="125"/>
  <c r="H4" i="91" s="1"/>
  <c r="N74" i="91" s="1"/>
  <c r="K74" i="91" s="1"/>
  <c r="AD84" i="125"/>
  <c r="F4" i="91" s="1"/>
  <c r="N77" i="91" s="1"/>
  <c r="K77" i="91" s="1"/>
  <c r="AG84" i="125"/>
  <c r="I4" i="91" s="1"/>
  <c r="N75" i="91" s="1"/>
  <c r="K75" i="91" s="1"/>
  <c r="AE84" i="125"/>
  <c r="G4" i="91" s="1"/>
  <c r="AC84" i="125"/>
  <c r="E4" i="91" s="1"/>
  <c r="N72" i="91" s="1"/>
  <c r="K72" i="91" s="1"/>
  <c r="AB84" i="125"/>
  <c r="D4" i="91" s="1"/>
  <c r="N71" i="91" s="1"/>
  <c r="K71" i="91" s="1"/>
  <c r="AJ84" i="125"/>
  <c r="L4" i="91" s="1"/>
  <c r="AE22" i="125"/>
  <c r="G4" i="32" s="1"/>
  <c r="AG22" i="125"/>
  <c r="I4" i="32" s="1"/>
  <c r="N75" i="32" s="1"/>
  <c r="K75" i="32" s="1"/>
  <c r="AD22" i="125"/>
  <c r="F4" i="32" s="1"/>
  <c r="N77" i="32" s="1"/>
  <c r="K77" i="32" s="1"/>
  <c r="AC22" i="125"/>
  <c r="AJ22" i="125"/>
  <c r="L4" i="32" s="1"/>
  <c r="AB22" i="125"/>
  <c r="D4" i="32" s="1"/>
  <c r="N71" i="32" s="1"/>
  <c r="K71" i="32" s="1"/>
  <c r="AI22" i="125"/>
  <c r="K4" i="32" s="1"/>
  <c r="N78" i="32" s="1"/>
  <c r="K78" i="32" s="1"/>
  <c r="AA22" i="125"/>
  <c r="C4" i="32" s="1"/>
  <c r="AH22" i="125"/>
  <c r="J4" i="32" s="1"/>
  <c r="N76" i="32" s="1"/>
  <c r="K76" i="32" s="1"/>
  <c r="AF22" i="125"/>
  <c r="H4" i="32" s="1"/>
  <c r="N74" i="32" s="1"/>
  <c r="K74" i="32" s="1"/>
  <c r="AE10" i="125"/>
  <c r="G4" i="21" s="1"/>
  <c r="AD10" i="125"/>
  <c r="F4" i="21" s="1"/>
  <c r="N77" i="21" s="1"/>
  <c r="K77" i="21" s="1"/>
  <c r="AG10" i="125"/>
  <c r="I4" i="21" s="1"/>
  <c r="N75" i="21" s="1"/>
  <c r="K75" i="21" s="1"/>
  <c r="AC10" i="125"/>
  <c r="E4" i="21" s="1"/>
  <c r="N72" i="21" s="1"/>
  <c r="K72" i="21" s="1"/>
  <c r="AJ10" i="125"/>
  <c r="L4" i="21" s="1"/>
  <c r="AB10" i="125"/>
  <c r="D4" i="21" s="1"/>
  <c r="N71" i="21" s="1"/>
  <c r="K71" i="21" s="1"/>
  <c r="AI10" i="125"/>
  <c r="K4" i="21" s="1"/>
  <c r="N78" i="21" s="1"/>
  <c r="K78" i="21" s="1"/>
  <c r="AA10" i="125"/>
  <c r="AH10" i="125"/>
  <c r="J4" i="21" s="1"/>
  <c r="N76" i="21" s="1"/>
  <c r="K76" i="21" s="1"/>
  <c r="AF10" i="125"/>
  <c r="H4" i="21" s="1"/>
  <c r="N74" i="21" s="1"/>
  <c r="K74" i="21" s="1"/>
  <c r="AH88" i="125"/>
  <c r="J4" i="95" s="1"/>
  <c r="N76" i="95" s="1"/>
  <c r="K76" i="95" s="1"/>
  <c r="AG88" i="125"/>
  <c r="I4" i="95" s="1"/>
  <c r="N75" i="95" s="1"/>
  <c r="K75" i="95" s="1"/>
  <c r="AE88" i="125"/>
  <c r="G4" i="95" s="1"/>
  <c r="AC88" i="125"/>
  <c r="E4" i="95" s="1"/>
  <c r="N72" i="95" s="1"/>
  <c r="K72" i="95" s="1"/>
  <c r="AJ88" i="125"/>
  <c r="L4" i="95" s="1"/>
  <c r="AI88" i="125"/>
  <c r="K4" i="95" s="1"/>
  <c r="N78" i="95" s="1"/>
  <c r="K78" i="95" s="1"/>
  <c r="AB88" i="125"/>
  <c r="D4" i="95" s="1"/>
  <c r="N71" i="95" s="1"/>
  <c r="K71" i="95" s="1"/>
  <c r="AF88" i="125"/>
  <c r="H4" i="95" s="1"/>
  <c r="N74" i="95" s="1"/>
  <c r="K74" i="95" s="1"/>
  <c r="AD88" i="125"/>
  <c r="F4" i="95" s="1"/>
  <c r="N77" i="95" s="1"/>
  <c r="K77" i="95" s="1"/>
  <c r="AA88" i="125"/>
  <c r="AG48" i="125"/>
  <c r="I4" i="57" s="1"/>
  <c r="N75" i="57" s="1"/>
  <c r="K75" i="57" s="1"/>
  <c r="AF48" i="125"/>
  <c r="H4" i="57" s="1"/>
  <c r="N74" i="57" s="1"/>
  <c r="K74" i="57" s="1"/>
  <c r="AD48" i="125"/>
  <c r="F4" i="57" s="1"/>
  <c r="N77" i="57" s="1"/>
  <c r="K77" i="57" s="1"/>
  <c r="AH48" i="125"/>
  <c r="J4" i="57" s="1"/>
  <c r="N76" i="57" s="1"/>
  <c r="K76" i="57" s="1"/>
  <c r="AE48" i="125"/>
  <c r="G4" i="57" s="1"/>
  <c r="AC48" i="125"/>
  <c r="E4" i="57" s="1"/>
  <c r="N72" i="57" s="1"/>
  <c r="K72" i="57" s="1"/>
  <c r="AJ48" i="125"/>
  <c r="L4" i="57" s="1"/>
  <c r="AB48" i="125"/>
  <c r="D4" i="57" s="1"/>
  <c r="N71" i="57" s="1"/>
  <c r="K71" i="57" s="1"/>
  <c r="AA48" i="125"/>
  <c r="AI48" i="125"/>
  <c r="K4" i="57" s="1"/>
  <c r="N78" i="57" s="1"/>
  <c r="K78" i="57" s="1"/>
  <c r="T29" i="125"/>
  <c r="U29" i="125"/>
  <c r="O29" i="125"/>
  <c r="W29" i="125"/>
  <c r="R29" i="125"/>
  <c r="S29" i="125"/>
  <c r="V29" i="125"/>
  <c r="X29" i="125"/>
  <c r="Q29" i="125"/>
  <c r="P29" i="125"/>
  <c r="O35" i="125"/>
  <c r="W35" i="125"/>
  <c r="R35" i="125"/>
  <c r="Q35" i="125"/>
  <c r="S35" i="125"/>
  <c r="U35" i="125"/>
  <c r="V35" i="125"/>
  <c r="P35" i="125"/>
  <c r="T35" i="125"/>
  <c r="X35" i="125"/>
  <c r="R103" i="125"/>
  <c r="T103" i="125"/>
  <c r="U103" i="125"/>
  <c r="V103" i="125"/>
  <c r="P103" i="125"/>
  <c r="X103" i="125"/>
  <c r="Q103" i="125"/>
  <c r="S103" i="125"/>
  <c r="O103" i="125"/>
  <c r="W103" i="125"/>
  <c r="AC66" i="125"/>
  <c r="E4" i="74" s="1"/>
  <c r="N72" i="74" s="1"/>
  <c r="K72" i="74" s="1"/>
  <c r="AJ66" i="125"/>
  <c r="L4" i="74" s="1"/>
  <c r="AB66" i="125"/>
  <c r="D4" i="74" s="1"/>
  <c r="N71" i="74" s="1"/>
  <c r="K71" i="74" s="1"/>
  <c r="AH66" i="125"/>
  <c r="J4" i="74" s="1"/>
  <c r="N76" i="74" s="1"/>
  <c r="K76" i="74" s="1"/>
  <c r="AF66" i="125"/>
  <c r="H4" i="74" s="1"/>
  <c r="N74" i="74" s="1"/>
  <c r="K74" i="74" s="1"/>
  <c r="AA66" i="125"/>
  <c r="AI66" i="125"/>
  <c r="K4" i="74" s="1"/>
  <c r="N78" i="74" s="1"/>
  <c r="K78" i="74" s="1"/>
  <c r="AG66" i="125"/>
  <c r="I4" i="74" s="1"/>
  <c r="N75" i="74" s="1"/>
  <c r="K75" i="74" s="1"/>
  <c r="AE66" i="125"/>
  <c r="G4" i="74" s="1"/>
  <c r="AD66" i="125"/>
  <c r="F4" i="74" s="1"/>
  <c r="N77" i="74" s="1"/>
  <c r="K77" i="74" s="1"/>
  <c r="AF37" i="125"/>
  <c r="H4" i="46" s="1"/>
  <c r="N74" i="46" s="1"/>
  <c r="K74" i="46" s="1"/>
  <c r="AE37" i="125"/>
  <c r="G4" i="46" s="1"/>
  <c r="AC37" i="125"/>
  <c r="E4" i="46" s="1"/>
  <c r="N72" i="46" s="1"/>
  <c r="K72" i="46" s="1"/>
  <c r="AB37" i="125"/>
  <c r="D4" i="46" s="1"/>
  <c r="N71" i="46" s="1"/>
  <c r="K71" i="46" s="1"/>
  <c r="AA37" i="125"/>
  <c r="AG37" i="125"/>
  <c r="I4" i="46" s="1"/>
  <c r="N75" i="46" s="1"/>
  <c r="K75" i="46" s="1"/>
  <c r="AJ37" i="125"/>
  <c r="L4" i="46" s="1"/>
  <c r="AI37" i="125"/>
  <c r="K4" i="46" s="1"/>
  <c r="N78" i="46" s="1"/>
  <c r="K78" i="46" s="1"/>
  <c r="AH37" i="125"/>
  <c r="J4" i="46" s="1"/>
  <c r="N76" i="46" s="1"/>
  <c r="K76" i="46" s="1"/>
  <c r="AD37" i="125"/>
  <c r="F4" i="46" s="1"/>
  <c r="N77" i="46" s="1"/>
  <c r="K77" i="46" s="1"/>
  <c r="AC83" i="125"/>
  <c r="AJ83" i="125"/>
  <c r="L4" i="90" s="1"/>
  <c r="AB83" i="125"/>
  <c r="D4" i="90" s="1"/>
  <c r="N71" i="90" s="1"/>
  <c r="K71" i="90" s="1"/>
  <c r="AH83" i="125"/>
  <c r="J4" i="90" s="1"/>
  <c r="N76" i="90" s="1"/>
  <c r="K76" i="90" s="1"/>
  <c r="AF83" i="125"/>
  <c r="H4" i="90" s="1"/>
  <c r="N74" i="90" s="1"/>
  <c r="K74" i="90" s="1"/>
  <c r="AA83" i="125"/>
  <c r="C4" i="90" s="1"/>
  <c r="AE83" i="125"/>
  <c r="G4" i="90" s="1"/>
  <c r="AI83" i="125"/>
  <c r="K4" i="90" s="1"/>
  <c r="N78" i="90" s="1"/>
  <c r="K78" i="90" s="1"/>
  <c r="AG83" i="125"/>
  <c r="I4" i="90" s="1"/>
  <c r="N75" i="90" s="1"/>
  <c r="K75" i="90" s="1"/>
  <c r="AD83" i="125"/>
  <c r="F4" i="90" s="1"/>
  <c r="N77" i="90" s="1"/>
  <c r="K77" i="90" s="1"/>
  <c r="AG56" i="125"/>
  <c r="I4" i="64" s="1"/>
  <c r="N75" i="64" s="1"/>
  <c r="K75" i="64" s="1"/>
  <c r="AF56" i="125"/>
  <c r="H4" i="64" s="1"/>
  <c r="N74" i="64" s="1"/>
  <c r="K74" i="64" s="1"/>
  <c r="AD56" i="125"/>
  <c r="F4" i="64" s="1"/>
  <c r="N77" i="64" s="1"/>
  <c r="K77" i="64" s="1"/>
  <c r="AJ56" i="125"/>
  <c r="L4" i="64" s="1"/>
  <c r="AB56" i="125"/>
  <c r="D4" i="64" s="1"/>
  <c r="N71" i="64" s="1"/>
  <c r="K71" i="64" s="1"/>
  <c r="AE56" i="125"/>
  <c r="G4" i="64" s="1"/>
  <c r="AC56" i="125"/>
  <c r="E4" i="64" s="1"/>
  <c r="N72" i="64" s="1"/>
  <c r="K72" i="64" s="1"/>
  <c r="AI56" i="125"/>
  <c r="K4" i="64" s="1"/>
  <c r="N78" i="64" s="1"/>
  <c r="K78" i="64" s="1"/>
  <c r="AA56" i="125"/>
  <c r="AH56" i="125"/>
  <c r="J4" i="64" s="1"/>
  <c r="N76" i="64" s="1"/>
  <c r="K76" i="64" s="1"/>
  <c r="I18" i="125"/>
  <c r="AJ96" i="125"/>
  <c r="L4" i="103" s="1"/>
  <c r="AB96" i="125"/>
  <c r="D4" i="103" s="1"/>
  <c r="N71" i="103" s="1"/>
  <c r="K71" i="103" s="1"/>
  <c r="AI96" i="125"/>
  <c r="K4" i="103" s="1"/>
  <c r="N78" i="103" s="1"/>
  <c r="K78" i="103" s="1"/>
  <c r="AA96" i="125"/>
  <c r="AG96" i="125"/>
  <c r="I4" i="103" s="1"/>
  <c r="N75" i="103" s="1"/>
  <c r="K75" i="103" s="1"/>
  <c r="AE96" i="125"/>
  <c r="G4" i="103" s="1"/>
  <c r="AH96" i="125"/>
  <c r="J4" i="103" s="1"/>
  <c r="N76" i="103" s="1"/>
  <c r="K76" i="103" s="1"/>
  <c r="AF96" i="125"/>
  <c r="H4" i="103" s="1"/>
  <c r="N74" i="103" s="1"/>
  <c r="K74" i="103" s="1"/>
  <c r="AD96" i="125"/>
  <c r="F4" i="103" s="1"/>
  <c r="N77" i="103" s="1"/>
  <c r="K77" i="103" s="1"/>
  <c r="AC96" i="125"/>
  <c r="E4" i="103" s="1"/>
  <c r="N72" i="103" s="1"/>
  <c r="K72" i="103" s="1"/>
  <c r="AD42" i="125"/>
  <c r="F4" i="51" s="1"/>
  <c r="N77" i="51" s="1"/>
  <c r="K77" i="51" s="1"/>
  <c r="AC42" i="125"/>
  <c r="E4" i="51" s="1"/>
  <c r="N72" i="51" s="1"/>
  <c r="K72" i="51" s="1"/>
  <c r="AI42" i="125"/>
  <c r="K4" i="51" s="1"/>
  <c r="N78" i="51" s="1"/>
  <c r="K78" i="51" s="1"/>
  <c r="AA42" i="125"/>
  <c r="AE42" i="125"/>
  <c r="G4" i="51" s="1"/>
  <c r="AG42" i="125"/>
  <c r="I4" i="51" s="1"/>
  <c r="N75" i="51" s="1"/>
  <c r="K75" i="51" s="1"/>
  <c r="AB42" i="125"/>
  <c r="D4" i="51" s="1"/>
  <c r="N71" i="51" s="1"/>
  <c r="K71" i="51" s="1"/>
  <c r="AJ42" i="125"/>
  <c r="L4" i="51" s="1"/>
  <c r="AH42" i="125"/>
  <c r="J4" i="51" s="1"/>
  <c r="N76" i="51" s="1"/>
  <c r="K76" i="51" s="1"/>
  <c r="AF42" i="125"/>
  <c r="H4" i="51" s="1"/>
  <c r="N74" i="51" s="1"/>
  <c r="K74" i="51" s="1"/>
  <c r="Z97" i="125"/>
  <c r="M96" i="9" s="1"/>
  <c r="P96" i="9" s="1"/>
  <c r="AJ31" i="125"/>
  <c r="L4" i="41" s="1"/>
  <c r="AB31" i="125"/>
  <c r="AH31" i="125"/>
  <c r="J4" i="41" s="1"/>
  <c r="N76" i="41" s="1"/>
  <c r="K76" i="41" s="1"/>
  <c r="AG31" i="125"/>
  <c r="I4" i="41" s="1"/>
  <c r="N75" i="41" s="1"/>
  <c r="K75" i="41" s="1"/>
  <c r="AF31" i="125"/>
  <c r="H4" i="41" s="1"/>
  <c r="N74" i="41" s="1"/>
  <c r="K74" i="41" s="1"/>
  <c r="AA31" i="125"/>
  <c r="C4" i="41" s="1"/>
  <c r="AE31" i="125"/>
  <c r="G4" i="41" s="1"/>
  <c r="AD31" i="125"/>
  <c r="F4" i="41" s="1"/>
  <c r="N77" i="41" s="1"/>
  <c r="K77" i="41" s="1"/>
  <c r="AC31" i="125"/>
  <c r="E4" i="41" s="1"/>
  <c r="N72" i="41" s="1"/>
  <c r="K72" i="41" s="1"/>
  <c r="AI31" i="125"/>
  <c r="K4" i="41" s="1"/>
  <c r="N78" i="41" s="1"/>
  <c r="K78" i="41" s="1"/>
  <c r="AJ39" i="125"/>
  <c r="L4" i="48" s="1"/>
  <c r="AB39" i="125"/>
  <c r="AI39" i="125"/>
  <c r="K4" i="48" s="1"/>
  <c r="N78" i="48" s="1"/>
  <c r="K78" i="48" s="1"/>
  <c r="AA39" i="125"/>
  <c r="C4" i="48" s="1"/>
  <c r="AG39" i="125"/>
  <c r="I4" i="48" s="1"/>
  <c r="N75" i="48" s="1"/>
  <c r="K75" i="48" s="1"/>
  <c r="AH39" i="125"/>
  <c r="J4" i="48" s="1"/>
  <c r="N76" i="48" s="1"/>
  <c r="K76" i="48" s="1"/>
  <c r="AF39" i="125"/>
  <c r="H4" i="48" s="1"/>
  <c r="N74" i="48" s="1"/>
  <c r="K74" i="48" s="1"/>
  <c r="AE39" i="125"/>
  <c r="G4" i="48" s="1"/>
  <c r="AD39" i="125"/>
  <c r="F4" i="48" s="1"/>
  <c r="N77" i="48" s="1"/>
  <c r="K77" i="48" s="1"/>
  <c r="AC39" i="125"/>
  <c r="E4" i="48" s="1"/>
  <c r="N72" i="48" s="1"/>
  <c r="K72" i="48" s="1"/>
  <c r="Z84" i="125"/>
  <c r="M83" i="9" s="1"/>
  <c r="P83" i="9" s="1"/>
  <c r="AK80" i="125"/>
  <c r="T52" i="125"/>
  <c r="G52" i="125" s="1"/>
  <c r="U52" i="125"/>
  <c r="H52" i="125" s="1"/>
  <c r="P52" i="125"/>
  <c r="C52" i="125" s="1"/>
  <c r="X52" i="125"/>
  <c r="K52" i="125" s="1"/>
  <c r="S52" i="125"/>
  <c r="F52" i="125" s="1"/>
  <c r="W52" i="125"/>
  <c r="J52" i="125" s="1"/>
  <c r="Q52" i="125"/>
  <c r="D52" i="125" s="1"/>
  <c r="O52" i="125"/>
  <c r="R52" i="125"/>
  <c r="E52" i="125" s="1"/>
  <c r="V52" i="125"/>
  <c r="I52" i="125" s="1"/>
  <c r="Z10" i="125"/>
  <c r="M9" i="9" s="1"/>
  <c r="P9" i="9" s="1"/>
  <c r="Z88" i="125"/>
  <c r="M87" i="9" s="1"/>
  <c r="P87" i="9" s="1"/>
  <c r="Z48" i="125"/>
  <c r="M47" i="9" s="1"/>
  <c r="P47" i="9" s="1"/>
  <c r="AF29" i="125"/>
  <c r="H4" i="39" s="1"/>
  <c r="N74" i="39" s="1"/>
  <c r="K74" i="39" s="1"/>
  <c r="AJ29" i="125"/>
  <c r="L4" i="39" s="1"/>
  <c r="AA29" i="125"/>
  <c r="AI29" i="125"/>
  <c r="K4" i="39" s="1"/>
  <c r="N78" i="39" s="1"/>
  <c r="K78" i="39" s="1"/>
  <c r="AH29" i="125"/>
  <c r="J4" i="39" s="1"/>
  <c r="N76" i="39" s="1"/>
  <c r="K76" i="39" s="1"/>
  <c r="AG29" i="125"/>
  <c r="I4" i="39" s="1"/>
  <c r="N75" i="39" s="1"/>
  <c r="K75" i="39" s="1"/>
  <c r="AE29" i="125"/>
  <c r="G4" i="39" s="1"/>
  <c r="AD29" i="125"/>
  <c r="F4" i="39" s="1"/>
  <c r="N77" i="39" s="1"/>
  <c r="K77" i="39" s="1"/>
  <c r="AC29" i="125"/>
  <c r="E4" i="39" s="1"/>
  <c r="N72" i="39" s="1"/>
  <c r="K72" i="39" s="1"/>
  <c r="AB29" i="125"/>
  <c r="D4" i="39" s="1"/>
  <c r="N71" i="39" s="1"/>
  <c r="K71" i="39" s="1"/>
  <c r="AJ35" i="125"/>
  <c r="L4" i="45" s="1"/>
  <c r="AB35" i="125"/>
  <c r="D4" i="45" s="1"/>
  <c r="N71" i="45" s="1"/>
  <c r="K71" i="45" s="1"/>
  <c r="AI35" i="125"/>
  <c r="K4" i="45" s="1"/>
  <c r="N78" i="45" s="1"/>
  <c r="K78" i="45" s="1"/>
  <c r="AA35" i="125"/>
  <c r="C4" i="45" s="1"/>
  <c r="AG35" i="125"/>
  <c r="I4" i="45" s="1"/>
  <c r="N75" i="45" s="1"/>
  <c r="K75" i="45" s="1"/>
  <c r="AC35" i="125"/>
  <c r="AH35" i="125"/>
  <c r="J4" i="45" s="1"/>
  <c r="N76" i="45" s="1"/>
  <c r="K76" i="45" s="1"/>
  <c r="AF35" i="125"/>
  <c r="H4" i="45" s="1"/>
  <c r="N74" i="45" s="1"/>
  <c r="K74" i="45" s="1"/>
  <c r="AE35" i="125"/>
  <c r="G4" i="45" s="1"/>
  <c r="AD35" i="125"/>
  <c r="F4" i="45" s="1"/>
  <c r="N77" i="45" s="1"/>
  <c r="K77" i="45" s="1"/>
  <c r="AF103" i="125"/>
  <c r="H4" i="110" s="1"/>
  <c r="N74" i="110" s="1"/>
  <c r="K74" i="110" s="1"/>
  <c r="AJ103" i="125"/>
  <c r="L4" i="110" s="1"/>
  <c r="AB103" i="125"/>
  <c r="AG103" i="125"/>
  <c r="I4" i="110" s="1"/>
  <c r="N75" i="110" s="1"/>
  <c r="K75" i="110" s="1"/>
  <c r="AE103" i="125"/>
  <c r="G4" i="110" s="1"/>
  <c r="AC103" i="125"/>
  <c r="E4" i="110" s="1"/>
  <c r="N72" i="110" s="1"/>
  <c r="K72" i="110" s="1"/>
  <c r="AD103" i="125"/>
  <c r="F4" i="110" s="1"/>
  <c r="N77" i="110" s="1"/>
  <c r="K77" i="110" s="1"/>
  <c r="AI103" i="125"/>
  <c r="K4" i="110" s="1"/>
  <c r="N78" i="110" s="1"/>
  <c r="K78" i="110" s="1"/>
  <c r="AA103" i="125"/>
  <c r="C4" i="110" s="1"/>
  <c r="AH103" i="125"/>
  <c r="J4" i="110" s="1"/>
  <c r="N76" i="110" s="1"/>
  <c r="K76" i="110" s="1"/>
  <c r="Z66" i="125"/>
  <c r="M65" i="9" s="1"/>
  <c r="P65" i="9" s="1"/>
  <c r="AH44" i="125"/>
  <c r="J4" i="53" s="1"/>
  <c r="N76" i="53" s="1"/>
  <c r="K76" i="53" s="1"/>
  <c r="AG44" i="125"/>
  <c r="I4" i="53" s="1"/>
  <c r="N75" i="53" s="1"/>
  <c r="K75" i="53" s="1"/>
  <c r="AE44" i="125"/>
  <c r="G4" i="53" s="1"/>
  <c r="AJ44" i="125"/>
  <c r="L4" i="53" s="1"/>
  <c r="AI44" i="125"/>
  <c r="K4" i="53" s="1"/>
  <c r="N78" i="53" s="1"/>
  <c r="K78" i="53" s="1"/>
  <c r="AF44" i="125"/>
  <c r="H4" i="53" s="1"/>
  <c r="N74" i="53" s="1"/>
  <c r="K74" i="53" s="1"/>
  <c r="AD44" i="125"/>
  <c r="F4" i="53" s="1"/>
  <c r="N77" i="53" s="1"/>
  <c r="K77" i="53" s="1"/>
  <c r="AC44" i="125"/>
  <c r="E4" i="53" s="1"/>
  <c r="N72" i="53" s="1"/>
  <c r="K72" i="53" s="1"/>
  <c r="AB44" i="125"/>
  <c r="D4" i="53" s="1"/>
  <c r="N71" i="53" s="1"/>
  <c r="K71" i="53" s="1"/>
  <c r="AA44" i="125"/>
  <c r="AF98" i="125"/>
  <c r="H4" i="105" s="1"/>
  <c r="N74" i="105" s="1"/>
  <c r="K74" i="105" s="1"/>
  <c r="AE98" i="125"/>
  <c r="G4" i="105" s="1"/>
  <c r="AC98" i="125"/>
  <c r="E4" i="105" s="1"/>
  <c r="N72" i="105" s="1"/>
  <c r="K72" i="105" s="1"/>
  <c r="AI98" i="125"/>
  <c r="K4" i="105" s="1"/>
  <c r="N78" i="105" s="1"/>
  <c r="K78" i="105" s="1"/>
  <c r="AA98" i="125"/>
  <c r="AD98" i="125"/>
  <c r="F4" i="105" s="1"/>
  <c r="N77" i="105" s="1"/>
  <c r="K77" i="105" s="1"/>
  <c r="AB98" i="125"/>
  <c r="D4" i="105" s="1"/>
  <c r="N71" i="105" s="1"/>
  <c r="K71" i="105" s="1"/>
  <c r="AJ98" i="125"/>
  <c r="L4" i="105" s="1"/>
  <c r="AH98" i="125"/>
  <c r="J4" i="105" s="1"/>
  <c r="N76" i="105" s="1"/>
  <c r="K76" i="105" s="1"/>
  <c r="AG98" i="125"/>
  <c r="I4" i="105" s="1"/>
  <c r="N75" i="105" s="1"/>
  <c r="K75" i="105" s="1"/>
  <c r="AI16" i="125"/>
  <c r="K4" i="27" s="1"/>
  <c r="N78" i="27" s="1"/>
  <c r="K78" i="27" s="1"/>
  <c r="AA16" i="125"/>
  <c r="AH16" i="125"/>
  <c r="J4" i="27" s="1"/>
  <c r="N76" i="27" s="1"/>
  <c r="K76" i="27" s="1"/>
  <c r="AC16" i="125"/>
  <c r="E4" i="27" s="1"/>
  <c r="N72" i="27" s="1"/>
  <c r="K72" i="27" s="1"/>
  <c r="AG16" i="125"/>
  <c r="I4" i="27" s="1"/>
  <c r="N75" i="27" s="1"/>
  <c r="K75" i="27" s="1"/>
  <c r="AF16" i="125"/>
  <c r="H4" i="27" s="1"/>
  <c r="N74" i="27" s="1"/>
  <c r="K74" i="27" s="1"/>
  <c r="AE16" i="125"/>
  <c r="G4" i="27" s="1"/>
  <c r="AD16" i="125"/>
  <c r="F4" i="27" s="1"/>
  <c r="N77" i="27" s="1"/>
  <c r="K77" i="27" s="1"/>
  <c r="AJ16" i="125"/>
  <c r="L4" i="27" s="1"/>
  <c r="AB16" i="125"/>
  <c r="D4" i="27" s="1"/>
  <c r="N71" i="27" s="1"/>
  <c r="K71" i="27" s="1"/>
  <c r="AE74" i="125"/>
  <c r="G4" i="82" s="1"/>
  <c r="AD74" i="125"/>
  <c r="F4" i="82" s="1"/>
  <c r="N77" i="82" s="1"/>
  <c r="K77" i="82" s="1"/>
  <c r="AJ74" i="125"/>
  <c r="L4" i="82" s="1"/>
  <c r="AB74" i="125"/>
  <c r="D4" i="82" s="1"/>
  <c r="N71" i="82" s="1"/>
  <c r="K71" i="82" s="1"/>
  <c r="AH74" i="125"/>
  <c r="J4" i="82" s="1"/>
  <c r="N76" i="82" s="1"/>
  <c r="K76" i="82" s="1"/>
  <c r="AI74" i="125"/>
  <c r="K4" i="82" s="1"/>
  <c r="N78" i="82" s="1"/>
  <c r="K78" i="82" s="1"/>
  <c r="AG74" i="125"/>
  <c r="I4" i="82" s="1"/>
  <c r="N75" i="82" s="1"/>
  <c r="K75" i="82" s="1"/>
  <c r="AF74" i="125"/>
  <c r="H4" i="82" s="1"/>
  <c r="N74" i="82" s="1"/>
  <c r="K74" i="82" s="1"/>
  <c r="AC74" i="125"/>
  <c r="E4" i="82" s="1"/>
  <c r="N72" i="82" s="1"/>
  <c r="K72" i="82" s="1"/>
  <c r="AA74" i="125"/>
  <c r="AK18" i="125"/>
  <c r="AG68" i="125"/>
  <c r="I4" i="76" s="1"/>
  <c r="N75" i="76" s="1"/>
  <c r="K75" i="76" s="1"/>
  <c r="AF68" i="125"/>
  <c r="H4" i="76" s="1"/>
  <c r="N74" i="76" s="1"/>
  <c r="K74" i="76" s="1"/>
  <c r="AD68" i="125"/>
  <c r="F4" i="76" s="1"/>
  <c r="N77" i="76" s="1"/>
  <c r="K77" i="76" s="1"/>
  <c r="AJ68" i="125"/>
  <c r="L4" i="76" s="1"/>
  <c r="AB68" i="125"/>
  <c r="D4" i="76" s="1"/>
  <c r="N71" i="76" s="1"/>
  <c r="K71" i="76" s="1"/>
  <c r="AA68" i="125"/>
  <c r="AI68" i="125"/>
  <c r="K4" i="76" s="1"/>
  <c r="N78" i="76" s="1"/>
  <c r="K78" i="76" s="1"/>
  <c r="AH68" i="125"/>
  <c r="J4" i="76" s="1"/>
  <c r="N76" i="76" s="1"/>
  <c r="K76" i="76" s="1"/>
  <c r="AE68" i="125"/>
  <c r="G4" i="76" s="1"/>
  <c r="AC68" i="125"/>
  <c r="E4" i="76" s="1"/>
  <c r="N72" i="76" s="1"/>
  <c r="K72" i="76" s="1"/>
  <c r="Z56" i="125"/>
  <c r="M55" i="9" s="1"/>
  <c r="P55" i="9" s="1"/>
  <c r="Y18" i="125"/>
  <c r="G18" i="125"/>
  <c r="Z96" i="125"/>
  <c r="M95" i="9" s="1"/>
  <c r="P95" i="9" s="1"/>
  <c r="Z42" i="125"/>
  <c r="M41" i="9" s="1"/>
  <c r="P41" i="9" s="1"/>
  <c r="AI76" i="125"/>
  <c r="K4" i="84" s="1"/>
  <c r="N78" i="84" s="1"/>
  <c r="K78" i="84" s="1"/>
  <c r="AA76" i="125"/>
  <c r="AH76" i="125"/>
  <c r="J4" i="84" s="1"/>
  <c r="N76" i="84" s="1"/>
  <c r="K76" i="84" s="1"/>
  <c r="AF76" i="125"/>
  <c r="H4" i="84" s="1"/>
  <c r="N74" i="84" s="1"/>
  <c r="K74" i="84" s="1"/>
  <c r="AD76" i="125"/>
  <c r="F4" i="84" s="1"/>
  <c r="N77" i="84" s="1"/>
  <c r="K77" i="84" s="1"/>
  <c r="AG76" i="125"/>
  <c r="I4" i="84" s="1"/>
  <c r="N75" i="84" s="1"/>
  <c r="K75" i="84" s="1"/>
  <c r="AE76" i="125"/>
  <c r="G4" i="84" s="1"/>
  <c r="AC76" i="125"/>
  <c r="E4" i="84" s="1"/>
  <c r="N72" i="84" s="1"/>
  <c r="K72" i="84" s="1"/>
  <c r="AB76" i="125"/>
  <c r="D4" i="84" s="1"/>
  <c r="N71" i="84" s="1"/>
  <c r="K71" i="84" s="1"/>
  <c r="AJ76" i="125"/>
  <c r="L4" i="84" s="1"/>
  <c r="AD34" i="125"/>
  <c r="F4" i="44" s="1"/>
  <c r="N77" i="44" s="1"/>
  <c r="K77" i="44" s="1"/>
  <c r="AC34" i="125"/>
  <c r="E4" i="44" s="1"/>
  <c r="N72" i="44" s="1"/>
  <c r="K72" i="44" s="1"/>
  <c r="AI34" i="125"/>
  <c r="K4" i="44" s="1"/>
  <c r="N78" i="44" s="1"/>
  <c r="K78" i="44" s="1"/>
  <c r="AA34" i="125"/>
  <c r="AJ34" i="125"/>
  <c r="L4" i="44" s="1"/>
  <c r="AH34" i="125"/>
  <c r="J4" i="44" s="1"/>
  <c r="N76" i="44" s="1"/>
  <c r="K76" i="44" s="1"/>
  <c r="AG34" i="125"/>
  <c r="I4" i="44" s="1"/>
  <c r="N75" i="44" s="1"/>
  <c r="K75" i="44" s="1"/>
  <c r="AB34" i="125"/>
  <c r="D4" i="44" s="1"/>
  <c r="N71" i="44" s="1"/>
  <c r="K71" i="44" s="1"/>
  <c r="AF34" i="125"/>
  <c r="H4" i="44" s="1"/>
  <c r="N74" i="44" s="1"/>
  <c r="K74" i="44" s="1"/>
  <c r="AE34" i="125"/>
  <c r="G4" i="44" s="1"/>
  <c r="S95" i="125"/>
  <c r="U95" i="125"/>
  <c r="V95" i="125"/>
  <c r="O95" i="125"/>
  <c r="W95" i="125"/>
  <c r="Q95" i="125"/>
  <c r="P95" i="125"/>
  <c r="T95" i="125"/>
  <c r="R95" i="125"/>
  <c r="X95" i="125"/>
  <c r="AH32" i="125"/>
  <c r="J4" i="42" s="1"/>
  <c r="N76" i="42" s="1"/>
  <c r="K76" i="42" s="1"/>
  <c r="AG32" i="125"/>
  <c r="I4" i="42" s="1"/>
  <c r="N75" i="42" s="1"/>
  <c r="K75" i="42" s="1"/>
  <c r="AJ32" i="125"/>
  <c r="L4" i="42" s="1"/>
  <c r="AF32" i="125"/>
  <c r="H4" i="42" s="1"/>
  <c r="N74" i="42" s="1"/>
  <c r="K74" i="42" s="1"/>
  <c r="AE32" i="125"/>
  <c r="G4" i="42" s="1"/>
  <c r="AD32" i="125"/>
  <c r="F4" i="42" s="1"/>
  <c r="N77" i="42" s="1"/>
  <c r="K77" i="42" s="1"/>
  <c r="AA32" i="125"/>
  <c r="AC32" i="125"/>
  <c r="E4" i="42" s="1"/>
  <c r="N72" i="42" s="1"/>
  <c r="K72" i="42" s="1"/>
  <c r="AB32" i="125"/>
  <c r="D4" i="42" s="1"/>
  <c r="N71" i="42" s="1"/>
  <c r="K71" i="42" s="1"/>
  <c r="AI32" i="125"/>
  <c r="K4" i="42" s="1"/>
  <c r="N78" i="42" s="1"/>
  <c r="K78" i="42" s="1"/>
  <c r="AD104" i="125"/>
  <c r="F4" i="111" s="1"/>
  <c r="N77" i="111" s="1"/>
  <c r="K77" i="111" s="1"/>
  <c r="AH104" i="125"/>
  <c r="J4" i="111" s="1"/>
  <c r="N76" i="111" s="1"/>
  <c r="K76" i="111" s="1"/>
  <c r="AG104" i="125"/>
  <c r="I4" i="111" s="1"/>
  <c r="N75" i="111" s="1"/>
  <c r="K75" i="111" s="1"/>
  <c r="AF104" i="125"/>
  <c r="H4" i="111" s="1"/>
  <c r="N74" i="111" s="1"/>
  <c r="K74" i="111" s="1"/>
  <c r="AC104" i="125"/>
  <c r="E4" i="111" s="1"/>
  <c r="N72" i="111" s="1"/>
  <c r="K72" i="111" s="1"/>
  <c r="AA104" i="125"/>
  <c r="AJ104" i="125"/>
  <c r="L4" i="111" s="1"/>
  <c r="AI104" i="125"/>
  <c r="K4" i="111" s="1"/>
  <c r="N78" i="111" s="1"/>
  <c r="K78" i="111" s="1"/>
  <c r="AE104" i="125"/>
  <c r="G4" i="111" s="1"/>
  <c r="AB104" i="125"/>
  <c r="D4" i="111" s="1"/>
  <c r="N71" i="111" s="1"/>
  <c r="K71" i="111" s="1"/>
  <c r="AE78" i="125"/>
  <c r="G4" i="86" s="1"/>
  <c r="AD78" i="125"/>
  <c r="F4" i="86" s="1"/>
  <c r="N77" i="86" s="1"/>
  <c r="K77" i="86" s="1"/>
  <c r="AJ78" i="125"/>
  <c r="L4" i="86" s="1"/>
  <c r="AB78" i="125"/>
  <c r="D4" i="86" s="1"/>
  <c r="N71" i="86" s="1"/>
  <c r="K71" i="86" s="1"/>
  <c r="AH78" i="125"/>
  <c r="J4" i="86" s="1"/>
  <c r="N76" i="86" s="1"/>
  <c r="K76" i="86" s="1"/>
  <c r="AC78" i="125"/>
  <c r="AA78" i="125"/>
  <c r="C4" i="86" s="1"/>
  <c r="AG78" i="125"/>
  <c r="I4" i="86" s="1"/>
  <c r="N75" i="86" s="1"/>
  <c r="K75" i="86" s="1"/>
  <c r="AI78" i="125"/>
  <c r="K4" i="86" s="1"/>
  <c r="N78" i="86" s="1"/>
  <c r="K78" i="86" s="1"/>
  <c r="AF78" i="125"/>
  <c r="H4" i="86" s="1"/>
  <c r="N74" i="86" s="1"/>
  <c r="K74" i="86" s="1"/>
  <c r="R45" i="125"/>
  <c r="Q45" i="125"/>
  <c r="S45" i="125"/>
  <c r="U45" i="125"/>
  <c r="V45" i="125"/>
  <c r="O45" i="125"/>
  <c r="P45" i="125"/>
  <c r="T45" i="125"/>
  <c r="X45" i="125"/>
  <c r="W45" i="125"/>
  <c r="AD99" i="125"/>
  <c r="F4" i="106" s="1"/>
  <c r="N77" i="106" s="1"/>
  <c r="K77" i="106" s="1"/>
  <c r="AC99" i="125"/>
  <c r="AI99" i="125"/>
  <c r="K4" i="106" s="1"/>
  <c r="N78" i="106" s="1"/>
  <c r="K78" i="106" s="1"/>
  <c r="AA99" i="125"/>
  <c r="C4" i="106" s="1"/>
  <c r="AG99" i="125"/>
  <c r="I4" i="106" s="1"/>
  <c r="N75" i="106" s="1"/>
  <c r="K75" i="106" s="1"/>
  <c r="AJ99" i="125"/>
  <c r="L4" i="106" s="1"/>
  <c r="AH99" i="125"/>
  <c r="J4" i="106" s="1"/>
  <c r="N76" i="106" s="1"/>
  <c r="K76" i="106" s="1"/>
  <c r="AF99" i="125"/>
  <c r="H4" i="106" s="1"/>
  <c r="N74" i="106" s="1"/>
  <c r="K74" i="106" s="1"/>
  <c r="AE99" i="125"/>
  <c r="G4" i="106" s="1"/>
  <c r="AB99" i="125"/>
  <c r="D4" i="106" s="1"/>
  <c r="N71" i="106" s="1"/>
  <c r="K71" i="106" s="1"/>
  <c r="U93" i="125"/>
  <c r="O93" i="125"/>
  <c r="W93" i="125"/>
  <c r="P93" i="125"/>
  <c r="X93" i="125"/>
  <c r="Q93" i="125"/>
  <c r="S93" i="125"/>
  <c r="V93" i="125"/>
  <c r="R93" i="125"/>
  <c r="T93" i="125"/>
  <c r="V67" i="125"/>
  <c r="O67" i="125"/>
  <c r="R67" i="125"/>
  <c r="W67" i="125"/>
  <c r="P67" i="125"/>
  <c r="Q67" i="125"/>
  <c r="T67" i="125"/>
  <c r="S67" i="125"/>
  <c r="X67" i="125"/>
  <c r="U67" i="125"/>
  <c r="AF33" i="125"/>
  <c r="H4" i="43" s="1"/>
  <c r="N74" i="43" s="1"/>
  <c r="K74" i="43" s="1"/>
  <c r="AE33" i="125"/>
  <c r="G4" i="43" s="1"/>
  <c r="AC33" i="125"/>
  <c r="E4" i="43" s="1"/>
  <c r="N72" i="43" s="1"/>
  <c r="K72" i="43" s="1"/>
  <c r="AI33" i="125"/>
  <c r="K4" i="43" s="1"/>
  <c r="N78" i="43" s="1"/>
  <c r="K78" i="43" s="1"/>
  <c r="AH33" i="125"/>
  <c r="J4" i="43" s="1"/>
  <c r="N76" i="43" s="1"/>
  <c r="K76" i="43" s="1"/>
  <c r="AG33" i="125"/>
  <c r="I4" i="43" s="1"/>
  <c r="N75" i="43" s="1"/>
  <c r="K75" i="43" s="1"/>
  <c r="AD33" i="125"/>
  <c r="F4" i="43" s="1"/>
  <c r="N77" i="43" s="1"/>
  <c r="K77" i="43" s="1"/>
  <c r="AB33" i="125"/>
  <c r="D4" i="43" s="1"/>
  <c r="N71" i="43" s="1"/>
  <c r="K71" i="43" s="1"/>
  <c r="AA33" i="125"/>
  <c r="AJ33" i="125"/>
  <c r="L4" i="43" s="1"/>
  <c r="AG60" i="125"/>
  <c r="I4" i="68" s="1"/>
  <c r="N75" i="68" s="1"/>
  <c r="K75" i="68" s="1"/>
  <c r="AF60" i="125"/>
  <c r="H4" i="68" s="1"/>
  <c r="N74" i="68" s="1"/>
  <c r="K74" i="68" s="1"/>
  <c r="AD60" i="125"/>
  <c r="F4" i="68" s="1"/>
  <c r="N77" i="68" s="1"/>
  <c r="K77" i="68" s="1"/>
  <c r="AJ60" i="125"/>
  <c r="L4" i="68" s="1"/>
  <c r="AB60" i="125"/>
  <c r="D4" i="68" s="1"/>
  <c r="N71" i="68" s="1"/>
  <c r="K71" i="68" s="1"/>
  <c r="AA60" i="125"/>
  <c r="AI60" i="125"/>
  <c r="K4" i="68" s="1"/>
  <c r="N78" i="68" s="1"/>
  <c r="K78" i="68" s="1"/>
  <c r="AH60" i="125"/>
  <c r="J4" i="68" s="1"/>
  <c r="N76" i="68" s="1"/>
  <c r="K76" i="68" s="1"/>
  <c r="AE60" i="125"/>
  <c r="G4" i="68" s="1"/>
  <c r="AC60" i="125"/>
  <c r="E4" i="68" s="1"/>
  <c r="N72" i="68" s="1"/>
  <c r="K72" i="68" s="1"/>
  <c r="V63" i="125"/>
  <c r="O63" i="125"/>
  <c r="W63" i="125"/>
  <c r="R63" i="125"/>
  <c r="P63" i="125"/>
  <c r="Q63" i="125"/>
  <c r="S63" i="125"/>
  <c r="U63" i="125"/>
  <c r="T63" i="125"/>
  <c r="X63" i="125"/>
  <c r="T44" i="125"/>
  <c r="O44" i="125"/>
  <c r="R44" i="125"/>
  <c r="S44" i="125"/>
  <c r="V44" i="125"/>
  <c r="W44" i="125"/>
  <c r="Q44" i="125"/>
  <c r="U44" i="125"/>
  <c r="X44" i="125"/>
  <c r="P44" i="125"/>
  <c r="AE69" i="125"/>
  <c r="G4" i="77" s="1"/>
  <c r="AD69" i="125"/>
  <c r="F4" i="77" s="1"/>
  <c r="N77" i="77" s="1"/>
  <c r="K77" i="77" s="1"/>
  <c r="AJ69" i="125"/>
  <c r="L4" i="77" s="1"/>
  <c r="AB69" i="125"/>
  <c r="D4" i="77" s="1"/>
  <c r="N71" i="77" s="1"/>
  <c r="K71" i="77" s="1"/>
  <c r="AH69" i="125"/>
  <c r="J4" i="77" s="1"/>
  <c r="N76" i="77" s="1"/>
  <c r="K76" i="77" s="1"/>
  <c r="AC69" i="125"/>
  <c r="E4" i="77" s="1"/>
  <c r="N72" i="77" s="1"/>
  <c r="K72" i="77" s="1"/>
  <c r="AA69" i="125"/>
  <c r="AG69" i="125"/>
  <c r="I4" i="77" s="1"/>
  <c r="N75" i="77" s="1"/>
  <c r="K75" i="77" s="1"/>
  <c r="AI69" i="125"/>
  <c r="K4" i="77" s="1"/>
  <c r="N78" i="77" s="1"/>
  <c r="K78" i="77" s="1"/>
  <c r="AF69" i="125"/>
  <c r="H4" i="77" s="1"/>
  <c r="N74" i="77" s="1"/>
  <c r="K74" i="77" s="1"/>
  <c r="U98" i="125"/>
  <c r="O98" i="125"/>
  <c r="W98" i="125"/>
  <c r="P98" i="125"/>
  <c r="X98" i="125"/>
  <c r="Q98" i="125"/>
  <c r="S98" i="125"/>
  <c r="R98" i="125"/>
  <c r="T98" i="125"/>
  <c r="V98" i="125"/>
  <c r="V16" i="125"/>
  <c r="O16" i="125"/>
  <c r="W16" i="125"/>
  <c r="Q16" i="125"/>
  <c r="T16" i="125"/>
  <c r="U16" i="125"/>
  <c r="X16" i="125"/>
  <c r="P16" i="125"/>
  <c r="R16" i="125"/>
  <c r="S16" i="125"/>
  <c r="S74" i="125"/>
  <c r="U74" i="125"/>
  <c r="V74" i="125"/>
  <c r="O74" i="125"/>
  <c r="W74" i="125"/>
  <c r="Q74" i="125"/>
  <c r="T74" i="125"/>
  <c r="X74" i="125"/>
  <c r="P74" i="125"/>
  <c r="R74" i="125"/>
  <c r="U68" i="125"/>
  <c r="O68" i="125"/>
  <c r="W68" i="125"/>
  <c r="P68" i="125"/>
  <c r="X68" i="125"/>
  <c r="Q68" i="125"/>
  <c r="S68" i="125"/>
  <c r="T68" i="125"/>
  <c r="V68" i="125"/>
  <c r="R68" i="125"/>
  <c r="AH102" i="125"/>
  <c r="J4" i="109" s="1"/>
  <c r="N76" i="109" s="1"/>
  <c r="K76" i="109" s="1"/>
  <c r="AF102" i="125"/>
  <c r="H4" i="109" s="1"/>
  <c r="N74" i="109" s="1"/>
  <c r="K74" i="109" s="1"/>
  <c r="AE102" i="125"/>
  <c r="G4" i="109" s="1"/>
  <c r="AC102" i="125"/>
  <c r="AJ102" i="125"/>
  <c r="L4" i="109" s="1"/>
  <c r="AA102" i="125"/>
  <c r="C4" i="109" s="1"/>
  <c r="AI102" i="125"/>
  <c r="K4" i="109" s="1"/>
  <c r="N78" i="109" s="1"/>
  <c r="K78" i="109" s="1"/>
  <c r="AG102" i="125"/>
  <c r="I4" i="109" s="1"/>
  <c r="N75" i="109" s="1"/>
  <c r="K75" i="109" s="1"/>
  <c r="AD102" i="125"/>
  <c r="F4" i="109" s="1"/>
  <c r="N77" i="109" s="1"/>
  <c r="K77" i="109" s="1"/>
  <c r="AB102" i="125"/>
  <c r="D4" i="109" s="1"/>
  <c r="N71" i="109" s="1"/>
  <c r="K71" i="109" s="1"/>
  <c r="D18" i="125"/>
  <c r="AI8" i="125"/>
  <c r="K4" i="19" s="1"/>
  <c r="N78" i="19" s="1"/>
  <c r="K78" i="19" s="1"/>
  <c r="AA8" i="125"/>
  <c r="AH8" i="125"/>
  <c r="J4" i="19" s="1"/>
  <c r="N76" i="19" s="1"/>
  <c r="K76" i="19" s="1"/>
  <c r="AG8" i="125"/>
  <c r="I4" i="19" s="1"/>
  <c r="N75" i="19" s="1"/>
  <c r="K75" i="19" s="1"/>
  <c r="AF8" i="125"/>
  <c r="H4" i="19" s="1"/>
  <c r="N74" i="19" s="1"/>
  <c r="K74" i="19" s="1"/>
  <c r="AC8" i="125"/>
  <c r="E4" i="19" s="1"/>
  <c r="N72" i="19" s="1"/>
  <c r="K72" i="19" s="1"/>
  <c r="AE8" i="125"/>
  <c r="G4" i="19" s="1"/>
  <c r="AD8" i="125"/>
  <c r="F4" i="19" s="1"/>
  <c r="N77" i="19" s="1"/>
  <c r="K77" i="19" s="1"/>
  <c r="AJ8" i="125"/>
  <c r="L4" i="19" s="1"/>
  <c r="AB8" i="125"/>
  <c r="D4" i="19" s="1"/>
  <c r="N71" i="19" s="1"/>
  <c r="K71" i="19" s="1"/>
  <c r="O76" i="125"/>
  <c r="W76" i="125"/>
  <c r="Q76" i="125"/>
  <c r="R76" i="125"/>
  <c r="S76" i="125"/>
  <c r="U76" i="125"/>
  <c r="V76" i="125"/>
  <c r="X76" i="125"/>
  <c r="P76" i="125"/>
  <c r="T76" i="125"/>
  <c r="Z34" i="125"/>
  <c r="M33" i="9" s="1"/>
  <c r="P33" i="9" s="1"/>
  <c r="F80" i="125"/>
  <c r="AD95" i="125"/>
  <c r="F4" i="102" s="1"/>
  <c r="N77" i="102" s="1"/>
  <c r="K77" i="102" s="1"/>
  <c r="AC95" i="125"/>
  <c r="E4" i="102" s="1"/>
  <c r="N72" i="102" s="1"/>
  <c r="K72" i="102" s="1"/>
  <c r="AI95" i="125"/>
  <c r="K4" i="102" s="1"/>
  <c r="N78" i="102" s="1"/>
  <c r="K78" i="102" s="1"/>
  <c r="AA95" i="125"/>
  <c r="C4" i="102" s="1"/>
  <c r="AG95" i="125"/>
  <c r="I4" i="102" s="1"/>
  <c r="N75" i="102" s="1"/>
  <c r="K75" i="102" s="1"/>
  <c r="AB95" i="125"/>
  <c r="AF95" i="125"/>
  <c r="H4" i="102" s="1"/>
  <c r="N74" i="102" s="1"/>
  <c r="K74" i="102" s="1"/>
  <c r="AJ95" i="125"/>
  <c r="L4" i="102" s="1"/>
  <c r="AH95" i="125"/>
  <c r="J4" i="102" s="1"/>
  <c r="N76" i="102" s="1"/>
  <c r="K76" i="102" s="1"/>
  <c r="AE95" i="125"/>
  <c r="G4" i="102" s="1"/>
  <c r="Z32" i="125"/>
  <c r="M31" i="9" s="1"/>
  <c r="P31" i="9" s="1"/>
  <c r="Z104" i="125"/>
  <c r="M103" i="9" s="1"/>
  <c r="P103" i="9" s="1"/>
  <c r="AF45" i="125"/>
  <c r="H4" i="54" s="1"/>
  <c r="N74" i="54" s="1"/>
  <c r="K74" i="54" s="1"/>
  <c r="AE45" i="125"/>
  <c r="G4" i="54" s="1"/>
  <c r="AC45" i="125"/>
  <c r="E4" i="54" s="1"/>
  <c r="N72" i="54" s="1"/>
  <c r="K72" i="54" s="1"/>
  <c r="AJ45" i="125"/>
  <c r="L4" i="54" s="1"/>
  <c r="AB45" i="125"/>
  <c r="D4" i="54" s="1"/>
  <c r="N71" i="54" s="1"/>
  <c r="K71" i="54" s="1"/>
  <c r="AI45" i="125"/>
  <c r="K4" i="54" s="1"/>
  <c r="N78" i="54" s="1"/>
  <c r="K78" i="54" s="1"/>
  <c r="AH45" i="125"/>
  <c r="J4" i="54" s="1"/>
  <c r="N76" i="54" s="1"/>
  <c r="K76" i="54" s="1"/>
  <c r="AG45" i="125"/>
  <c r="I4" i="54" s="1"/>
  <c r="N75" i="54" s="1"/>
  <c r="K75" i="54" s="1"/>
  <c r="AD45" i="125"/>
  <c r="F4" i="54" s="1"/>
  <c r="N77" i="54" s="1"/>
  <c r="K77" i="54" s="1"/>
  <c r="AA45" i="125"/>
  <c r="Z99" i="125"/>
  <c r="M98" i="9" s="1"/>
  <c r="P98" i="9" s="1"/>
  <c r="AF93" i="125"/>
  <c r="H4" i="100" s="1"/>
  <c r="N74" i="100" s="1"/>
  <c r="K74" i="100" s="1"/>
  <c r="AE93" i="125"/>
  <c r="G4" i="100" s="1"/>
  <c r="AC93" i="125"/>
  <c r="E4" i="100" s="1"/>
  <c r="N72" i="100" s="1"/>
  <c r="K72" i="100" s="1"/>
  <c r="AI93" i="125"/>
  <c r="K4" i="100" s="1"/>
  <c r="N78" i="100" s="1"/>
  <c r="K78" i="100" s="1"/>
  <c r="AA93" i="125"/>
  <c r="AJ93" i="125"/>
  <c r="L4" i="100" s="1"/>
  <c r="AH93" i="125"/>
  <c r="J4" i="100" s="1"/>
  <c r="N76" i="100" s="1"/>
  <c r="K76" i="100" s="1"/>
  <c r="AG93" i="125"/>
  <c r="I4" i="100" s="1"/>
  <c r="N75" i="100" s="1"/>
  <c r="K75" i="100" s="1"/>
  <c r="AD93" i="125"/>
  <c r="F4" i="100" s="1"/>
  <c r="N77" i="100" s="1"/>
  <c r="K77" i="100" s="1"/>
  <c r="AB93" i="125"/>
  <c r="D4" i="100" s="1"/>
  <c r="N71" i="100" s="1"/>
  <c r="K71" i="100" s="1"/>
  <c r="AI67" i="125"/>
  <c r="K4" i="75" s="1"/>
  <c r="N78" i="75" s="1"/>
  <c r="K78" i="75" s="1"/>
  <c r="AA67" i="125"/>
  <c r="C4" i="75" s="1"/>
  <c r="AH67" i="125"/>
  <c r="J4" i="75" s="1"/>
  <c r="N76" i="75" s="1"/>
  <c r="K76" i="75" s="1"/>
  <c r="AF67" i="125"/>
  <c r="H4" i="75" s="1"/>
  <c r="N74" i="75" s="1"/>
  <c r="K74" i="75" s="1"/>
  <c r="AD67" i="125"/>
  <c r="F4" i="75" s="1"/>
  <c r="N77" i="75" s="1"/>
  <c r="K77" i="75" s="1"/>
  <c r="AG67" i="125"/>
  <c r="I4" i="75" s="1"/>
  <c r="N75" i="75" s="1"/>
  <c r="K75" i="75" s="1"/>
  <c r="AE67" i="125"/>
  <c r="G4" i="75" s="1"/>
  <c r="AC67" i="125"/>
  <c r="AB67" i="125"/>
  <c r="D4" i="75" s="1"/>
  <c r="N71" i="75" s="1"/>
  <c r="K71" i="75" s="1"/>
  <c r="AJ67" i="125"/>
  <c r="L4" i="75" s="1"/>
  <c r="Z33" i="125"/>
  <c r="M32" i="9" s="1"/>
  <c r="P32" i="9" s="1"/>
  <c r="Z60" i="125"/>
  <c r="M59" i="9" s="1"/>
  <c r="P59" i="9" s="1"/>
  <c r="AI63" i="125"/>
  <c r="K4" i="71" s="1"/>
  <c r="N78" i="71" s="1"/>
  <c r="K78" i="71" s="1"/>
  <c r="AA63" i="125"/>
  <c r="C4" i="71" s="1"/>
  <c r="AH63" i="125"/>
  <c r="J4" i="71" s="1"/>
  <c r="N76" i="71" s="1"/>
  <c r="K76" i="71" s="1"/>
  <c r="AF63" i="125"/>
  <c r="H4" i="71" s="1"/>
  <c r="N74" i="71" s="1"/>
  <c r="K74" i="71" s="1"/>
  <c r="AD63" i="125"/>
  <c r="F4" i="71" s="1"/>
  <c r="N77" i="71" s="1"/>
  <c r="K77" i="71" s="1"/>
  <c r="AJ63" i="125"/>
  <c r="L4" i="71" s="1"/>
  <c r="AC63" i="125"/>
  <c r="E4" i="71" s="1"/>
  <c r="N72" i="71" s="1"/>
  <c r="K72" i="71" s="1"/>
  <c r="AG63" i="125"/>
  <c r="I4" i="71" s="1"/>
  <c r="N75" i="71" s="1"/>
  <c r="K75" i="71" s="1"/>
  <c r="AE63" i="125"/>
  <c r="G4" i="71" s="1"/>
  <c r="AB63" i="125"/>
  <c r="AH28" i="125"/>
  <c r="J4" i="38" s="1"/>
  <c r="N76" i="38" s="1"/>
  <c r="K76" i="38" s="1"/>
  <c r="AB28" i="125"/>
  <c r="D4" i="38" s="1"/>
  <c r="N71" i="38" s="1"/>
  <c r="K71" i="38" s="1"/>
  <c r="AD28" i="125"/>
  <c r="F4" i="38" s="1"/>
  <c r="N77" i="38" s="1"/>
  <c r="K77" i="38" s="1"/>
  <c r="AJ28" i="125"/>
  <c r="L4" i="38" s="1"/>
  <c r="AA28" i="125"/>
  <c r="AI28" i="125"/>
  <c r="K4" i="38" s="1"/>
  <c r="N78" i="38" s="1"/>
  <c r="K78" i="38" s="1"/>
  <c r="AG28" i="125"/>
  <c r="I4" i="38" s="1"/>
  <c r="N75" i="38" s="1"/>
  <c r="K75" i="38" s="1"/>
  <c r="AF28" i="125"/>
  <c r="H4" i="38" s="1"/>
  <c r="N74" i="38" s="1"/>
  <c r="K74" i="38" s="1"/>
  <c r="AE28" i="125"/>
  <c r="G4" i="38" s="1"/>
  <c r="AC28" i="125"/>
  <c r="E4" i="38" s="1"/>
  <c r="N72" i="38" s="1"/>
  <c r="K72" i="38" s="1"/>
  <c r="AH94" i="125"/>
  <c r="J4" i="101" s="1"/>
  <c r="N76" i="101" s="1"/>
  <c r="K76" i="101" s="1"/>
  <c r="AC94" i="125"/>
  <c r="E4" i="101" s="1"/>
  <c r="N72" i="101" s="1"/>
  <c r="K72" i="101" s="1"/>
  <c r="AI94" i="125"/>
  <c r="K4" i="101" s="1"/>
  <c r="N78" i="101" s="1"/>
  <c r="K78" i="101" s="1"/>
  <c r="AG94" i="125"/>
  <c r="I4" i="101" s="1"/>
  <c r="N75" i="101" s="1"/>
  <c r="K75" i="101" s="1"/>
  <c r="AE94" i="125"/>
  <c r="G4" i="101" s="1"/>
  <c r="AA94" i="125"/>
  <c r="C4" i="101" s="1"/>
  <c r="AJ94" i="125"/>
  <c r="L4" i="101" s="1"/>
  <c r="AF94" i="125"/>
  <c r="H4" i="101" s="1"/>
  <c r="N74" i="101" s="1"/>
  <c r="K74" i="101" s="1"/>
  <c r="AB94" i="125"/>
  <c r="D4" i="101" s="1"/>
  <c r="N71" i="101" s="1"/>
  <c r="K71" i="101" s="1"/>
  <c r="AD90" i="125"/>
  <c r="F4" i="97" s="1"/>
  <c r="N77" i="97" s="1"/>
  <c r="K77" i="97" s="1"/>
  <c r="AC90" i="125"/>
  <c r="E4" i="97" s="1"/>
  <c r="N72" i="97" s="1"/>
  <c r="K72" i="97" s="1"/>
  <c r="AI90" i="125"/>
  <c r="K4" i="97" s="1"/>
  <c r="N78" i="97" s="1"/>
  <c r="K78" i="97" s="1"/>
  <c r="AA90" i="125"/>
  <c r="AG90" i="125"/>
  <c r="I4" i="97" s="1"/>
  <c r="N75" i="97" s="1"/>
  <c r="K75" i="97" s="1"/>
  <c r="AJ90" i="125"/>
  <c r="L4" i="97" s="1"/>
  <c r="AH90" i="125"/>
  <c r="J4" i="97" s="1"/>
  <c r="N76" i="97" s="1"/>
  <c r="K76" i="97" s="1"/>
  <c r="AF90" i="125"/>
  <c r="H4" i="97" s="1"/>
  <c r="N74" i="97" s="1"/>
  <c r="K74" i="97" s="1"/>
  <c r="AE90" i="125"/>
  <c r="G4" i="97" s="1"/>
  <c r="AB90" i="125"/>
  <c r="D4" i="97" s="1"/>
  <c r="N71" i="97" s="1"/>
  <c r="K71" i="97" s="1"/>
  <c r="AG73" i="125"/>
  <c r="I4" i="81" s="1"/>
  <c r="N75" i="81" s="1"/>
  <c r="K75" i="81" s="1"/>
  <c r="AF73" i="125"/>
  <c r="H4" i="81" s="1"/>
  <c r="N74" i="81" s="1"/>
  <c r="K74" i="81" s="1"/>
  <c r="AD73" i="125"/>
  <c r="F4" i="81" s="1"/>
  <c r="N77" i="81" s="1"/>
  <c r="K77" i="81" s="1"/>
  <c r="AJ73" i="125"/>
  <c r="L4" i="81" s="1"/>
  <c r="AB73" i="125"/>
  <c r="D4" i="81" s="1"/>
  <c r="N71" i="81" s="1"/>
  <c r="K71" i="81" s="1"/>
  <c r="AE73" i="125"/>
  <c r="G4" i="81" s="1"/>
  <c r="AC73" i="125"/>
  <c r="E4" i="81" s="1"/>
  <c r="N72" i="81" s="1"/>
  <c r="AA73" i="125"/>
  <c r="AI73" i="125"/>
  <c r="K4" i="81" s="1"/>
  <c r="N78" i="81" s="1"/>
  <c r="K78" i="81" s="1"/>
  <c r="AH73" i="125"/>
  <c r="J4" i="81" s="1"/>
  <c r="N76" i="81" s="1"/>
  <c r="K76" i="81" s="1"/>
  <c r="AJ27" i="125"/>
  <c r="L4" i="37" s="1"/>
  <c r="AC27" i="125"/>
  <c r="AB27" i="125"/>
  <c r="D4" i="37" s="1"/>
  <c r="N71" i="37" s="1"/>
  <c r="K71" i="37" s="1"/>
  <c r="AI27" i="125"/>
  <c r="K4" i="37" s="1"/>
  <c r="N78" i="37" s="1"/>
  <c r="K78" i="37" s="1"/>
  <c r="AA27" i="125"/>
  <c r="C4" i="37" s="1"/>
  <c r="AH27" i="125"/>
  <c r="J4" i="37" s="1"/>
  <c r="N76" i="37" s="1"/>
  <c r="K76" i="37" s="1"/>
  <c r="AE27" i="125"/>
  <c r="G4" i="37" s="1"/>
  <c r="AG27" i="125"/>
  <c r="I4" i="37" s="1"/>
  <c r="N75" i="37" s="1"/>
  <c r="K75" i="37" s="1"/>
  <c r="AF27" i="125"/>
  <c r="H4" i="37" s="1"/>
  <c r="N74" i="37" s="1"/>
  <c r="K74" i="37" s="1"/>
  <c r="AD27" i="125"/>
  <c r="F4" i="37" s="1"/>
  <c r="N77" i="37" s="1"/>
  <c r="K77" i="37" s="1"/>
  <c r="AD38" i="125"/>
  <c r="F4" i="47" s="1"/>
  <c r="N77" i="47" s="1"/>
  <c r="K77" i="47" s="1"/>
  <c r="AC38" i="125"/>
  <c r="AI38" i="125"/>
  <c r="K4" i="47" s="1"/>
  <c r="N78" i="47" s="1"/>
  <c r="K78" i="47" s="1"/>
  <c r="AA38" i="125"/>
  <c r="C4" i="47" s="1"/>
  <c r="AF38" i="125"/>
  <c r="H4" i="47" s="1"/>
  <c r="N74" i="47" s="1"/>
  <c r="K74" i="47" s="1"/>
  <c r="AH38" i="125"/>
  <c r="J4" i="47" s="1"/>
  <c r="N76" i="47" s="1"/>
  <c r="K76" i="47" s="1"/>
  <c r="AE38" i="125"/>
  <c r="G4" i="47" s="1"/>
  <c r="AB38" i="125"/>
  <c r="D4" i="47" s="1"/>
  <c r="N71" i="47" s="1"/>
  <c r="K71" i="47" s="1"/>
  <c r="AJ38" i="125"/>
  <c r="L4" i="47" s="1"/>
  <c r="AG38" i="125"/>
  <c r="I4" i="47" s="1"/>
  <c r="N75" i="47" s="1"/>
  <c r="K75" i="47" s="1"/>
  <c r="AG25" i="125"/>
  <c r="I4" i="35" s="1"/>
  <c r="N75" i="35" s="1"/>
  <c r="K75" i="35" s="1"/>
  <c r="AA25" i="125"/>
  <c r="AF25" i="125"/>
  <c r="H4" i="35" s="1"/>
  <c r="N74" i="35" s="1"/>
  <c r="K74" i="35" s="1"/>
  <c r="AE25" i="125"/>
  <c r="G4" i="35" s="1"/>
  <c r="AD25" i="125"/>
  <c r="F4" i="35" s="1"/>
  <c r="N77" i="35" s="1"/>
  <c r="K77" i="35" s="1"/>
  <c r="AC25" i="125"/>
  <c r="E4" i="35" s="1"/>
  <c r="N72" i="35" s="1"/>
  <c r="K72" i="35" s="1"/>
  <c r="AJ25" i="125"/>
  <c r="L4" i="35" s="1"/>
  <c r="AB25" i="125"/>
  <c r="D4" i="35" s="1"/>
  <c r="N71" i="35" s="1"/>
  <c r="AI25" i="125"/>
  <c r="K4" i="35" s="1"/>
  <c r="N78" i="35" s="1"/>
  <c r="K78" i="35" s="1"/>
  <c r="AH25" i="125"/>
  <c r="J4" i="35" s="1"/>
  <c r="N76" i="35" s="1"/>
  <c r="K76" i="35" s="1"/>
  <c r="AG17" i="125"/>
  <c r="I4" i="28" s="1"/>
  <c r="N75" i="28" s="1"/>
  <c r="K75" i="28" s="1"/>
  <c r="AA17" i="125"/>
  <c r="AF17" i="125"/>
  <c r="H4" i="28" s="1"/>
  <c r="N74" i="28" s="1"/>
  <c r="K74" i="28" s="1"/>
  <c r="AE17" i="125"/>
  <c r="G4" i="28" s="1"/>
  <c r="AD17" i="125"/>
  <c r="F4" i="28" s="1"/>
  <c r="N77" i="28" s="1"/>
  <c r="K77" i="28" s="1"/>
  <c r="AI17" i="125"/>
  <c r="K4" i="28" s="1"/>
  <c r="N78" i="28" s="1"/>
  <c r="K78" i="28" s="1"/>
  <c r="AC17" i="125"/>
  <c r="E4" i="28" s="1"/>
  <c r="N72" i="28" s="1"/>
  <c r="K72" i="28" s="1"/>
  <c r="AJ17" i="125"/>
  <c r="L4" i="28" s="1"/>
  <c r="AB17" i="125"/>
  <c r="D4" i="28" s="1"/>
  <c r="N71" i="28" s="1"/>
  <c r="K71" i="28" s="1"/>
  <c r="AH17" i="125"/>
  <c r="J4" i="28" s="1"/>
  <c r="N76" i="28" s="1"/>
  <c r="K76" i="28" s="1"/>
  <c r="C18" i="125"/>
  <c r="Z8" i="125"/>
  <c r="M7" i="9" s="1"/>
  <c r="P7" i="9" s="1"/>
  <c r="P62" i="125"/>
  <c r="X62" i="125"/>
  <c r="Q62" i="125"/>
  <c r="T62" i="125"/>
  <c r="V62" i="125"/>
  <c r="O62" i="125"/>
  <c r="S62" i="125"/>
  <c r="R62" i="125"/>
  <c r="U62" i="125"/>
  <c r="W62" i="125"/>
  <c r="Y80" i="125"/>
  <c r="L80" i="125" s="1"/>
  <c r="E80" i="125"/>
  <c r="V55" i="125"/>
  <c r="O55" i="125"/>
  <c r="W55" i="125"/>
  <c r="R55" i="125"/>
  <c r="P55" i="125"/>
  <c r="S55" i="125"/>
  <c r="T55" i="125"/>
  <c r="U55" i="125"/>
  <c r="Q55" i="125"/>
  <c r="X55" i="125"/>
  <c r="Q7" i="125"/>
  <c r="R7" i="125"/>
  <c r="T7" i="125"/>
  <c r="V7" i="125"/>
  <c r="W7" i="125"/>
  <c r="X7" i="125"/>
  <c r="O7" i="125"/>
  <c r="P7" i="125"/>
  <c r="S7" i="125"/>
  <c r="U7" i="125"/>
  <c r="R30" i="125"/>
  <c r="S30" i="125"/>
  <c r="U30" i="125"/>
  <c r="V30" i="125"/>
  <c r="W30" i="125"/>
  <c r="X30" i="125"/>
  <c r="O30" i="125"/>
  <c r="P30" i="125"/>
  <c r="Q30" i="125"/>
  <c r="T30" i="125"/>
  <c r="AD46" i="125"/>
  <c r="F4" i="55" s="1"/>
  <c r="N77" i="55" s="1"/>
  <c r="K77" i="55" s="1"/>
  <c r="AC46" i="125"/>
  <c r="E4" i="55" s="1"/>
  <c r="N72" i="55" s="1"/>
  <c r="K72" i="55" s="1"/>
  <c r="AI46" i="125"/>
  <c r="K4" i="55" s="1"/>
  <c r="N78" i="55" s="1"/>
  <c r="K78" i="55" s="1"/>
  <c r="AA46" i="125"/>
  <c r="C4" i="55" s="1"/>
  <c r="AB46" i="125"/>
  <c r="AJ46" i="125"/>
  <c r="L4" i="55" s="1"/>
  <c r="AF46" i="125"/>
  <c r="H4" i="55" s="1"/>
  <c r="N74" i="55" s="1"/>
  <c r="K74" i="55" s="1"/>
  <c r="AH46" i="125"/>
  <c r="J4" i="55" s="1"/>
  <c r="N76" i="55" s="1"/>
  <c r="K76" i="55" s="1"/>
  <c r="AG46" i="125"/>
  <c r="I4" i="55" s="1"/>
  <c r="N75" i="55" s="1"/>
  <c r="K75" i="55" s="1"/>
  <c r="AE46" i="125"/>
  <c r="G4" i="55" s="1"/>
  <c r="AC79" i="125"/>
  <c r="E4" i="87" s="1"/>
  <c r="N72" i="87" s="1"/>
  <c r="K72" i="87" s="1"/>
  <c r="AJ79" i="125"/>
  <c r="L4" i="87" s="1"/>
  <c r="AB79" i="125"/>
  <c r="AH79" i="125"/>
  <c r="J4" i="87" s="1"/>
  <c r="N76" i="87" s="1"/>
  <c r="K76" i="87" s="1"/>
  <c r="AF79" i="125"/>
  <c r="H4" i="87" s="1"/>
  <c r="N74" i="87" s="1"/>
  <c r="K74" i="87" s="1"/>
  <c r="AI79" i="125"/>
  <c r="K4" i="87" s="1"/>
  <c r="N78" i="87" s="1"/>
  <c r="K78" i="87" s="1"/>
  <c r="AG79" i="125"/>
  <c r="I4" i="87" s="1"/>
  <c r="N75" i="87" s="1"/>
  <c r="K75" i="87" s="1"/>
  <c r="AE79" i="125"/>
  <c r="G4" i="87" s="1"/>
  <c r="AD79" i="125"/>
  <c r="F4" i="87" s="1"/>
  <c r="N77" i="87" s="1"/>
  <c r="K77" i="87" s="1"/>
  <c r="AA79" i="125"/>
  <c r="C4" i="87" s="1"/>
  <c r="S86" i="125"/>
  <c r="U86" i="125"/>
  <c r="V86" i="125"/>
  <c r="O86" i="125"/>
  <c r="W86" i="125"/>
  <c r="Q86" i="125"/>
  <c r="P86" i="125"/>
  <c r="T86" i="125"/>
  <c r="X86" i="125"/>
  <c r="R86" i="125"/>
  <c r="AG64" i="125"/>
  <c r="I4" i="72" s="1"/>
  <c r="N75" i="72" s="1"/>
  <c r="K75" i="72" s="1"/>
  <c r="AF64" i="125"/>
  <c r="H4" i="72" s="1"/>
  <c r="N74" i="72" s="1"/>
  <c r="K74" i="72" s="1"/>
  <c r="AD64" i="125"/>
  <c r="F4" i="72" s="1"/>
  <c r="N77" i="72" s="1"/>
  <c r="K77" i="72" s="1"/>
  <c r="AJ64" i="125"/>
  <c r="L4" i="72" s="1"/>
  <c r="AB64" i="125"/>
  <c r="D4" i="72" s="1"/>
  <c r="N71" i="72" s="1"/>
  <c r="K71" i="72" s="1"/>
  <c r="AE64" i="125"/>
  <c r="G4" i="72" s="1"/>
  <c r="AI64" i="125"/>
  <c r="K4" i="72" s="1"/>
  <c r="N78" i="72" s="1"/>
  <c r="K78" i="72" s="1"/>
  <c r="AC64" i="125"/>
  <c r="E4" i="72" s="1"/>
  <c r="N72" i="72" s="1"/>
  <c r="K72" i="72" s="1"/>
  <c r="AA64" i="125"/>
  <c r="AH64" i="125"/>
  <c r="J4" i="72" s="1"/>
  <c r="N76" i="72" s="1"/>
  <c r="K76" i="72" s="1"/>
  <c r="T21" i="125"/>
  <c r="U21" i="125"/>
  <c r="O21" i="125"/>
  <c r="W21" i="125"/>
  <c r="V21" i="125"/>
  <c r="X21" i="125"/>
  <c r="P21" i="125"/>
  <c r="Q21" i="125"/>
  <c r="R21" i="125"/>
  <c r="S21" i="125"/>
  <c r="AI20" i="125"/>
  <c r="K4" i="30" s="1"/>
  <c r="N78" i="30" s="1"/>
  <c r="K78" i="30" s="1"/>
  <c r="AA20" i="125"/>
  <c r="AH20" i="125"/>
  <c r="J4" i="30" s="1"/>
  <c r="N76" i="30" s="1"/>
  <c r="K76" i="30" s="1"/>
  <c r="AG20" i="125"/>
  <c r="I4" i="30" s="1"/>
  <c r="N75" i="30" s="1"/>
  <c r="K75" i="30" s="1"/>
  <c r="AF20" i="125"/>
  <c r="H4" i="30" s="1"/>
  <c r="N74" i="30" s="1"/>
  <c r="K74" i="30" s="1"/>
  <c r="AC20" i="125"/>
  <c r="E4" i="30" s="1"/>
  <c r="N72" i="30" s="1"/>
  <c r="K72" i="30" s="1"/>
  <c r="AE20" i="125"/>
  <c r="G4" i="30" s="1"/>
  <c r="AD20" i="125"/>
  <c r="F4" i="30" s="1"/>
  <c r="N77" i="30" s="1"/>
  <c r="K77" i="30" s="1"/>
  <c r="AJ20" i="125"/>
  <c r="L4" i="30" s="1"/>
  <c r="AB20" i="125"/>
  <c r="D4" i="30" s="1"/>
  <c r="N71" i="30" s="1"/>
  <c r="K71" i="30" s="1"/>
  <c r="P23" i="125"/>
  <c r="X23" i="125"/>
  <c r="Q23" i="125"/>
  <c r="S23" i="125"/>
  <c r="O23" i="125"/>
  <c r="R23" i="125"/>
  <c r="T23" i="125"/>
  <c r="U23" i="125"/>
  <c r="V23" i="125"/>
  <c r="W23" i="125"/>
  <c r="AH40" i="125"/>
  <c r="J4" i="49" s="1"/>
  <c r="N76" i="49" s="1"/>
  <c r="K76" i="49" s="1"/>
  <c r="AG40" i="125"/>
  <c r="I4" i="49" s="1"/>
  <c r="N75" i="49" s="1"/>
  <c r="K75" i="49" s="1"/>
  <c r="AE40" i="125"/>
  <c r="G4" i="49" s="1"/>
  <c r="AJ40" i="125"/>
  <c r="L4" i="49" s="1"/>
  <c r="AI40" i="125"/>
  <c r="K4" i="49" s="1"/>
  <c r="N78" i="49" s="1"/>
  <c r="K78" i="49" s="1"/>
  <c r="AB40" i="125"/>
  <c r="D4" i="49" s="1"/>
  <c r="N71" i="49" s="1"/>
  <c r="K71" i="49" s="1"/>
  <c r="AF40" i="125"/>
  <c r="H4" i="49" s="1"/>
  <c r="N74" i="49" s="1"/>
  <c r="K74" i="49" s="1"/>
  <c r="AD40" i="125"/>
  <c r="F4" i="49" s="1"/>
  <c r="N77" i="49" s="1"/>
  <c r="K77" i="49" s="1"/>
  <c r="AC40" i="125"/>
  <c r="E4" i="49" s="1"/>
  <c r="N72" i="49" s="1"/>
  <c r="K72" i="49" s="1"/>
  <c r="AA40" i="125"/>
  <c r="AH92" i="125"/>
  <c r="J4" i="99" s="1"/>
  <c r="N76" i="99" s="1"/>
  <c r="K76" i="99" s="1"/>
  <c r="AG92" i="125"/>
  <c r="I4" i="99" s="1"/>
  <c r="N75" i="99" s="1"/>
  <c r="K75" i="99" s="1"/>
  <c r="AE92" i="125"/>
  <c r="G4" i="99" s="1"/>
  <c r="AC92" i="125"/>
  <c r="E4" i="99" s="1"/>
  <c r="N72" i="99" s="1"/>
  <c r="K72" i="99" s="1"/>
  <c r="AF92" i="125"/>
  <c r="H4" i="99" s="1"/>
  <c r="N74" i="99" s="1"/>
  <c r="K74" i="99" s="1"/>
  <c r="AD92" i="125"/>
  <c r="F4" i="99" s="1"/>
  <c r="N77" i="99" s="1"/>
  <c r="K77" i="99" s="1"/>
  <c r="AB92" i="125"/>
  <c r="D4" i="99" s="1"/>
  <c r="N71" i="99" s="1"/>
  <c r="K71" i="99" s="1"/>
  <c r="AA92" i="125"/>
  <c r="AJ92" i="125"/>
  <c r="L4" i="99" s="1"/>
  <c r="AI92" i="125"/>
  <c r="K4" i="99" s="1"/>
  <c r="N78" i="99" s="1"/>
  <c r="K78" i="99" s="1"/>
  <c r="Z28" i="125"/>
  <c r="M27" i="9" s="1"/>
  <c r="P27" i="9" s="1"/>
  <c r="Z94" i="125"/>
  <c r="M93" i="9" s="1"/>
  <c r="P93" i="9" s="1"/>
  <c r="AC19" i="125"/>
  <c r="AJ19" i="125"/>
  <c r="L4" i="29" s="1"/>
  <c r="AB19" i="125"/>
  <c r="D4" i="29" s="1"/>
  <c r="N71" i="29" s="1"/>
  <c r="K71" i="29" s="1"/>
  <c r="AI19" i="125"/>
  <c r="K4" i="29" s="1"/>
  <c r="N78" i="29" s="1"/>
  <c r="K78" i="29" s="1"/>
  <c r="AA19" i="125"/>
  <c r="C4" i="29" s="1"/>
  <c r="AE19" i="125"/>
  <c r="G4" i="29" s="1"/>
  <c r="AH19" i="125"/>
  <c r="J4" i="29" s="1"/>
  <c r="N76" i="29" s="1"/>
  <c r="K76" i="29" s="1"/>
  <c r="AG19" i="125"/>
  <c r="I4" i="29" s="1"/>
  <c r="N75" i="29" s="1"/>
  <c r="K75" i="29" s="1"/>
  <c r="AF19" i="125"/>
  <c r="H4" i="29" s="1"/>
  <c r="N74" i="29" s="1"/>
  <c r="K74" i="29" s="1"/>
  <c r="AD19" i="125"/>
  <c r="F4" i="29" s="1"/>
  <c r="N77" i="29" s="1"/>
  <c r="K77" i="29" s="1"/>
  <c r="Z90" i="125"/>
  <c r="M89" i="9" s="1"/>
  <c r="P89" i="9" s="1"/>
  <c r="U73" i="125"/>
  <c r="O73" i="125"/>
  <c r="W73" i="125"/>
  <c r="P73" i="125"/>
  <c r="X73" i="125"/>
  <c r="Q73" i="125"/>
  <c r="S73" i="125"/>
  <c r="R73" i="125"/>
  <c r="V73" i="125"/>
  <c r="T73" i="125"/>
  <c r="P27" i="125"/>
  <c r="X27" i="125"/>
  <c r="Q27" i="125"/>
  <c r="S27" i="125"/>
  <c r="O27" i="125"/>
  <c r="R27" i="125"/>
  <c r="T27" i="125"/>
  <c r="U27" i="125"/>
  <c r="V27" i="125"/>
  <c r="W27" i="125"/>
  <c r="Z38" i="125"/>
  <c r="M37" i="9" s="1"/>
  <c r="P37" i="9" s="1"/>
  <c r="Z25" i="125"/>
  <c r="M24" i="9" s="1"/>
  <c r="P24" i="9" s="1"/>
  <c r="T17" i="125"/>
  <c r="U17" i="125"/>
  <c r="O17" i="125"/>
  <c r="W17" i="125"/>
  <c r="X17" i="125"/>
  <c r="P17" i="125"/>
  <c r="Q17" i="125"/>
  <c r="R17" i="125"/>
  <c r="S17" i="125"/>
  <c r="V17" i="125"/>
  <c r="AE57" i="125"/>
  <c r="G4" i="65" s="1"/>
  <c r="AD57" i="125"/>
  <c r="F4" i="65" s="1"/>
  <c r="N77" i="65" s="1"/>
  <c r="K77" i="65" s="1"/>
  <c r="AJ57" i="125"/>
  <c r="L4" i="65" s="1"/>
  <c r="AB57" i="125"/>
  <c r="D4" i="65" s="1"/>
  <c r="N71" i="65" s="1"/>
  <c r="K71" i="65" s="1"/>
  <c r="AH57" i="125"/>
  <c r="J4" i="65" s="1"/>
  <c r="N76" i="65" s="1"/>
  <c r="K76" i="65" s="1"/>
  <c r="AI57" i="125"/>
  <c r="K4" i="65" s="1"/>
  <c r="N78" i="65" s="1"/>
  <c r="K78" i="65" s="1"/>
  <c r="AG57" i="125"/>
  <c r="I4" i="65" s="1"/>
  <c r="N75" i="65" s="1"/>
  <c r="K75" i="65" s="1"/>
  <c r="AF57" i="125"/>
  <c r="H4" i="65" s="1"/>
  <c r="N74" i="65" s="1"/>
  <c r="K74" i="65" s="1"/>
  <c r="AC57" i="125"/>
  <c r="E4" i="65" s="1"/>
  <c r="N72" i="65" s="1"/>
  <c r="K72" i="65" s="1"/>
  <c r="AA57" i="125"/>
  <c r="B18" i="125"/>
  <c r="AE82" i="125"/>
  <c r="G4" i="89" s="1"/>
  <c r="AD82" i="125"/>
  <c r="F4" i="89" s="1"/>
  <c r="N77" i="89" s="1"/>
  <c r="K77" i="89" s="1"/>
  <c r="AJ82" i="125"/>
  <c r="L4" i="89" s="1"/>
  <c r="AB82" i="125"/>
  <c r="D4" i="89" s="1"/>
  <c r="N71" i="89" s="1"/>
  <c r="K71" i="89" s="1"/>
  <c r="AH82" i="125"/>
  <c r="J4" i="89" s="1"/>
  <c r="N76" i="89" s="1"/>
  <c r="K76" i="89" s="1"/>
  <c r="AI82" i="125"/>
  <c r="K4" i="89" s="1"/>
  <c r="N78" i="89" s="1"/>
  <c r="K78" i="89" s="1"/>
  <c r="AG82" i="125"/>
  <c r="I4" i="89" s="1"/>
  <c r="N75" i="89" s="1"/>
  <c r="K75" i="89" s="1"/>
  <c r="AF82" i="125"/>
  <c r="H4" i="89" s="1"/>
  <c r="N74" i="89" s="1"/>
  <c r="K74" i="89" s="1"/>
  <c r="AC82" i="125"/>
  <c r="E4" i="89" s="1"/>
  <c r="N72" i="89" s="1"/>
  <c r="K72" i="89" s="1"/>
  <c r="AA82" i="125"/>
  <c r="R61" i="125"/>
  <c r="S61" i="125"/>
  <c r="V61" i="125"/>
  <c r="T61" i="125"/>
  <c r="W61" i="125"/>
  <c r="X61" i="125"/>
  <c r="P61" i="125"/>
  <c r="Q61" i="125"/>
  <c r="O61" i="125"/>
  <c r="U61" i="125"/>
  <c r="AJ100" i="125"/>
  <c r="L4" i="107" s="1"/>
  <c r="AB100" i="125"/>
  <c r="D4" i="107" s="1"/>
  <c r="N71" i="107" s="1"/>
  <c r="K71" i="107" s="1"/>
  <c r="AI100" i="125"/>
  <c r="K4" i="107" s="1"/>
  <c r="N78" i="107" s="1"/>
  <c r="K78" i="107" s="1"/>
  <c r="AA100" i="125"/>
  <c r="AG100" i="125"/>
  <c r="I4" i="107" s="1"/>
  <c r="N75" i="107" s="1"/>
  <c r="K75" i="107" s="1"/>
  <c r="AE100" i="125"/>
  <c r="G4" i="107" s="1"/>
  <c r="AD100" i="125"/>
  <c r="F4" i="107" s="1"/>
  <c r="N77" i="107" s="1"/>
  <c r="K77" i="107" s="1"/>
  <c r="AH100" i="125"/>
  <c r="J4" i="107" s="1"/>
  <c r="N76" i="107" s="1"/>
  <c r="K76" i="107" s="1"/>
  <c r="AF100" i="125"/>
  <c r="H4" i="107" s="1"/>
  <c r="N74" i="107" s="1"/>
  <c r="K74" i="107" s="1"/>
  <c r="AC100" i="125"/>
  <c r="E4" i="107" s="1"/>
  <c r="N72" i="107" s="1"/>
  <c r="K72" i="107" s="1"/>
  <c r="AC62" i="125"/>
  <c r="AJ62" i="125"/>
  <c r="L4" i="70" s="1"/>
  <c r="AB62" i="125"/>
  <c r="D4" i="70" s="1"/>
  <c r="N71" i="70" s="1"/>
  <c r="K71" i="70" s="1"/>
  <c r="AH62" i="125"/>
  <c r="J4" i="70" s="1"/>
  <c r="N76" i="70" s="1"/>
  <c r="K76" i="70" s="1"/>
  <c r="AF62" i="125"/>
  <c r="H4" i="70" s="1"/>
  <c r="N74" i="70" s="1"/>
  <c r="K74" i="70" s="1"/>
  <c r="AI62" i="125"/>
  <c r="K4" i="70" s="1"/>
  <c r="N78" i="70" s="1"/>
  <c r="K78" i="70" s="1"/>
  <c r="AG62" i="125"/>
  <c r="I4" i="70" s="1"/>
  <c r="N75" i="70" s="1"/>
  <c r="K75" i="70" s="1"/>
  <c r="AE62" i="125"/>
  <c r="G4" i="70" s="1"/>
  <c r="AD62" i="125"/>
  <c r="F4" i="70" s="1"/>
  <c r="N77" i="70" s="1"/>
  <c r="K77" i="70" s="1"/>
  <c r="AA62" i="125"/>
  <c r="C4" i="70" s="1"/>
  <c r="AI55" i="125"/>
  <c r="K4" i="63" s="1"/>
  <c r="N78" i="63" s="1"/>
  <c r="K78" i="63" s="1"/>
  <c r="AA55" i="125"/>
  <c r="C4" i="63" s="1"/>
  <c r="AH55" i="125"/>
  <c r="J4" i="63" s="1"/>
  <c r="N76" i="63" s="1"/>
  <c r="K76" i="63" s="1"/>
  <c r="AF55" i="125"/>
  <c r="H4" i="63" s="1"/>
  <c r="N74" i="63" s="1"/>
  <c r="K74" i="63" s="1"/>
  <c r="AB55" i="125"/>
  <c r="AD55" i="125"/>
  <c r="F4" i="63" s="1"/>
  <c r="N77" i="63" s="1"/>
  <c r="K77" i="63" s="1"/>
  <c r="AJ55" i="125"/>
  <c r="L4" i="63" s="1"/>
  <c r="AG55" i="125"/>
  <c r="I4" i="63" s="1"/>
  <c r="N75" i="63" s="1"/>
  <c r="K75" i="63" s="1"/>
  <c r="AE55" i="125"/>
  <c r="G4" i="63" s="1"/>
  <c r="AC55" i="125"/>
  <c r="E4" i="63" s="1"/>
  <c r="N72" i="63" s="1"/>
  <c r="K72" i="63" s="1"/>
  <c r="AC7" i="125"/>
  <c r="E4" i="18" s="1"/>
  <c r="N72" i="18" s="1"/>
  <c r="K72" i="18" s="1"/>
  <c r="AJ7" i="125"/>
  <c r="L4" i="18" s="1"/>
  <c r="AB7" i="125"/>
  <c r="AI7" i="125"/>
  <c r="K4" i="18" s="1"/>
  <c r="N78" i="18" s="1"/>
  <c r="K78" i="18" s="1"/>
  <c r="AA7" i="125"/>
  <c r="C4" i="18" s="1"/>
  <c r="AE7" i="125"/>
  <c r="G4" i="18" s="1"/>
  <c r="AH7" i="125"/>
  <c r="J4" i="18" s="1"/>
  <c r="N76" i="18" s="1"/>
  <c r="K76" i="18" s="1"/>
  <c r="AG7" i="125"/>
  <c r="I4" i="18" s="1"/>
  <c r="N75" i="18" s="1"/>
  <c r="K75" i="18" s="1"/>
  <c r="AF7" i="125"/>
  <c r="H4" i="18" s="1"/>
  <c r="N74" i="18" s="1"/>
  <c r="K74" i="18" s="1"/>
  <c r="AD7" i="125"/>
  <c r="F4" i="18" s="1"/>
  <c r="N77" i="18" s="1"/>
  <c r="K77" i="18" s="1"/>
  <c r="AD30" i="125"/>
  <c r="F4" i="40" s="1"/>
  <c r="N77" i="40" s="1"/>
  <c r="K77" i="40" s="1"/>
  <c r="AI30" i="125"/>
  <c r="K4" i="40" s="1"/>
  <c r="N78" i="40" s="1"/>
  <c r="K78" i="40" s="1"/>
  <c r="AH30" i="125"/>
  <c r="J4" i="40" s="1"/>
  <c r="N76" i="40" s="1"/>
  <c r="K76" i="40" s="1"/>
  <c r="AB30" i="125"/>
  <c r="D4" i="40" s="1"/>
  <c r="N71" i="40" s="1"/>
  <c r="K71" i="40" s="1"/>
  <c r="AG30" i="125"/>
  <c r="I4" i="40" s="1"/>
  <c r="N75" i="40" s="1"/>
  <c r="K75" i="40" s="1"/>
  <c r="AF30" i="125"/>
  <c r="H4" i="40" s="1"/>
  <c r="N74" i="40" s="1"/>
  <c r="K74" i="40" s="1"/>
  <c r="AE30" i="125"/>
  <c r="G4" i="40" s="1"/>
  <c r="AC30" i="125"/>
  <c r="AJ30" i="125"/>
  <c r="L4" i="40" s="1"/>
  <c r="AA30" i="125"/>
  <c r="C4" i="40" s="1"/>
  <c r="AG9" i="125"/>
  <c r="I4" i="20" s="1"/>
  <c r="N75" i="20" s="1"/>
  <c r="K75" i="20" s="1"/>
  <c r="AA9" i="125"/>
  <c r="AF9" i="125"/>
  <c r="H4" i="20" s="1"/>
  <c r="N74" i="20" s="1"/>
  <c r="K74" i="20" s="1"/>
  <c r="AE9" i="125"/>
  <c r="G4" i="20" s="1"/>
  <c r="AD9" i="125"/>
  <c r="F4" i="20" s="1"/>
  <c r="N77" i="20" s="1"/>
  <c r="K77" i="20" s="1"/>
  <c r="AC9" i="125"/>
  <c r="E4" i="20" s="1"/>
  <c r="N72" i="20" s="1"/>
  <c r="K72" i="20" s="1"/>
  <c r="AJ9" i="125"/>
  <c r="L4" i="20" s="1"/>
  <c r="AB9" i="125"/>
  <c r="D4" i="20" s="1"/>
  <c r="N71" i="20" s="1"/>
  <c r="K71" i="20" s="1"/>
  <c r="AI9" i="125"/>
  <c r="K4" i="20" s="1"/>
  <c r="N78" i="20" s="1"/>
  <c r="K78" i="20" s="1"/>
  <c r="AH9" i="125"/>
  <c r="J4" i="20" s="1"/>
  <c r="N76" i="20" s="1"/>
  <c r="K76" i="20" s="1"/>
  <c r="AF41" i="125"/>
  <c r="H4" i="50" s="1"/>
  <c r="N74" i="50" s="1"/>
  <c r="K74" i="50" s="1"/>
  <c r="AE41" i="125"/>
  <c r="G4" i="50" s="1"/>
  <c r="AC41" i="125"/>
  <c r="E4" i="50" s="1"/>
  <c r="N72" i="50" s="1"/>
  <c r="K72" i="50" s="1"/>
  <c r="AA41" i="125"/>
  <c r="AJ41" i="125"/>
  <c r="L4" i="50" s="1"/>
  <c r="AI41" i="125"/>
  <c r="K4" i="50" s="1"/>
  <c r="N78" i="50" s="1"/>
  <c r="K78" i="50" s="1"/>
  <c r="AD41" i="125"/>
  <c r="F4" i="50" s="1"/>
  <c r="N77" i="50" s="1"/>
  <c r="K77" i="50" s="1"/>
  <c r="AH41" i="125"/>
  <c r="J4" i="50" s="1"/>
  <c r="N76" i="50" s="1"/>
  <c r="K76" i="50" s="1"/>
  <c r="AG41" i="125"/>
  <c r="I4" i="50" s="1"/>
  <c r="N75" i="50" s="1"/>
  <c r="K75" i="50" s="1"/>
  <c r="AB41" i="125"/>
  <c r="D4" i="50" s="1"/>
  <c r="N71" i="50" s="1"/>
  <c r="K71" i="50" s="1"/>
  <c r="AE86" i="125"/>
  <c r="G4" i="93" s="1"/>
  <c r="AD86" i="125"/>
  <c r="F4" i="93" s="1"/>
  <c r="N77" i="93" s="1"/>
  <c r="K77" i="93" s="1"/>
  <c r="AJ86" i="125"/>
  <c r="L4" i="93" s="1"/>
  <c r="AB86" i="125"/>
  <c r="D4" i="93" s="1"/>
  <c r="N71" i="93" s="1"/>
  <c r="K71" i="93" s="1"/>
  <c r="AH86" i="125"/>
  <c r="J4" i="93" s="1"/>
  <c r="N76" i="93" s="1"/>
  <c r="K76" i="93" s="1"/>
  <c r="AC86" i="125"/>
  <c r="E4" i="93" s="1"/>
  <c r="N72" i="93" s="1"/>
  <c r="K72" i="93" s="1"/>
  <c r="AG86" i="125"/>
  <c r="I4" i="93" s="1"/>
  <c r="N75" i="93" s="1"/>
  <c r="K75" i="93" s="1"/>
  <c r="AA86" i="125"/>
  <c r="C4" i="93" s="1"/>
  <c r="AI86" i="125"/>
  <c r="K4" i="93" s="1"/>
  <c r="N78" i="93" s="1"/>
  <c r="K78" i="93" s="1"/>
  <c r="AF86" i="125"/>
  <c r="H4" i="93" s="1"/>
  <c r="N74" i="93" s="1"/>
  <c r="K74" i="93" s="1"/>
  <c r="Z64" i="125"/>
  <c r="M63" i="9" s="1"/>
  <c r="P63" i="9" s="1"/>
  <c r="AG21" i="125"/>
  <c r="I4" i="31" s="1"/>
  <c r="N75" i="31" s="1"/>
  <c r="K75" i="31" s="1"/>
  <c r="AF21" i="125"/>
  <c r="H4" i="31" s="1"/>
  <c r="N74" i="31" s="1"/>
  <c r="K74" i="31" s="1"/>
  <c r="AI21" i="125"/>
  <c r="K4" i="31" s="1"/>
  <c r="N78" i="31" s="1"/>
  <c r="K78" i="31" s="1"/>
  <c r="AE21" i="125"/>
  <c r="G4" i="31" s="1"/>
  <c r="AD21" i="125"/>
  <c r="F4" i="31" s="1"/>
  <c r="N77" i="31" s="1"/>
  <c r="K77" i="31" s="1"/>
  <c r="AC21" i="125"/>
  <c r="E4" i="31" s="1"/>
  <c r="N72" i="31" s="1"/>
  <c r="K72" i="31" s="1"/>
  <c r="AJ21" i="125"/>
  <c r="L4" i="31" s="1"/>
  <c r="AB21" i="125"/>
  <c r="D4" i="31" s="1"/>
  <c r="N71" i="31" s="1"/>
  <c r="K71" i="31" s="1"/>
  <c r="AA21" i="125"/>
  <c r="AH21" i="125"/>
  <c r="J4" i="31" s="1"/>
  <c r="N76" i="31" s="1"/>
  <c r="K76" i="31" s="1"/>
  <c r="AK52" i="125"/>
  <c r="Z20" i="125"/>
  <c r="M19" i="9" s="1"/>
  <c r="P19" i="9" s="1"/>
  <c r="AC23" i="125"/>
  <c r="E4" i="33" s="1"/>
  <c r="N72" i="33" s="1"/>
  <c r="K72" i="33" s="1"/>
  <c r="AJ23" i="125"/>
  <c r="L4" i="33" s="1"/>
  <c r="AB23" i="125"/>
  <c r="AI23" i="125"/>
  <c r="K4" i="33" s="1"/>
  <c r="N78" i="33" s="1"/>
  <c r="K78" i="33" s="1"/>
  <c r="AA23" i="125"/>
  <c r="C4" i="33" s="1"/>
  <c r="AH23" i="125"/>
  <c r="J4" i="33" s="1"/>
  <c r="N76" i="33" s="1"/>
  <c r="K76" i="33" s="1"/>
  <c r="AE23" i="125"/>
  <c r="G4" i="33" s="1"/>
  <c r="AG23" i="125"/>
  <c r="I4" i="33" s="1"/>
  <c r="N75" i="33" s="1"/>
  <c r="K75" i="33" s="1"/>
  <c r="AF23" i="125"/>
  <c r="H4" i="33" s="1"/>
  <c r="N74" i="33" s="1"/>
  <c r="K74" i="33" s="1"/>
  <c r="AD23" i="125"/>
  <c r="F4" i="33" s="1"/>
  <c r="N77" i="33" s="1"/>
  <c r="K77" i="33" s="1"/>
  <c r="Z40" i="125"/>
  <c r="M39" i="9" s="1"/>
  <c r="P39" i="9" s="1"/>
  <c r="Z92" i="125"/>
  <c r="M91" i="9" s="1"/>
  <c r="P91" i="9" s="1"/>
  <c r="AJ91" i="125"/>
  <c r="L4" i="98" s="1"/>
  <c r="AB91" i="125"/>
  <c r="D4" i="98" s="1"/>
  <c r="N71" i="98" s="1"/>
  <c r="K71" i="98" s="1"/>
  <c r="AI91" i="125"/>
  <c r="K4" i="98" s="1"/>
  <c r="N78" i="98" s="1"/>
  <c r="K78" i="98" s="1"/>
  <c r="AA91" i="125"/>
  <c r="C4" i="98" s="1"/>
  <c r="AG91" i="125"/>
  <c r="I4" i="98" s="1"/>
  <c r="N75" i="98" s="1"/>
  <c r="K75" i="98" s="1"/>
  <c r="AE91" i="125"/>
  <c r="G4" i="98" s="1"/>
  <c r="AD91" i="125"/>
  <c r="F4" i="98" s="1"/>
  <c r="N77" i="98" s="1"/>
  <c r="K77" i="98" s="1"/>
  <c r="AH91" i="125"/>
  <c r="J4" i="98" s="1"/>
  <c r="N76" i="98" s="1"/>
  <c r="K76" i="98" s="1"/>
  <c r="AF91" i="125"/>
  <c r="H4" i="98" s="1"/>
  <c r="N74" i="98" s="1"/>
  <c r="K74" i="98" s="1"/>
  <c r="AC91" i="125"/>
  <c r="AI12" i="125"/>
  <c r="K4" i="23" s="1"/>
  <c r="N78" i="23" s="1"/>
  <c r="K78" i="23" s="1"/>
  <c r="AA12" i="125"/>
  <c r="AC12" i="125"/>
  <c r="E4" i="23" s="1"/>
  <c r="N72" i="23" s="1"/>
  <c r="K72" i="23" s="1"/>
  <c r="AH12" i="125"/>
  <c r="J4" i="23" s="1"/>
  <c r="N76" i="23" s="1"/>
  <c r="K76" i="23" s="1"/>
  <c r="AG12" i="125"/>
  <c r="I4" i="23" s="1"/>
  <c r="N75" i="23" s="1"/>
  <c r="K75" i="23" s="1"/>
  <c r="AF12" i="125"/>
  <c r="H4" i="23" s="1"/>
  <c r="N74" i="23" s="1"/>
  <c r="K74" i="23" s="1"/>
  <c r="AE12" i="125"/>
  <c r="G4" i="23" s="1"/>
  <c r="AD12" i="125"/>
  <c r="F4" i="23" s="1"/>
  <c r="N77" i="23" s="1"/>
  <c r="K77" i="23" s="1"/>
  <c r="AJ12" i="125"/>
  <c r="L4" i="23" s="1"/>
  <c r="AB12" i="125"/>
  <c r="D4" i="23" s="1"/>
  <c r="N71" i="23" s="1"/>
  <c r="K71" i="23" s="1"/>
  <c r="AC58" i="125"/>
  <c r="E4" i="66" s="1"/>
  <c r="N72" i="66" s="1"/>
  <c r="K72" i="66" s="1"/>
  <c r="AJ58" i="125"/>
  <c r="L4" i="66" s="1"/>
  <c r="AB58" i="125"/>
  <c r="D4" i="66" s="1"/>
  <c r="N71" i="66" s="1"/>
  <c r="K71" i="66" s="1"/>
  <c r="AH58" i="125"/>
  <c r="J4" i="66" s="1"/>
  <c r="N76" i="66" s="1"/>
  <c r="K76" i="66" s="1"/>
  <c r="AF58" i="125"/>
  <c r="H4" i="66" s="1"/>
  <c r="N74" i="66" s="1"/>
  <c r="K74" i="66" s="1"/>
  <c r="AA58" i="125"/>
  <c r="AE58" i="125"/>
  <c r="G4" i="66" s="1"/>
  <c r="AI58" i="125"/>
  <c r="K4" i="66" s="1"/>
  <c r="N78" i="66" s="1"/>
  <c r="K78" i="66" s="1"/>
  <c r="AG58" i="125"/>
  <c r="I4" i="66" s="1"/>
  <c r="N75" i="66" s="1"/>
  <c r="K75" i="66" s="1"/>
  <c r="AD58" i="125"/>
  <c r="F4" i="66" s="1"/>
  <c r="N77" i="66" s="1"/>
  <c r="K77" i="66" s="1"/>
  <c r="AI51" i="125"/>
  <c r="K4" i="60" s="1"/>
  <c r="N78" i="60" s="1"/>
  <c r="K78" i="60" s="1"/>
  <c r="AA51" i="125"/>
  <c r="C4" i="60" s="1"/>
  <c r="AH51" i="125"/>
  <c r="J4" i="60" s="1"/>
  <c r="N76" i="60" s="1"/>
  <c r="K76" i="60" s="1"/>
  <c r="AF51" i="125"/>
  <c r="H4" i="60" s="1"/>
  <c r="N74" i="60" s="1"/>
  <c r="K74" i="60" s="1"/>
  <c r="AC51" i="125"/>
  <c r="AE51" i="125"/>
  <c r="G4" i="60" s="1"/>
  <c r="AB51" i="125"/>
  <c r="D4" i="60" s="1"/>
  <c r="N71" i="60" s="1"/>
  <c r="K71" i="60" s="1"/>
  <c r="AJ51" i="125"/>
  <c r="L4" i="60" s="1"/>
  <c r="AG51" i="125"/>
  <c r="I4" i="60" s="1"/>
  <c r="N75" i="60" s="1"/>
  <c r="K75" i="60" s="1"/>
  <c r="AD51" i="125"/>
  <c r="F4" i="60" s="1"/>
  <c r="N77" i="60" s="1"/>
  <c r="K77" i="60" s="1"/>
  <c r="Z53" i="125"/>
  <c r="M52" i="9" s="1"/>
  <c r="P52" i="9" s="1"/>
  <c r="AI24" i="125"/>
  <c r="K4" i="34" s="1"/>
  <c r="N78" i="34" s="1"/>
  <c r="K78" i="34" s="1"/>
  <c r="AA24" i="125"/>
  <c r="AH24" i="125"/>
  <c r="J4" i="34" s="1"/>
  <c r="N76" i="34" s="1"/>
  <c r="K76" i="34" s="1"/>
  <c r="AG24" i="125"/>
  <c r="I4" i="34" s="1"/>
  <c r="N75" i="34" s="1"/>
  <c r="K75" i="34" s="1"/>
  <c r="AC24" i="125"/>
  <c r="E4" i="34" s="1"/>
  <c r="N72" i="34" s="1"/>
  <c r="K72" i="34" s="1"/>
  <c r="AF24" i="125"/>
  <c r="H4" i="34" s="1"/>
  <c r="N74" i="34" s="1"/>
  <c r="K74" i="34" s="1"/>
  <c r="AE24" i="125"/>
  <c r="G4" i="34" s="1"/>
  <c r="AD24" i="125"/>
  <c r="F4" i="34" s="1"/>
  <c r="N77" i="34" s="1"/>
  <c r="K77" i="34" s="1"/>
  <c r="AJ24" i="125"/>
  <c r="L4" i="34" s="1"/>
  <c r="AB24" i="125"/>
  <c r="D4" i="34" s="1"/>
  <c r="N71" i="34" s="1"/>
  <c r="K71" i="34" s="1"/>
  <c r="AE49" i="125"/>
  <c r="G4" i="58" s="1"/>
  <c r="AD49" i="125"/>
  <c r="F4" i="58" s="1"/>
  <c r="N77" i="58" s="1"/>
  <c r="K77" i="58" s="1"/>
  <c r="AJ49" i="125"/>
  <c r="L4" i="58" s="1"/>
  <c r="AB49" i="125"/>
  <c r="D4" i="58" s="1"/>
  <c r="N71" i="58" s="1"/>
  <c r="K71" i="58" s="1"/>
  <c r="AI49" i="125"/>
  <c r="K4" i="58" s="1"/>
  <c r="N78" i="58" s="1"/>
  <c r="K78" i="58" s="1"/>
  <c r="AH49" i="125"/>
  <c r="J4" i="58" s="1"/>
  <c r="N76" i="58" s="1"/>
  <c r="K76" i="58" s="1"/>
  <c r="AG49" i="125"/>
  <c r="I4" i="58" s="1"/>
  <c r="N75" i="58" s="1"/>
  <c r="K75" i="58" s="1"/>
  <c r="AF49" i="125"/>
  <c r="H4" i="58" s="1"/>
  <c r="N74" i="58" s="1"/>
  <c r="K74" i="58" s="1"/>
  <c r="AC49" i="125"/>
  <c r="E4" i="58" s="1"/>
  <c r="N72" i="58" s="1"/>
  <c r="K72" i="58" s="1"/>
  <c r="AA49" i="125"/>
  <c r="AE65" i="125"/>
  <c r="G4" i="73" s="1"/>
  <c r="AD65" i="125"/>
  <c r="F4" i="73" s="1"/>
  <c r="N77" i="73" s="1"/>
  <c r="K77" i="73" s="1"/>
  <c r="AJ65" i="125"/>
  <c r="L4" i="73" s="1"/>
  <c r="AB65" i="125"/>
  <c r="D4" i="73" s="1"/>
  <c r="N71" i="73" s="1"/>
  <c r="K71" i="73" s="1"/>
  <c r="AH65" i="125"/>
  <c r="J4" i="73" s="1"/>
  <c r="N76" i="73" s="1"/>
  <c r="K76" i="73" s="1"/>
  <c r="AI65" i="125"/>
  <c r="K4" i="73" s="1"/>
  <c r="N78" i="73" s="1"/>
  <c r="K78" i="73" s="1"/>
  <c r="AG65" i="125"/>
  <c r="I4" i="73" s="1"/>
  <c r="N75" i="73" s="1"/>
  <c r="K75" i="73" s="1"/>
  <c r="AF65" i="125"/>
  <c r="H4" i="73" s="1"/>
  <c r="N74" i="73" s="1"/>
  <c r="K74" i="73" s="1"/>
  <c r="AC65" i="125"/>
  <c r="E4" i="73" s="1"/>
  <c r="N72" i="73" s="1"/>
  <c r="K72" i="73" s="1"/>
  <c r="AA65" i="125"/>
  <c r="Z85" i="125"/>
  <c r="M84" i="9" s="1"/>
  <c r="P84" i="9" s="1"/>
  <c r="Z13" i="125"/>
  <c r="M12" i="9" s="1"/>
  <c r="M4" i="9" s="1"/>
  <c r="M104" i="9" s="1"/>
  <c r="Z57" i="125"/>
  <c r="M56" i="9" s="1"/>
  <c r="P56" i="9" s="1"/>
  <c r="H18" i="125"/>
  <c r="Z82" i="125"/>
  <c r="M81" i="9" s="1"/>
  <c r="P81" i="9" s="1"/>
  <c r="AE61" i="125"/>
  <c r="G4" i="69" s="1"/>
  <c r="AD61" i="125"/>
  <c r="F4" i="69" s="1"/>
  <c r="N77" i="69" s="1"/>
  <c r="K77" i="69" s="1"/>
  <c r="AJ61" i="125"/>
  <c r="L4" i="69" s="1"/>
  <c r="AB61" i="125"/>
  <c r="D4" i="69" s="1"/>
  <c r="N71" i="69" s="1"/>
  <c r="K71" i="69" s="1"/>
  <c r="AH61" i="125"/>
  <c r="J4" i="69" s="1"/>
  <c r="N76" i="69" s="1"/>
  <c r="K76" i="69" s="1"/>
  <c r="AC61" i="125"/>
  <c r="E4" i="69" s="1"/>
  <c r="N72" i="69" s="1"/>
  <c r="K72" i="69" s="1"/>
  <c r="AA61" i="125"/>
  <c r="AG61" i="125"/>
  <c r="I4" i="69" s="1"/>
  <c r="N75" i="69" s="1"/>
  <c r="K75" i="69" s="1"/>
  <c r="AI61" i="125"/>
  <c r="K4" i="69" s="1"/>
  <c r="N78" i="69" s="1"/>
  <c r="K78" i="69" s="1"/>
  <c r="AF61" i="125"/>
  <c r="H4" i="69" s="1"/>
  <c r="N74" i="69" s="1"/>
  <c r="K74" i="69" s="1"/>
  <c r="N33" i="124"/>
  <c r="P5" i="9"/>
  <c r="K72" i="81"/>
  <c r="K71" i="35"/>
  <c r="Z104" i="7"/>
  <c r="Z106" i="7" s="1"/>
  <c r="N44" i="127" l="1"/>
  <c r="O46" i="125"/>
  <c r="T79" i="125"/>
  <c r="W78" i="125"/>
  <c r="AK6" i="125"/>
  <c r="X79" i="125"/>
  <c r="S79" i="125"/>
  <c r="O78" i="125"/>
  <c r="R79" i="125"/>
  <c r="Q79" i="125"/>
  <c r="V78" i="125"/>
  <c r="P12" i="9"/>
  <c r="O19" i="125"/>
  <c r="Y14" i="125"/>
  <c r="V79" i="125"/>
  <c r="T78" i="125"/>
  <c r="U78" i="125"/>
  <c r="AK86" i="125"/>
  <c r="M4" i="93" s="1"/>
  <c r="N41" i="93" s="1"/>
  <c r="K41" i="93" s="1"/>
  <c r="Y102" i="125"/>
  <c r="U85" i="125"/>
  <c r="O85" i="125"/>
  <c r="W85" i="125"/>
  <c r="P85" i="125"/>
  <c r="X85" i="125"/>
  <c r="Q85" i="125"/>
  <c r="S85" i="125"/>
  <c r="R85" i="125"/>
  <c r="T85" i="125"/>
  <c r="V85" i="125"/>
  <c r="N40" i="73"/>
  <c r="K40" i="73" s="1"/>
  <c r="N53" i="73"/>
  <c r="K53" i="73" s="1"/>
  <c r="N14" i="34"/>
  <c r="N26" i="34"/>
  <c r="K26" i="34" s="1"/>
  <c r="N52" i="34"/>
  <c r="K52" i="34" s="1"/>
  <c r="N39" i="34"/>
  <c r="K39" i="34" s="1"/>
  <c r="N25" i="60"/>
  <c r="N13" i="60"/>
  <c r="N38" i="60"/>
  <c r="N51" i="60"/>
  <c r="K51" i="60" s="1"/>
  <c r="N14" i="102"/>
  <c r="K14" i="102" s="1"/>
  <c r="N52" i="102"/>
  <c r="K52" i="102" s="1"/>
  <c r="N39" i="102"/>
  <c r="K39" i="102" s="1"/>
  <c r="N26" i="102"/>
  <c r="K26" i="102" s="1"/>
  <c r="H76" i="125"/>
  <c r="I3" i="84"/>
  <c r="N14" i="109"/>
  <c r="K14" i="109" s="1"/>
  <c r="N52" i="109"/>
  <c r="K52" i="109" s="1"/>
  <c r="N39" i="109"/>
  <c r="K39" i="109" s="1"/>
  <c r="N26" i="109"/>
  <c r="K26" i="109" s="1"/>
  <c r="K68" i="125"/>
  <c r="L3" i="76"/>
  <c r="G74" i="125"/>
  <c r="H3" i="82"/>
  <c r="E16" i="125"/>
  <c r="F3" i="27"/>
  <c r="I16" i="125"/>
  <c r="J3" i="27"/>
  <c r="J98" i="125"/>
  <c r="K3" i="105"/>
  <c r="D44" i="125"/>
  <c r="E3" i="53"/>
  <c r="G63" i="125"/>
  <c r="H3" i="71"/>
  <c r="I63" i="125"/>
  <c r="J3" i="71"/>
  <c r="G67" i="125"/>
  <c r="H3" i="75"/>
  <c r="E93" i="125"/>
  <c r="F3" i="100"/>
  <c r="H93" i="125"/>
  <c r="I3" i="100"/>
  <c r="I45" i="125"/>
  <c r="J3" i="54"/>
  <c r="N51" i="86"/>
  <c r="K51" i="86" s="1"/>
  <c r="N38" i="86"/>
  <c r="N13" i="86"/>
  <c r="N25" i="86"/>
  <c r="N14" i="111"/>
  <c r="K14" i="111" s="1"/>
  <c r="N52" i="111"/>
  <c r="K52" i="111" s="1"/>
  <c r="N26" i="111"/>
  <c r="K26" i="111" s="1"/>
  <c r="N39" i="111"/>
  <c r="K39" i="111" s="1"/>
  <c r="N40" i="42"/>
  <c r="N53" i="42"/>
  <c r="K53" i="42" s="1"/>
  <c r="J95" i="125"/>
  <c r="K3" i="102"/>
  <c r="N40" i="82"/>
  <c r="N53" i="82"/>
  <c r="K53" i="82" s="1"/>
  <c r="AK35" i="125"/>
  <c r="M4" i="45" s="1"/>
  <c r="E4" i="45"/>
  <c r="N72" i="45" s="1"/>
  <c r="K72" i="45" s="1"/>
  <c r="T48" i="125"/>
  <c r="U48" i="125"/>
  <c r="O48" i="125"/>
  <c r="W48" i="125"/>
  <c r="P48" i="125"/>
  <c r="X48" i="125"/>
  <c r="Q48" i="125"/>
  <c r="R48" i="125"/>
  <c r="S48" i="125"/>
  <c r="V48" i="125"/>
  <c r="N53" i="48"/>
  <c r="K53" i="48" s="1"/>
  <c r="N40" i="48"/>
  <c r="N40" i="46"/>
  <c r="N53" i="46"/>
  <c r="K53" i="46" s="1"/>
  <c r="N39" i="74"/>
  <c r="K39" i="74" s="1"/>
  <c r="N14" i="74"/>
  <c r="N52" i="74"/>
  <c r="K52" i="74" s="1"/>
  <c r="N26" i="74"/>
  <c r="K26" i="74" s="1"/>
  <c r="H103" i="125"/>
  <c r="I3" i="110"/>
  <c r="F35" i="125"/>
  <c r="G3" i="45"/>
  <c r="I29" i="125"/>
  <c r="J3" i="39"/>
  <c r="AK48" i="125"/>
  <c r="M4" i="57" s="1"/>
  <c r="C4" i="57"/>
  <c r="N14" i="95"/>
  <c r="K14" i="95" s="1"/>
  <c r="N52" i="95"/>
  <c r="K52" i="95" s="1"/>
  <c r="N26" i="95"/>
  <c r="K26" i="95" s="1"/>
  <c r="N39" i="95"/>
  <c r="K39" i="95" s="1"/>
  <c r="N40" i="21"/>
  <c r="N53" i="21"/>
  <c r="K53" i="21" s="1"/>
  <c r="Y39" i="125"/>
  <c r="B39" i="125"/>
  <c r="C3" i="48"/>
  <c r="E31" i="125"/>
  <c r="F3" i="41"/>
  <c r="E30" i="125"/>
  <c r="F3" i="40"/>
  <c r="G7" i="125"/>
  <c r="H3" i="18"/>
  <c r="C55" i="125"/>
  <c r="D3" i="63"/>
  <c r="H62" i="125"/>
  <c r="I3" i="70"/>
  <c r="C62" i="125"/>
  <c r="D3" i="70"/>
  <c r="N40" i="35"/>
  <c r="N53" i="35"/>
  <c r="K53" i="35" s="1"/>
  <c r="N53" i="47"/>
  <c r="K53" i="47" s="1"/>
  <c r="N40" i="47"/>
  <c r="C30" i="125"/>
  <c r="D3" i="40"/>
  <c r="N14" i="69"/>
  <c r="N52" i="69"/>
  <c r="K52" i="69" s="1"/>
  <c r="N26" i="69"/>
  <c r="K26" i="69" s="1"/>
  <c r="N39" i="69"/>
  <c r="K39" i="69" s="1"/>
  <c r="AK49" i="125"/>
  <c r="M4" i="58" s="1"/>
  <c r="C4" i="58"/>
  <c r="N27" i="93"/>
  <c r="K27" i="93" s="1"/>
  <c r="N39" i="93"/>
  <c r="K39" i="93" s="1"/>
  <c r="N14" i="93"/>
  <c r="K14" i="93" s="1"/>
  <c r="N52" i="93"/>
  <c r="K52" i="93" s="1"/>
  <c r="N26" i="93"/>
  <c r="K26" i="93" s="1"/>
  <c r="N39" i="40"/>
  <c r="K39" i="40" s="1"/>
  <c r="N26" i="40"/>
  <c r="K26" i="40" s="1"/>
  <c r="N52" i="40"/>
  <c r="K52" i="40" s="1"/>
  <c r="N14" i="40"/>
  <c r="B61" i="125"/>
  <c r="C3" i="69"/>
  <c r="E61" i="125"/>
  <c r="F3" i="69"/>
  <c r="N40" i="89"/>
  <c r="K40" i="89" s="1"/>
  <c r="N53" i="89"/>
  <c r="K53" i="89" s="1"/>
  <c r="E17" i="125"/>
  <c r="F3" i="28"/>
  <c r="T25" i="125"/>
  <c r="U25" i="125"/>
  <c r="O25" i="125"/>
  <c r="W25" i="125"/>
  <c r="S25" i="125"/>
  <c r="V25" i="125"/>
  <c r="X25" i="125"/>
  <c r="P25" i="125"/>
  <c r="Q25" i="125"/>
  <c r="R25" i="125"/>
  <c r="F27" i="125"/>
  <c r="G3" i="37"/>
  <c r="D73" i="125"/>
  <c r="E3" i="81"/>
  <c r="AK19" i="125"/>
  <c r="M4" i="29" s="1"/>
  <c r="E4" i="29"/>
  <c r="N72" i="29" s="1"/>
  <c r="K72" i="29" s="1"/>
  <c r="I23" i="125"/>
  <c r="J3" i="33"/>
  <c r="C23" i="125"/>
  <c r="D3" i="33"/>
  <c r="I21" i="125"/>
  <c r="J3" i="31"/>
  <c r="K86" i="125"/>
  <c r="L3" i="93"/>
  <c r="F86" i="125"/>
  <c r="G3" i="93"/>
  <c r="AK79" i="125"/>
  <c r="M4" i="87" s="1"/>
  <c r="D4" i="87"/>
  <c r="N71" i="87" s="1"/>
  <c r="K71" i="87" s="1"/>
  <c r="D4" i="55"/>
  <c r="N71" i="55" s="1"/>
  <c r="K71" i="55" s="1"/>
  <c r="AK46" i="125"/>
  <c r="M4" i="55" s="1"/>
  <c r="M3" i="109"/>
  <c r="N70" i="60"/>
  <c r="K70" i="60" s="1"/>
  <c r="N52" i="73"/>
  <c r="K52" i="73" s="1"/>
  <c r="N39" i="73"/>
  <c r="K39" i="73" s="1"/>
  <c r="N26" i="73"/>
  <c r="K26" i="73" s="1"/>
  <c r="N14" i="73"/>
  <c r="N40" i="58"/>
  <c r="N53" i="58"/>
  <c r="K53" i="58" s="1"/>
  <c r="N40" i="60"/>
  <c r="N53" i="60"/>
  <c r="K53" i="60" s="1"/>
  <c r="N40" i="66"/>
  <c r="N53" i="66"/>
  <c r="K53" i="66" s="1"/>
  <c r="N14" i="98"/>
  <c r="N52" i="98"/>
  <c r="K52" i="98" s="1"/>
  <c r="N39" i="98"/>
  <c r="K39" i="98" s="1"/>
  <c r="N26" i="98"/>
  <c r="K26" i="98" s="1"/>
  <c r="N53" i="33"/>
  <c r="K53" i="33" s="1"/>
  <c r="N40" i="33"/>
  <c r="AK41" i="125"/>
  <c r="M4" i="50" s="1"/>
  <c r="C4" i="50"/>
  <c r="AK30" i="125"/>
  <c r="M4" i="40" s="1"/>
  <c r="E4" i="40"/>
  <c r="N72" i="40" s="1"/>
  <c r="K72" i="40" s="1"/>
  <c r="N53" i="18"/>
  <c r="K53" i="18" s="1"/>
  <c r="N40" i="18"/>
  <c r="H61" i="125"/>
  <c r="I3" i="69"/>
  <c r="F61" i="125"/>
  <c r="G3" i="69"/>
  <c r="F17" i="125"/>
  <c r="G3" i="28"/>
  <c r="G17" i="125"/>
  <c r="H3" i="28"/>
  <c r="B27" i="125"/>
  <c r="C3" i="37"/>
  <c r="F73" i="125"/>
  <c r="G3" i="81"/>
  <c r="N53" i="29"/>
  <c r="K53" i="29" s="1"/>
  <c r="N40" i="29"/>
  <c r="J23" i="125"/>
  <c r="K3" i="33"/>
  <c r="K23" i="125"/>
  <c r="L3" i="33"/>
  <c r="K21" i="125"/>
  <c r="L3" i="31"/>
  <c r="E86" i="125"/>
  <c r="F3" i="93"/>
  <c r="H86" i="125"/>
  <c r="I3" i="93"/>
  <c r="N53" i="55"/>
  <c r="K53" i="55" s="1"/>
  <c r="N40" i="55"/>
  <c r="D30" i="125"/>
  <c r="E3" i="40"/>
  <c r="F30" i="125"/>
  <c r="G3" i="40"/>
  <c r="I7" i="125"/>
  <c r="J3" i="18"/>
  <c r="F55" i="125"/>
  <c r="G3" i="63"/>
  <c r="J62" i="125"/>
  <c r="K3" i="70"/>
  <c r="K62" i="125"/>
  <c r="L3" i="70"/>
  <c r="AK38" i="125"/>
  <c r="M4" i="47" s="1"/>
  <c r="E4" i="47"/>
  <c r="N72" i="47" s="1"/>
  <c r="K72" i="47" s="1"/>
  <c r="N26" i="81"/>
  <c r="K26" i="81" s="1"/>
  <c r="N14" i="81"/>
  <c r="N52" i="81"/>
  <c r="K52" i="81" s="1"/>
  <c r="N39" i="81"/>
  <c r="K39" i="81" s="1"/>
  <c r="N40" i="38"/>
  <c r="K40" i="38" s="1"/>
  <c r="N53" i="38"/>
  <c r="K53" i="38" s="1"/>
  <c r="N40" i="71"/>
  <c r="N53" i="71"/>
  <c r="K53" i="71" s="1"/>
  <c r="N40" i="75"/>
  <c r="N53" i="75"/>
  <c r="K53" i="75" s="1"/>
  <c r="N25" i="75"/>
  <c r="N51" i="75"/>
  <c r="K51" i="75" s="1"/>
  <c r="N13" i="75"/>
  <c r="N38" i="75"/>
  <c r="U32" i="125"/>
  <c r="P32" i="125"/>
  <c r="X32" i="125"/>
  <c r="O32" i="125"/>
  <c r="Q32" i="125"/>
  <c r="S32" i="125"/>
  <c r="T32" i="125"/>
  <c r="R32" i="125"/>
  <c r="W32" i="125"/>
  <c r="V32" i="125"/>
  <c r="I76" i="125"/>
  <c r="J3" i="84"/>
  <c r="N40" i="19"/>
  <c r="K40" i="19" s="1"/>
  <c r="N53" i="19"/>
  <c r="K53" i="19" s="1"/>
  <c r="AK102" i="125"/>
  <c r="M4" i="109" s="1"/>
  <c r="E4" i="109"/>
  <c r="N72" i="109" s="1"/>
  <c r="K72" i="109" s="1"/>
  <c r="D68" i="125"/>
  <c r="E3" i="76"/>
  <c r="K74" i="125"/>
  <c r="L3" i="82"/>
  <c r="F16" i="125"/>
  <c r="G3" i="27"/>
  <c r="Y16" i="125"/>
  <c r="B16" i="125"/>
  <c r="C3" i="27"/>
  <c r="C98" i="125"/>
  <c r="D3" i="105"/>
  <c r="H44" i="125"/>
  <c r="I3" i="53"/>
  <c r="K63" i="125"/>
  <c r="L3" i="71"/>
  <c r="Y63" i="125"/>
  <c r="B63" i="125"/>
  <c r="C3" i="71"/>
  <c r="N40" i="68"/>
  <c r="N53" i="68"/>
  <c r="K53" i="68" s="1"/>
  <c r="F67" i="125"/>
  <c r="G3" i="75"/>
  <c r="G93" i="125"/>
  <c r="H3" i="100"/>
  <c r="Y93" i="125"/>
  <c r="B93" i="125"/>
  <c r="C3" i="100"/>
  <c r="N25" i="106"/>
  <c r="N13" i="106"/>
  <c r="N38" i="106"/>
  <c r="N51" i="106"/>
  <c r="K51" i="106" s="1"/>
  <c r="B45" i="125"/>
  <c r="C3" i="54"/>
  <c r="D95" i="125"/>
  <c r="E3" i="102"/>
  <c r="N40" i="84"/>
  <c r="N53" i="84"/>
  <c r="K53" i="84" s="1"/>
  <c r="AK76" i="125"/>
  <c r="M4" i="84" s="1"/>
  <c r="C4" i="84"/>
  <c r="N26" i="76"/>
  <c r="K26" i="76" s="1"/>
  <c r="N14" i="76"/>
  <c r="K14" i="76" s="1"/>
  <c r="N39" i="76"/>
  <c r="K39" i="76" s="1"/>
  <c r="N52" i="76"/>
  <c r="K52" i="76" s="1"/>
  <c r="N40" i="105"/>
  <c r="N53" i="105"/>
  <c r="K53" i="105" s="1"/>
  <c r="AK44" i="125"/>
  <c r="M4" i="53" s="1"/>
  <c r="C4" i="53"/>
  <c r="N52" i="110"/>
  <c r="K52" i="110" s="1"/>
  <c r="N26" i="110"/>
  <c r="K26" i="110" s="1"/>
  <c r="N39" i="110"/>
  <c r="K39" i="110" s="1"/>
  <c r="N14" i="110"/>
  <c r="AK39" i="125"/>
  <c r="M4" i="48" s="1"/>
  <c r="D4" i="48"/>
  <c r="N71" i="48" s="1"/>
  <c r="K71" i="48" s="1"/>
  <c r="N40" i="103"/>
  <c r="N53" i="103"/>
  <c r="K53" i="103" s="1"/>
  <c r="N40" i="64"/>
  <c r="N53" i="64"/>
  <c r="K53" i="64" s="1"/>
  <c r="N51" i="90"/>
  <c r="K51" i="90" s="1"/>
  <c r="N25" i="90"/>
  <c r="N13" i="90"/>
  <c r="N38" i="90"/>
  <c r="N53" i="74"/>
  <c r="K53" i="74" s="1"/>
  <c r="N40" i="74"/>
  <c r="I103" i="125"/>
  <c r="J3" i="110"/>
  <c r="H35" i="125"/>
  <c r="I3" i="45"/>
  <c r="K29" i="125"/>
  <c r="L3" i="39"/>
  <c r="N25" i="32"/>
  <c r="N13" i="32"/>
  <c r="N51" i="32"/>
  <c r="K51" i="32" s="1"/>
  <c r="N38" i="32"/>
  <c r="N53" i="91"/>
  <c r="K53" i="91" s="1"/>
  <c r="N40" i="91"/>
  <c r="AK84" i="125"/>
  <c r="M4" i="91" s="1"/>
  <c r="C4" i="91"/>
  <c r="C39" i="125"/>
  <c r="D3" i="48"/>
  <c r="I31" i="125"/>
  <c r="J3" i="41"/>
  <c r="AK13" i="125"/>
  <c r="M4" i="24" s="1"/>
  <c r="C4" i="24"/>
  <c r="G65" i="125"/>
  <c r="H3" i="73"/>
  <c r="E65" i="125"/>
  <c r="F3" i="73"/>
  <c r="H49" i="125"/>
  <c r="I3" i="58"/>
  <c r="E24" i="125"/>
  <c r="F3" i="34"/>
  <c r="K51" i="125"/>
  <c r="L3" i="60"/>
  <c r="I51" i="125"/>
  <c r="J3" i="60"/>
  <c r="D58" i="125"/>
  <c r="E3" i="66"/>
  <c r="E12" i="125"/>
  <c r="F3" i="23"/>
  <c r="I91" i="125"/>
  <c r="J3" i="98"/>
  <c r="Y41" i="125"/>
  <c r="B41" i="125"/>
  <c r="C3" i="50"/>
  <c r="G9" i="125"/>
  <c r="H3" i="20"/>
  <c r="H9" i="125"/>
  <c r="I3" i="20"/>
  <c r="AC105" i="125"/>
  <c r="AC107" i="125" s="1"/>
  <c r="E4" i="17"/>
  <c r="N72" i="17" s="1"/>
  <c r="K72" i="17" s="1"/>
  <c r="E4" i="16"/>
  <c r="N72" i="16" s="1"/>
  <c r="K72" i="16" s="1"/>
  <c r="N14" i="26"/>
  <c r="N52" i="26"/>
  <c r="K52" i="26" s="1"/>
  <c r="N39" i="26"/>
  <c r="K39" i="26" s="1"/>
  <c r="N26" i="26"/>
  <c r="K26" i="26" s="1"/>
  <c r="C100" i="125"/>
  <c r="D3" i="107"/>
  <c r="D100" i="125"/>
  <c r="E3" i="107"/>
  <c r="C22" i="125"/>
  <c r="D3" i="32"/>
  <c r="G102" i="125"/>
  <c r="H3" i="109"/>
  <c r="H102" i="125"/>
  <c r="I3" i="109"/>
  <c r="G83" i="125"/>
  <c r="H3" i="90"/>
  <c r="E37" i="125"/>
  <c r="F3" i="46"/>
  <c r="S71" i="125"/>
  <c r="Q71" i="125"/>
  <c r="X71" i="125"/>
  <c r="O71" i="125"/>
  <c r="T71" i="125"/>
  <c r="P71" i="125"/>
  <c r="W71" i="125"/>
  <c r="V71" i="125"/>
  <c r="U71" i="125"/>
  <c r="AK71" i="125"/>
  <c r="M4" i="79" s="1"/>
  <c r="O4" i="79" s="1"/>
  <c r="AK43" i="125"/>
  <c r="M4" i="52" s="1"/>
  <c r="E4" i="52"/>
  <c r="N72" i="52" s="1"/>
  <c r="K72" i="52" s="1"/>
  <c r="N40" i="52"/>
  <c r="N53" i="52"/>
  <c r="K53" i="52" s="1"/>
  <c r="Y19" i="125"/>
  <c r="E19" i="125"/>
  <c r="F3" i="29"/>
  <c r="N39" i="59"/>
  <c r="K39" i="59" s="1"/>
  <c r="N14" i="59"/>
  <c r="N52" i="59"/>
  <c r="K52" i="59" s="1"/>
  <c r="N26" i="59"/>
  <c r="K26" i="59" s="1"/>
  <c r="C14" i="125"/>
  <c r="D3" i="25"/>
  <c r="J70" i="125"/>
  <c r="K3" i="78"/>
  <c r="N14" i="36"/>
  <c r="N52" i="36"/>
  <c r="K52" i="36" s="1"/>
  <c r="N39" i="36"/>
  <c r="K39" i="36" s="1"/>
  <c r="N26" i="36"/>
  <c r="K26" i="36" s="1"/>
  <c r="I69" i="125"/>
  <c r="J3" i="77"/>
  <c r="G46" i="125"/>
  <c r="H3" i="55"/>
  <c r="F81" i="125"/>
  <c r="G3" i="88"/>
  <c r="N51" i="62"/>
  <c r="K51" i="62" s="1"/>
  <c r="N38" i="62"/>
  <c r="N25" i="62"/>
  <c r="N13" i="62"/>
  <c r="K79" i="125"/>
  <c r="L3" i="87"/>
  <c r="F79" i="125"/>
  <c r="G3" i="87"/>
  <c r="B78" i="125"/>
  <c r="C3" i="86"/>
  <c r="H72" i="125"/>
  <c r="I3" i="80"/>
  <c r="K75" i="125"/>
  <c r="L3" i="83"/>
  <c r="N52" i="24"/>
  <c r="K52" i="24" s="1"/>
  <c r="N39" i="24"/>
  <c r="K39" i="24" s="1"/>
  <c r="N26" i="24"/>
  <c r="K26" i="24" s="1"/>
  <c r="N14" i="24"/>
  <c r="Y65" i="125"/>
  <c r="B65" i="125"/>
  <c r="C3" i="73"/>
  <c r="J49" i="125"/>
  <c r="K3" i="58"/>
  <c r="F49" i="125"/>
  <c r="G3" i="58"/>
  <c r="D24" i="125"/>
  <c r="E3" i="34"/>
  <c r="H51" i="125"/>
  <c r="I3" i="60"/>
  <c r="F58" i="125"/>
  <c r="G3" i="66"/>
  <c r="K58" i="125"/>
  <c r="L3" i="66"/>
  <c r="K12" i="125"/>
  <c r="L3" i="23"/>
  <c r="J91" i="125"/>
  <c r="K3" i="98"/>
  <c r="N53" i="25"/>
  <c r="K53" i="25" s="1"/>
  <c r="N40" i="25"/>
  <c r="I41" i="125"/>
  <c r="J3" i="50"/>
  <c r="F9" i="125"/>
  <c r="G3" i="20"/>
  <c r="N40" i="83"/>
  <c r="N53" i="83"/>
  <c r="K53" i="83" s="1"/>
  <c r="V6" i="125"/>
  <c r="P6" i="125"/>
  <c r="Q6" i="125"/>
  <c r="R6" i="125"/>
  <c r="S6" i="125"/>
  <c r="T6" i="125"/>
  <c r="W6" i="125"/>
  <c r="O6" i="125"/>
  <c r="U6" i="125"/>
  <c r="X6" i="125"/>
  <c r="Z105" i="125"/>
  <c r="Z107" i="125" s="1"/>
  <c r="M4" i="17"/>
  <c r="M4" i="16"/>
  <c r="Q11" i="125"/>
  <c r="R11" i="125"/>
  <c r="T11" i="125"/>
  <c r="U11" i="125"/>
  <c r="V11" i="125"/>
  <c r="W11" i="125"/>
  <c r="X11" i="125"/>
  <c r="O11" i="125"/>
  <c r="P11" i="125"/>
  <c r="S11" i="125"/>
  <c r="N14" i="94"/>
  <c r="N52" i="94"/>
  <c r="K52" i="94" s="1"/>
  <c r="N39" i="94"/>
  <c r="K39" i="94" s="1"/>
  <c r="N26" i="94"/>
  <c r="K26" i="94" s="1"/>
  <c r="I100" i="125"/>
  <c r="J3" i="107"/>
  <c r="V47" i="125"/>
  <c r="O47" i="125"/>
  <c r="W47" i="125"/>
  <c r="Q47" i="125"/>
  <c r="R47" i="125"/>
  <c r="U47" i="125"/>
  <c r="X47" i="125"/>
  <c r="P47" i="125"/>
  <c r="T47" i="125"/>
  <c r="S47" i="125"/>
  <c r="B22" i="125"/>
  <c r="C3" i="32"/>
  <c r="F102" i="125"/>
  <c r="G3" i="109"/>
  <c r="I83" i="125"/>
  <c r="J3" i="90"/>
  <c r="F83" i="125"/>
  <c r="G3" i="90"/>
  <c r="Y37" i="125"/>
  <c r="C37" i="125"/>
  <c r="D3" i="46"/>
  <c r="N51" i="79"/>
  <c r="K51" i="79" s="1"/>
  <c r="N38" i="79"/>
  <c r="N25" i="79"/>
  <c r="N13" i="79"/>
  <c r="AK89" i="125"/>
  <c r="M4" i="96" s="1"/>
  <c r="C4" i="96"/>
  <c r="V59" i="125"/>
  <c r="O59" i="125"/>
  <c r="W59" i="125"/>
  <c r="R59" i="125"/>
  <c r="Q59" i="125"/>
  <c r="S59" i="125"/>
  <c r="T59" i="125"/>
  <c r="X59" i="125"/>
  <c r="P59" i="125"/>
  <c r="U59" i="125"/>
  <c r="B19" i="125"/>
  <c r="C3" i="29"/>
  <c r="M3" i="25"/>
  <c r="I14" i="125"/>
  <c r="J3" i="25"/>
  <c r="B70" i="125"/>
  <c r="C3" i="78"/>
  <c r="AK26" i="125"/>
  <c r="M4" i="36" s="1"/>
  <c r="C4" i="36"/>
  <c r="Y69" i="125"/>
  <c r="C69" i="125"/>
  <c r="D3" i="77"/>
  <c r="H69" i="125"/>
  <c r="I3" i="77"/>
  <c r="F46" i="125"/>
  <c r="G3" i="55"/>
  <c r="D81" i="125"/>
  <c r="E3" i="88"/>
  <c r="AK101" i="125"/>
  <c r="M4" i="108" s="1"/>
  <c r="C4" i="108"/>
  <c r="N53" i="85"/>
  <c r="K53" i="85" s="1"/>
  <c r="N40" i="85"/>
  <c r="K40" i="85" s="1"/>
  <c r="E79" i="125"/>
  <c r="F3" i="87"/>
  <c r="D79" i="125"/>
  <c r="E3" i="87"/>
  <c r="I78" i="125"/>
  <c r="J3" i="86"/>
  <c r="F72" i="125"/>
  <c r="G3" i="80"/>
  <c r="Y75" i="125"/>
  <c r="E75" i="125"/>
  <c r="F3" i="83"/>
  <c r="S82" i="125"/>
  <c r="U82" i="125"/>
  <c r="V82" i="125"/>
  <c r="O82" i="125"/>
  <c r="W82" i="125"/>
  <c r="Q82" i="125"/>
  <c r="R82" i="125"/>
  <c r="T82" i="125"/>
  <c r="P82" i="125"/>
  <c r="X82" i="125"/>
  <c r="N14" i="58"/>
  <c r="N39" i="58"/>
  <c r="K39" i="58" s="1"/>
  <c r="N26" i="58"/>
  <c r="K26" i="58" s="1"/>
  <c r="N52" i="58"/>
  <c r="K52" i="58" s="1"/>
  <c r="N14" i="60"/>
  <c r="N52" i="60"/>
  <c r="K52" i="60" s="1"/>
  <c r="N39" i="60"/>
  <c r="K39" i="60" s="1"/>
  <c r="N26" i="60"/>
  <c r="K26" i="60" s="1"/>
  <c r="AK12" i="125"/>
  <c r="M4" i="23" s="1"/>
  <c r="C4" i="23"/>
  <c r="N25" i="98"/>
  <c r="N38" i="98"/>
  <c r="N13" i="98"/>
  <c r="N51" i="98"/>
  <c r="K51" i="98" s="1"/>
  <c r="V20" i="125"/>
  <c r="O20" i="125"/>
  <c r="W20" i="125"/>
  <c r="Q20" i="125"/>
  <c r="S20" i="125"/>
  <c r="T20" i="125"/>
  <c r="U20" i="125"/>
  <c r="X20" i="125"/>
  <c r="P20" i="125"/>
  <c r="R20" i="125"/>
  <c r="N39" i="31"/>
  <c r="K39" i="31" s="1"/>
  <c r="N14" i="31"/>
  <c r="N52" i="31"/>
  <c r="K52" i="31" s="1"/>
  <c r="N26" i="31"/>
  <c r="K26" i="31" s="1"/>
  <c r="N38" i="93"/>
  <c r="N25" i="93"/>
  <c r="O4" i="93"/>
  <c r="N51" i="93"/>
  <c r="K51" i="93" s="1"/>
  <c r="N13" i="93"/>
  <c r="N14" i="50"/>
  <c r="N26" i="50"/>
  <c r="K26" i="50" s="1"/>
  <c r="N39" i="50"/>
  <c r="K39" i="50" s="1"/>
  <c r="N52" i="50"/>
  <c r="K52" i="50" s="1"/>
  <c r="N39" i="20"/>
  <c r="K39" i="20" s="1"/>
  <c r="N26" i="20"/>
  <c r="K26" i="20" s="1"/>
  <c r="N14" i="20"/>
  <c r="N52" i="20"/>
  <c r="K52" i="20" s="1"/>
  <c r="N13" i="63"/>
  <c r="N51" i="63"/>
  <c r="K51" i="63" s="1"/>
  <c r="N25" i="63"/>
  <c r="N38" i="63"/>
  <c r="N52" i="107"/>
  <c r="K52" i="107" s="1"/>
  <c r="N39" i="107"/>
  <c r="K39" i="107" s="1"/>
  <c r="N26" i="107"/>
  <c r="K26" i="107" s="1"/>
  <c r="N14" i="107"/>
  <c r="D61" i="125"/>
  <c r="E3" i="69"/>
  <c r="AK82" i="125"/>
  <c r="M4" i="89" s="1"/>
  <c r="C4" i="89"/>
  <c r="D17" i="125"/>
  <c r="E3" i="28"/>
  <c r="Q38" i="125"/>
  <c r="T38" i="125"/>
  <c r="O38" i="125"/>
  <c r="P38" i="125"/>
  <c r="S38" i="125"/>
  <c r="U38" i="125"/>
  <c r="R38" i="125"/>
  <c r="V38" i="125"/>
  <c r="W38" i="125"/>
  <c r="X38" i="125"/>
  <c r="Y27" i="125"/>
  <c r="D27" i="125"/>
  <c r="E3" i="37"/>
  <c r="K73" i="125"/>
  <c r="L3" i="81"/>
  <c r="Q94" i="125"/>
  <c r="P94" i="125"/>
  <c r="W94" i="125"/>
  <c r="V94" i="125"/>
  <c r="U94" i="125"/>
  <c r="T94" i="125"/>
  <c r="S94" i="125"/>
  <c r="O94" i="125"/>
  <c r="X94" i="125"/>
  <c r="H23" i="125"/>
  <c r="I3" i="33"/>
  <c r="AK20" i="125"/>
  <c r="M4" i="30" s="1"/>
  <c r="C4" i="30"/>
  <c r="J21" i="125"/>
  <c r="K3" i="31"/>
  <c r="N14" i="72"/>
  <c r="N52" i="72"/>
  <c r="K52" i="72" s="1"/>
  <c r="N39" i="72"/>
  <c r="K39" i="72" s="1"/>
  <c r="N26" i="72"/>
  <c r="K26" i="72" s="1"/>
  <c r="G86" i="125"/>
  <c r="H3" i="93"/>
  <c r="N38" i="87"/>
  <c r="N13" i="87"/>
  <c r="N51" i="87"/>
  <c r="K51" i="87" s="1"/>
  <c r="N25" i="87"/>
  <c r="O4" i="87"/>
  <c r="N40" i="87"/>
  <c r="N53" i="87"/>
  <c r="K53" i="87" s="1"/>
  <c r="N25" i="55"/>
  <c r="N13" i="55"/>
  <c r="N51" i="55"/>
  <c r="K51" i="55" s="1"/>
  <c r="N38" i="55"/>
  <c r="O4" i="55"/>
  <c r="B30" i="125"/>
  <c r="C3" i="40"/>
  <c r="H7" i="125"/>
  <c r="I3" i="18"/>
  <c r="E7" i="125"/>
  <c r="F3" i="18"/>
  <c r="E55" i="125"/>
  <c r="F3" i="63"/>
  <c r="E62" i="125"/>
  <c r="F3" i="70"/>
  <c r="O8" i="125"/>
  <c r="W8" i="125"/>
  <c r="P8" i="125"/>
  <c r="X8" i="125"/>
  <c r="R8" i="125"/>
  <c r="Q8" i="125"/>
  <c r="S8" i="125"/>
  <c r="T8" i="125"/>
  <c r="V8" i="125"/>
  <c r="U8" i="125"/>
  <c r="N26" i="28"/>
  <c r="K26" i="28" s="1"/>
  <c r="N14" i="28"/>
  <c r="N52" i="28"/>
  <c r="K52" i="28" s="1"/>
  <c r="N39" i="28"/>
  <c r="K39" i="28" s="1"/>
  <c r="AK27" i="125"/>
  <c r="M4" i="37" s="1"/>
  <c r="E4" i="37"/>
  <c r="N72" i="37" s="1"/>
  <c r="K72" i="37" s="1"/>
  <c r="N40" i="81"/>
  <c r="N53" i="81"/>
  <c r="K53" i="81" s="1"/>
  <c r="N40" i="97"/>
  <c r="N53" i="97"/>
  <c r="K53" i="97" s="1"/>
  <c r="N40" i="101"/>
  <c r="N53" i="101"/>
  <c r="K53" i="101" s="1"/>
  <c r="AK67" i="125"/>
  <c r="M4" i="75" s="1"/>
  <c r="E4" i="75"/>
  <c r="N72" i="75" s="1"/>
  <c r="K72" i="75" s="1"/>
  <c r="N14" i="100"/>
  <c r="N52" i="100"/>
  <c r="K52" i="100" s="1"/>
  <c r="N26" i="100"/>
  <c r="K26" i="100" s="1"/>
  <c r="N39" i="100"/>
  <c r="K39" i="100" s="1"/>
  <c r="F76" i="125"/>
  <c r="G3" i="84"/>
  <c r="N14" i="19"/>
  <c r="N26" i="19"/>
  <c r="K26" i="19" s="1"/>
  <c r="N52" i="19"/>
  <c r="K52" i="19" s="1"/>
  <c r="N39" i="19"/>
  <c r="K39" i="19" s="1"/>
  <c r="C68" i="125"/>
  <c r="D3" i="76"/>
  <c r="D74" i="125"/>
  <c r="E3" i="82"/>
  <c r="C16" i="125"/>
  <c r="D3" i="27"/>
  <c r="I98" i="125"/>
  <c r="J3" i="105"/>
  <c r="B98" i="125"/>
  <c r="C3" i="105"/>
  <c r="J44" i="125"/>
  <c r="K3" i="53"/>
  <c r="H63" i="125"/>
  <c r="I3" i="71"/>
  <c r="D67" i="125"/>
  <c r="E3" i="75"/>
  <c r="I93" i="125"/>
  <c r="J3" i="100"/>
  <c r="AK99" i="125"/>
  <c r="M4" i="106" s="1"/>
  <c r="E4" i="106"/>
  <c r="N72" i="106" s="1"/>
  <c r="K72" i="106" s="1"/>
  <c r="H45" i="125"/>
  <c r="I3" i="54"/>
  <c r="AK78" i="125"/>
  <c r="M4" i="86" s="1"/>
  <c r="E4" i="86"/>
  <c r="N72" i="86" s="1"/>
  <c r="K72" i="86" s="1"/>
  <c r="Y95" i="125"/>
  <c r="B95" i="125"/>
  <c r="C3" i="102"/>
  <c r="P42" i="125"/>
  <c r="X42" i="125"/>
  <c r="S42" i="125"/>
  <c r="Q42" i="125"/>
  <c r="R42" i="125"/>
  <c r="U42" i="125"/>
  <c r="V42" i="125"/>
  <c r="O42" i="125"/>
  <c r="T42" i="125"/>
  <c r="W42" i="125"/>
  <c r="AK74" i="125"/>
  <c r="M4" i="82" s="1"/>
  <c r="C4" i="82"/>
  <c r="P66" i="125"/>
  <c r="X66" i="125"/>
  <c r="Q66" i="125"/>
  <c r="T66" i="125"/>
  <c r="U66" i="125"/>
  <c r="W66" i="125"/>
  <c r="R66" i="125"/>
  <c r="V66" i="125"/>
  <c r="O66" i="125"/>
  <c r="S66" i="125"/>
  <c r="AK103" i="125"/>
  <c r="M4" i="110" s="1"/>
  <c r="D4" i="110"/>
  <c r="N71" i="110" s="1"/>
  <c r="K71" i="110" s="1"/>
  <c r="N52" i="39"/>
  <c r="K52" i="39" s="1"/>
  <c r="N14" i="39"/>
  <c r="N39" i="39"/>
  <c r="K39" i="39" s="1"/>
  <c r="N26" i="39"/>
  <c r="K26" i="39" s="1"/>
  <c r="O88" i="125"/>
  <c r="W88" i="125"/>
  <c r="Q88" i="125"/>
  <c r="R88" i="125"/>
  <c r="S88" i="125"/>
  <c r="U88" i="125"/>
  <c r="P88" i="125"/>
  <c r="V88" i="125"/>
  <c r="T88" i="125"/>
  <c r="X88" i="125"/>
  <c r="N39" i="48"/>
  <c r="K39" i="48" s="1"/>
  <c r="N52" i="48"/>
  <c r="K52" i="48" s="1"/>
  <c r="N14" i="48"/>
  <c r="N26" i="48"/>
  <c r="K26" i="48" s="1"/>
  <c r="AK31" i="125"/>
  <c r="M4" i="41" s="1"/>
  <c r="D4" i="41"/>
  <c r="N71" i="41" s="1"/>
  <c r="K71" i="41" s="1"/>
  <c r="N39" i="51"/>
  <c r="K39" i="51" s="1"/>
  <c r="N26" i="51"/>
  <c r="K26" i="51" s="1"/>
  <c r="N14" i="51"/>
  <c r="N52" i="51"/>
  <c r="K52" i="51" s="1"/>
  <c r="J103" i="125"/>
  <c r="K3" i="110"/>
  <c r="Y103" i="125"/>
  <c r="G103" i="125"/>
  <c r="H3" i="110"/>
  <c r="D35" i="125"/>
  <c r="E3" i="45"/>
  <c r="F29" i="125"/>
  <c r="G3" i="39"/>
  <c r="AK88" i="125"/>
  <c r="M4" i="95" s="1"/>
  <c r="C4" i="95"/>
  <c r="H39" i="125"/>
  <c r="I3" i="48"/>
  <c r="D39" i="125"/>
  <c r="E3" i="48"/>
  <c r="K31" i="125"/>
  <c r="L3" i="41"/>
  <c r="AK81" i="125"/>
  <c r="M4" i="88" s="1"/>
  <c r="C4" i="88"/>
  <c r="K65" i="125"/>
  <c r="L3" i="73"/>
  <c r="Y49" i="125"/>
  <c r="B49" i="125"/>
  <c r="C3" i="58"/>
  <c r="E49" i="125"/>
  <c r="F3" i="58"/>
  <c r="J24" i="125"/>
  <c r="K3" i="34"/>
  <c r="G51" i="125"/>
  <c r="H3" i="60"/>
  <c r="I58" i="125"/>
  <c r="J3" i="66"/>
  <c r="C58" i="125"/>
  <c r="D3" i="66"/>
  <c r="C12" i="125"/>
  <c r="D3" i="23"/>
  <c r="B91" i="125"/>
  <c r="C3" i="98"/>
  <c r="AK14" i="125"/>
  <c r="M4" i="25" s="1"/>
  <c r="E4" i="25"/>
  <c r="N72" i="25" s="1"/>
  <c r="K72" i="25" s="1"/>
  <c r="G41" i="125"/>
  <c r="H3" i="50"/>
  <c r="E9" i="125"/>
  <c r="F3" i="20"/>
  <c r="AK75" i="125"/>
  <c r="M4" i="83" s="1"/>
  <c r="E4" i="83"/>
  <c r="N72" i="83" s="1"/>
  <c r="K72" i="83" s="1"/>
  <c r="AD105" i="125"/>
  <c r="AD107" i="125" s="1"/>
  <c r="F4" i="17"/>
  <c r="N77" i="17" s="1"/>
  <c r="K77" i="17" s="1"/>
  <c r="K124" i="118" s="1"/>
  <c r="N124" i="118" s="1"/>
  <c r="F4" i="16"/>
  <c r="N77" i="16" s="1"/>
  <c r="K77" i="16" s="1"/>
  <c r="N53" i="22"/>
  <c r="K53" i="22" s="1"/>
  <c r="N40" i="22"/>
  <c r="E100" i="125"/>
  <c r="F3" i="107"/>
  <c r="N14" i="56"/>
  <c r="N52" i="56"/>
  <c r="K52" i="56" s="1"/>
  <c r="N39" i="56"/>
  <c r="K39" i="56" s="1"/>
  <c r="N26" i="56"/>
  <c r="K26" i="56" s="1"/>
  <c r="N38" i="56"/>
  <c r="N25" i="56"/>
  <c r="N13" i="56"/>
  <c r="N51" i="56"/>
  <c r="K51" i="56" s="1"/>
  <c r="K22" i="125"/>
  <c r="L3" i="32"/>
  <c r="K83" i="125"/>
  <c r="L3" i="90"/>
  <c r="D83" i="125"/>
  <c r="E3" i="90"/>
  <c r="B37" i="125"/>
  <c r="C3" i="46"/>
  <c r="N53" i="79"/>
  <c r="K53" i="79" s="1"/>
  <c r="N40" i="79"/>
  <c r="N39" i="52"/>
  <c r="K39" i="52" s="1"/>
  <c r="N26" i="52"/>
  <c r="K26" i="52" s="1"/>
  <c r="N14" i="52"/>
  <c r="N52" i="52"/>
  <c r="K52" i="52" s="1"/>
  <c r="N53" i="67"/>
  <c r="K53" i="67" s="1"/>
  <c r="N40" i="67"/>
  <c r="N25" i="67"/>
  <c r="N13" i="67"/>
  <c r="N51" i="67"/>
  <c r="K51" i="67" s="1"/>
  <c r="N38" i="67"/>
  <c r="F19" i="125"/>
  <c r="G3" i="29"/>
  <c r="B14" i="125"/>
  <c r="C3" i="25"/>
  <c r="G14" i="125"/>
  <c r="H3" i="25"/>
  <c r="H70" i="125"/>
  <c r="I3" i="78"/>
  <c r="K69" i="125"/>
  <c r="L3" i="77"/>
  <c r="F69" i="125"/>
  <c r="G3" i="77"/>
  <c r="Y46" i="125"/>
  <c r="D46" i="125"/>
  <c r="E3" i="55"/>
  <c r="K81" i="125"/>
  <c r="L3" i="88"/>
  <c r="U77" i="125"/>
  <c r="O77" i="125"/>
  <c r="W77" i="125"/>
  <c r="P77" i="125"/>
  <c r="X77" i="125"/>
  <c r="Q77" i="125"/>
  <c r="S77" i="125"/>
  <c r="T77" i="125"/>
  <c r="R77" i="125"/>
  <c r="V77" i="125"/>
  <c r="I79" i="125"/>
  <c r="J3" i="87"/>
  <c r="G78" i="125"/>
  <c r="H3" i="86"/>
  <c r="H78" i="125"/>
  <c r="I3" i="86"/>
  <c r="Y72" i="125"/>
  <c r="E72" i="125"/>
  <c r="F3" i="80"/>
  <c r="J75" i="125"/>
  <c r="K3" i="83"/>
  <c r="AK61" i="125"/>
  <c r="M4" i="69" s="1"/>
  <c r="C4" i="69"/>
  <c r="AK24" i="125"/>
  <c r="M4" i="34" s="1"/>
  <c r="C4" i="34"/>
  <c r="AK51" i="125"/>
  <c r="M4" i="60" s="1"/>
  <c r="E4" i="60"/>
  <c r="N72" i="60" s="1"/>
  <c r="K72" i="60" s="1"/>
  <c r="N14" i="66"/>
  <c r="N52" i="66"/>
  <c r="K52" i="66" s="1"/>
  <c r="N39" i="66"/>
  <c r="K39" i="66" s="1"/>
  <c r="N26" i="66"/>
  <c r="K26" i="66" s="1"/>
  <c r="N40" i="23"/>
  <c r="N53" i="23"/>
  <c r="K53" i="23" s="1"/>
  <c r="N14" i="33"/>
  <c r="N52" i="33"/>
  <c r="K52" i="33" s="1"/>
  <c r="N26" i="33"/>
  <c r="K26" i="33" s="1"/>
  <c r="N39" i="33"/>
  <c r="K39" i="33" s="1"/>
  <c r="N26" i="63"/>
  <c r="K26" i="63" s="1"/>
  <c r="N14" i="63"/>
  <c r="N52" i="63"/>
  <c r="K52" i="63" s="1"/>
  <c r="N39" i="63"/>
  <c r="K39" i="63" s="1"/>
  <c r="Y61" i="125"/>
  <c r="C61" i="125"/>
  <c r="D3" i="69"/>
  <c r="N14" i="89"/>
  <c r="N52" i="89"/>
  <c r="K52" i="89" s="1"/>
  <c r="N26" i="89"/>
  <c r="K26" i="89" s="1"/>
  <c r="N39" i="89"/>
  <c r="K39" i="89" s="1"/>
  <c r="C17" i="125"/>
  <c r="D3" i="28"/>
  <c r="J27" i="125"/>
  <c r="K3" i="37"/>
  <c r="K27" i="125"/>
  <c r="L3" i="37"/>
  <c r="C73" i="125"/>
  <c r="D3" i="81"/>
  <c r="V28" i="125"/>
  <c r="O28" i="125"/>
  <c r="W28" i="125"/>
  <c r="Q28" i="125"/>
  <c r="P28" i="125"/>
  <c r="R28" i="125"/>
  <c r="S28" i="125"/>
  <c r="T28" i="125"/>
  <c r="U28" i="125"/>
  <c r="X28" i="125"/>
  <c r="N39" i="99"/>
  <c r="K39" i="99" s="1"/>
  <c r="N26" i="99"/>
  <c r="K26" i="99" s="1"/>
  <c r="N52" i="99"/>
  <c r="K52" i="99" s="1"/>
  <c r="N14" i="99"/>
  <c r="G23" i="125"/>
  <c r="H3" i="33"/>
  <c r="N40" i="30"/>
  <c r="N53" i="30"/>
  <c r="K53" i="30" s="1"/>
  <c r="B21" i="125"/>
  <c r="C3" i="31"/>
  <c r="C86" i="125"/>
  <c r="D3" i="93"/>
  <c r="Y30" i="125"/>
  <c r="F7" i="125"/>
  <c r="G3" i="18"/>
  <c r="D7" i="125"/>
  <c r="E3" i="18"/>
  <c r="J55" i="125"/>
  <c r="K3" i="63"/>
  <c r="F62" i="125"/>
  <c r="G3" i="70"/>
  <c r="N14" i="47"/>
  <c r="K14" i="47" s="1"/>
  <c r="N26" i="47"/>
  <c r="K26" i="47" s="1"/>
  <c r="N39" i="47"/>
  <c r="K39" i="47" s="1"/>
  <c r="N52" i="47"/>
  <c r="K52" i="47" s="1"/>
  <c r="N40" i="37"/>
  <c r="N53" i="37"/>
  <c r="K53" i="37" s="1"/>
  <c r="AK94" i="125"/>
  <c r="M4" i="101" s="1"/>
  <c r="N14" i="38"/>
  <c r="N52" i="38"/>
  <c r="K52" i="38" s="1"/>
  <c r="N39" i="38"/>
  <c r="K39" i="38" s="1"/>
  <c r="N26" i="38"/>
  <c r="K26" i="38" s="1"/>
  <c r="N14" i="75"/>
  <c r="N52" i="75"/>
  <c r="K52" i="75" s="1"/>
  <c r="N26" i="75"/>
  <c r="K26" i="75" s="1"/>
  <c r="N39" i="75"/>
  <c r="K39" i="75" s="1"/>
  <c r="N40" i="54"/>
  <c r="N53" i="54"/>
  <c r="K53" i="54" s="1"/>
  <c r="N40" i="102"/>
  <c r="N53" i="102"/>
  <c r="K53" i="102" s="1"/>
  <c r="E76" i="125"/>
  <c r="F3" i="84"/>
  <c r="J68" i="125"/>
  <c r="K3" i="76"/>
  <c r="J74" i="125"/>
  <c r="K3" i="82"/>
  <c r="K16" i="125"/>
  <c r="L3" i="27"/>
  <c r="G98" i="125"/>
  <c r="H3" i="105"/>
  <c r="H98" i="125"/>
  <c r="I3" i="105"/>
  <c r="N40" i="77"/>
  <c r="N53" i="77"/>
  <c r="K53" i="77" s="1"/>
  <c r="I44" i="125"/>
  <c r="J3" i="53"/>
  <c r="F63" i="125"/>
  <c r="G3" i="71"/>
  <c r="N14" i="68"/>
  <c r="N52" i="68"/>
  <c r="K52" i="68" s="1"/>
  <c r="N26" i="68"/>
  <c r="K26" i="68" s="1"/>
  <c r="N39" i="68"/>
  <c r="K39" i="68" s="1"/>
  <c r="C67" i="125"/>
  <c r="D3" i="75"/>
  <c r="F93" i="125"/>
  <c r="G3" i="100"/>
  <c r="N39" i="106"/>
  <c r="K39" i="106" s="1"/>
  <c r="N26" i="106"/>
  <c r="K26" i="106" s="1"/>
  <c r="N52" i="106"/>
  <c r="K52" i="106" s="1"/>
  <c r="N14" i="106"/>
  <c r="F45" i="125"/>
  <c r="G3" i="54"/>
  <c r="N40" i="111"/>
  <c r="N53" i="111"/>
  <c r="K53" i="111" s="1"/>
  <c r="I95" i="125"/>
  <c r="J3" i="102"/>
  <c r="N40" i="44"/>
  <c r="N53" i="44"/>
  <c r="K53" i="44" s="1"/>
  <c r="N26" i="84"/>
  <c r="K26" i="84" s="1"/>
  <c r="N39" i="84"/>
  <c r="K39" i="84" s="1"/>
  <c r="N14" i="84"/>
  <c r="N52" i="84"/>
  <c r="K52" i="84" s="1"/>
  <c r="Q96" i="125"/>
  <c r="S96" i="125"/>
  <c r="T96" i="125"/>
  <c r="U96" i="125"/>
  <c r="O96" i="125"/>
  <c r="W96" i="125"/>
  <c r="X96" i="125"/>
  <c r="P96" i="125"/>
  <c r="R96" i="125"/>
  <c r="V96" i="125"/>
  <c r="AK68" i="125"/>
  <c r="M4" i="76" s="1"/>
  <c r="C4" i="76"/>
  <c r="N52" i="82"/>
  <c r="N39" i="82"/>
  <c r="K39" i="82" s="1"/>
  <c r="N26" i="82"/>
  <c r="K26" i="82" s="1"/>
  <c r="N14" i="82"/>
  <c r="K14" i="82" s="1"/>
  <c r="AK98" i="125"/>
  <c r="M4" i="105" s="1"/>
  <c r="C4" i="105"/>
  <c r="N40" i="110"/>
  <c r="N53" i="110"/>
  <c r="N38" i="45"/>
  <c r="N13" i="45"/>
  <c r="N25" i="45"/>
  <c r="N51" i="45"/>
  <c r="K51" i="45" s="1"/>
  <c r="S10" i="125"/>
  <c r="T10" i="125"/>
  <c r="V10" i="125"/>
  <c r="Q10" i="125"/>
  <c r="R10" i="125"/>
  <c r="U10" i="125"/>
  <c r="W10" i="125"/>
  <c r="X10" i="125"/>
  <c r="O10" i="125"/>
  <c r="P10" i="125"/>
  <c r="N53" i="41"/>
  <c r="K53" i="41" s="1"/>
  <c r="N40" i="41"/>
  <c r="AK42" i="125"/>
  <c r="M4" i="51" s="1"/>
  <c r="C4" i="51"/>
  <c r="N14" i="103"/>
  <c r="N52" i="103"/>
  <c r="K52" i="103" s="1"/>
  <c r="N39" i="103"/>
  <c r="K39" i="103" s="1"/>
  <c r="N26" i="103"/>
  <c r="K26" i="103" s="1"/>
  <c r="AK56" i="125"/>
  <c r="M4" i="64" s="1"/>
  <c r="C4" i="64"/>
  <c r="AK37" i="125"/>
  <c r="M4" i="46" s="1"/>
  <c r="C4" i="46"/>
  <c r="B103" i="125"/>
  <c r="C3" i="110"/>
  <c r="E103" i="125"/>
  <c r="F3" i="110"/>
  <c r="Y35" i="125"/>
  <c r="E35" i="125"/>
  <c r="F3" i="45"/>
  <c r="E29" i="125"/>
  <c r="F3" i="39"/>
  <c r="N53" i="57"/>
  <c r="K53" i="57" s="1"/>
  <c r="N40" i="57"/>
  <c r="N53" i="32"/>
  <c r="K53" i="32" s="1"/>
  <c r="N40" i="32"/>
  <c r="N14" i="91"/>
  <c r="N52" i="91"/>
  <c r="K52" i="91" s="1"/>
  <c r="N26" i="91"/>
  <c r="K26" i="91" s="1"/>
  <c r="N39" i="91"/>
  <c r="K39" i="91" s="1"/>
  <c r="J39" i="125"/>
  <c r="K3" i="48"/>
  <c r="I39" i="125"/>
  <c r="J3" i="48"/>
  <c r="C31" i="125"/>
  <c r="D3" i="41"/>
  <c r="N40" i="104"/>
  <c r="N53" i="104"/>
  <c r="K53" i="104" s="1"/>
  <c r="N40" i="92"/>
  <c r="N53" i="92"/>
  <c r="K53" i="92" s="1"/>
  <c r="J65" i="125"/>
  <c r="K3" i="73"/>
  <c r="C49" i="125"/>
  <c r="D3" i="58"/>
  <c r="C24" i="125"/>
  <c r="D3" i="34"/>
  <c r="Y24" i="125"/>
  <c r="B24" i="125"/>
  <c r="C3" i="34"/>
  <c r="C51" i="125"/>
  <c r="D3" i="60"/>
  <c r="H58" i="125"/>
  <c r="I3" i="66"/>
  <c r="H12" i="125"/>
  <c r="I3" i="23"/>
  <c r="J12" i="125"/>
  <c r="K3" i="23"/>
  <c r="H91" i="125"/>
  <c r="I3" i="98"/>
  <c r="D41" i="125"/>
  <c r="E3" i="50"/>
  <c r="D9" i="125"/>
  <c r="E3" i="20"/>
  <c r="AK72" i="125"/>
  <c r="M4" i="80" s="1"/>
  <c r="C4" i="80"/>
  <c r="AG105" i="125"/>
  <c r="AG107" i="125" s="1"/>
  <c r="I4" i="17"/>
  <c r="N75" i="17" s="1"/>
  <c r="K75" i="17" s="1"/>
  <c r="K122" i="118" s="1"/>
  <c r="N122" i="118" s="1"/>
  <c r="I4" i="16"/>
  <c r="N75" i="16" s="1"/>
  <c r="K75" i="16" s="1"/>
  <c r="AH105" i="125"/>
  <c r="AH107" i="125" s="1"/>
  <c r="J4" i="17"/>
  <c r="N76" i="17" s="1"/>
  <c r="K76" i="17" s="1"/>
  <c r="K123" i="118" s="1"/>
  <c r="N123" i="118" s="1"/>
  <c r="J4" i="16"/>
  <c r="N76" i="16" s="1"/>
  <c r="K76" i="16" s="1"/>
  <c r="AK11" i="125"/>
  <c r="M4" i="22" s="1"/>
  <c r="E4" i="22"/>
  <c r="N72" i="22" s="1"/>
  <c r="K72" i="22" s="1"/>
  <c r="N25" i="94"/>
  <c r="N13" i="94"/>
  <c r="N38" i="94"/>
  <c r="N51" i="94"/>
  <c r="K51" i="94" s="1"/>
  <c r="J100" i="125"/>
  <c r="K3" i="107"/>
  <c r="N40" i="56"/>
  <c r="N53" i="56"/>
  <c r="H22" i="125"/>
  <c r="I3" i="32"/>
  <c r="D102" i="125"/>
  <c r="E3" i="109"/>
  <c r="Y83" i="125"/>
  <c r="E83" i="125"/>
  <c r="F3" i="90"/>
  <c r="H37" i="125"/>
  <c r="I3" i="46"/>
  <c r="I37" i="125"/>
  <c r="J3" i="46"/>
  <c r="N14" i="79"/>
  <c r="N26" i="79"/>
  <c r="K26" i="79" s="1"/>
  <c r="N52" i="79"/>
  <c r="K52" i="79" s="1"/>
  <c r="N39" i="79"/>
  <c r="K39" i="79" s="1"/>
  <c r="U89" i="125"/>
  <c r="O89" i="125"/>
  <c r="W89" i="125"/>
  <c r="P89" i="125"/>
  <c r="X89" i="125"/>
  <c r="Q89" i="125"/>
  <c r="S89" i="125"/>
  <c r="T89" i="125"/>
  <c r="V89" i="125"/>
  <c r="R89" i="125"/>
  <c r="D19" i="125"/>
  <c r="E3" i="29"/>
  <c r="K14" i="125"/>
  <c r="L3" i="25"/>
  <c r="F14" i="125"/>
  <c r="G3" i="25"/>
  <c r="G70" i="125"/>
  <c r="H3" i="78"/>
  <c r="G69" i="125"/>
  <c r="H3" i="77"/>
  <c r="J46" i="125"/>
  <c r="K3" i="55"/>
  <c r="K46" i="125"/>
  <c r="L3" i="55"/>
  <c r="C81" i="125"/>
  <c r="D3" i="88"/>
  <c r="C79" i="125"/>
  <c r="D3" i="87"/>
  <c r="E78" i="125"/>
  <c r="F3" i="86"/>
  <c r="F78" i="125"/>
  <c r="G3" i="86"/>
  <c r="D72" i="125"/>
  <c r="E3" i="80"/>
  <c r="B75" i="125"/>
  <c r="C3" i="83"/>
  <c r="R57" i="125"/>
  <c r="S57" i="125"/>
  <c r="V57" i="125"/>
  <c r="U57" i="125"/>
  <c r="X57" i="125"/>
  <c r="O57" i="125"/>
  <c r="Q57" i="125"/>
  <c r="P57" i="125"/>
  <c r="W57" i="125"/>
  <c r="T57" i="125"/>
  <c r="N40" i="34"/>
  <c r="N53" i="34"/>
  <c r="K53" i="34" s="1"/>
  <c r="AK58" i="125"/>
  <c r="M4" i="66" s="1"/>
  <c r="C4" i="66"/>
  <c r="AK91" i="125"/>
  <c r="M4" i="98" s="1"/>
  <c r="E4" i="98"/>
  <c r="N72" i="98" s="1"/>
  <c r="K72" i="98" s="1"/>
  <c r="AK9" i="125"/>
  <c r="M4" i="20" s="1"/>
  <c r="C4" i="20"/>
  <c r="N52" i="18"/>
  <c r="K52" i="18" s="1"/>
  <c r="N39" i="18"/>
  <c r="K39" i="18" s="1"/>
  <c r="N14" i="18"/>
  <c r="N26" i="18"/>
  <c r="K26" i="18" s="1"/>
  <c r="N13" i="70"/>
  <c r="N51" i="70"/>
  <c r="K51" i="70" s="1"/>
  <c r="N38" i="70"/>
  <c r="N25" i="70"/>
  <c r="N40" i="70"/>
  <c r="N53" i="70"/>
  <c r="AK100" i="125"/>
  <c r="M4" i="107" s="1"/>
  <c r="C4" i="107"/>
  <c r="K61" i="125"/>
  <c r="L3" i="69"/>
  <c r="N40" i="65"/>
  <c r="N53" i="65"/>
  <c r="K53" i="65" s="1"/>
  <c r="K17" i="125"/>
  <c r="L3" i="28"/>
  <c r="I27" i="125"/>
  <c r="J3" i="37"/>
  <c r="C27" i="125"/>
  <c r="D3" i="37"/>
  <c r="J73" i="125"/>
  <c r="K3" i="81"/>
  <c r="N26" i="29"/>
  <c r="K26" i="29" s="1"/>
  <c r="N14" i="29"/>
  <c r="N52" i="29"/>
  <c r="K52" i="29" s="1"/>
  <c r="N39" i="29"/>
  <c r="K39" i="29" s="1"/>
  <c r="N40" i="49"/>
  <c r="N53" i="49"/>
  <c r="K53" i="49" s="1"/>
  <c r="E23" i="125"/>
  <c r="F3" i="33"/>
  <c r="F21" i="125"/>
  <c r="G3" i="31"/>
  <c r="H21" i="125"/>
  <c r="I3" i="31"/>
  <c r="N40" i="72"/>
  <c r="N53" i="72"/>
  <c r="K53" i="72" s="1"/>
  <c r="Y86" i="125"/>
  <c r="D86" i="125"/>
  <c r="E3" i="93"/>
  <c r="N14" i="87"/>
  <c r="N52" i="87"/>
  <c r="K52" i="87" s="1"/>
  <c r="N39" i="87"/>
  <c r="K39" i="87" s="1"/>
  <c r="N26" i="87"/>
  <c r="K26" i="87" s="1"/>
  <c r="N52" i="55"/>
  <c r="K52" i="55" s="1"/>
  <c r="N39" i="55"/>
  <c r="K39" i="55" s="1"/>
  <c r="N26" i="55"/>
  <c r="K26" i="55" s="1"/>
  <c r="N14" i="55"/>
  <c r="K30" i="125"/>
  <c r="L3" i="40"/>
  <c r="C7" i="125"/>
  <c r="D3" i="18"/>
  <c r="K55" i="125"/>
  <c r="L3" i="63"/>
  <c r="Y55" i="125"/>
  <c r="B55" i="125"/>
  <c r="C3" i="63"/>
  <c r="B62" i="125"/>
  <c r="C3" i="70"/>
  <c r="AK17" i="125"/>
  <c r="M4" i="28" s="1"/>
  <c r="C4" i="28"/>
  <c r="N26" i="35"/>
  <c r="K26" i="35" s="1"/>
  <c r="N14" i="35"/>
  <c r="N52" i="35"/>
  <c r="K52" i="35" s="1"/>
  <c r="N39" i="35"/>
  <c r="K39" i="35" s="1"/>
  <c r="AK90" i="125"/>
  <c r="M4" i="97" s="1"/>
  <c r="C4" i="97"/>
  <c r="N25" i="101"/>
  <c r="O4" i="101"/>
  <c r="N13" i="101"/>
  <c r="N51" i="101"/>
  <c r="K51" i="101" s="1"/>
  <c r="N38" i="101"/>
  <c r="AK63" i="125"/>
  <c r="M4" i="71" s="1"/>
  <c r="D4" i="71"/>
  <c r="N71" i="71" s="1"/>
  <c r="K71" i="71" s="1"/>
  <c r="N25" i="71"/>
  <c r="N13" i="71"/>
  <c r="N51" i="71"/>
  <c r="K51" i="71" s="1"/>
  <c r="N38" i="71"/>
  <c r="S99" i="125"/>
  <c r="U99" i="125"/>
  <c r="V99" i="125"/>
  <c r="O99" i="125"/>
  <c r="W99" i="125"/>
  <c r="Q99" i="125"/>
  <c r="P99" i="125"/>
  <c r="R99" i="125"/>
  <c r="X99" i="125"/>
  <c r="T99" i="125"/>
  <c r="Q34" i="125"/>
  <c r="T34" i="125"/>
  <c r="P34" i="125"/>
  <c r="R34" i="125"/>
  <c r="U34" i="125"/>
  <c r="V34" i="125"/>
  <c r="O34" i="125"/>
  <c r="S34" i="125"/>
  <c r="X34" i="125"/>
  <c r="W34" i="125"/>
  <c r="D76" i="125"/>
  <c r="E3" i="84"/>
  <c r="E68" i="125"/>
  <c r="F3" i="76"/>
  <c r="Y68" i="125"/>
  <c r="B68" i="125"/>
  <c r="C3" i="76"/>
  <c r="B74" i="125"/>
  <c r="C3" i="82"/>
  <c r="H16" i="125"/>
  <c r="I3" i="27"/>
  <c r="E98" i="125"/>
  <c r="F3" i="105"/>
  <c r="F44" i="125"/>
  <c r="G3" i="53"/>
  <c r="D63" i="125"/>
  <c r="E3" i="71"/>
  <c r="N53" i="43"/>
  <c r="K53" i="43" s="1"/>
  <c r="N40" i="43"/>
  <c r="N26" i="43"/>
  <c r="K26" i="43" s="1"/>
  <c r="N52" i="43"/>
  <c r="K52" i="43" s="1"/>
  <c r="N14" i="43"/>
  <c r="N39" i="43"/>
  <c r="K39" i="43" s="1"/>
  <c r="J67" i="125"/>
  <c r="K3" i="75"/>
  <c r="D93" i="125"/>
  <c r="E3" i="100"/>
  <c r="J45" i="125"/>
  <c r="K3" i="54"/>
  <c r="D45" i="125"/>
  <c r="E3" i="54"/>
  <c r="AK104" i="125"/>
  <c r="M4" i="111" s="1"/>
  <c r="C4" i="111"/>
  <c r="K95" i="125"/>
  <c r="L3" i="102"/>
  <c r="H95" i="125"/>
  <c r="I3" i="102"/>
  <c r="AK34" i="125"/>
  <c r="M4" i="44" s="1"/>
  <c r="C4" i="44"/>
  <c r="AK16" i="125"/>
  <c r="M4" i="27" s="1"/>
  <c r="C4" i="27"/>
  <c r="N25" i="110"/>
  <c r="O4" i="110"/>
  <c r="N13" i="110"/>
  <c r="N51" i="110"/>
  <c r="K51" i="110" s="1"/>
  <c r="N38" i="110"/>
  <c r="O97" i="125"/>
  <c r="W97" i="125"/>
  <c r="Q97" i="125"/>
  <c r="R97" i="125"/>
  <c r="S97" i="125"/>
  <c r="U97" i="125"/>
  <c r="P97" i="125"/>
  <c r="V97" i="125"/>
  <c r="T97" i="125"/>
  <c r="X97" i="125"/>
  <c r="N40" i="90"/>
  <c r="K40" i="90" s="1"/>
  <c r="N53" i="90"/>
  <c r="K53" i="90" s="1"/>
  <c r="AK66" i="125"/>
  <c r="M4" i="74" s="1"/>
  <c r="C4" i="74"/>
  <c r="F103" i="125"/>
  <c r="G3" i="110"/>
  <c r="K35" i="125"/>
  <c r="L3" i="45"/>
  <c r="J35" i="125"/>
  <c r="K3" i="45"/>
  <c r="J29" i="125"/>
  <c r="K3" i="39"/>
  <c r="AK22" i="125"/>
  <c r="M4" i="32" s="1"/>
  <c r="E4" i="32"/>
  <c r="N72" i="32" s="1"/>
  <c r="K72" i="32" s="1"/>
  <c r="E39" i="125"/>
  <c r="F3" i="48"/>
  <c r="H31" i="125"/>
  <c r="I3" i="41"/>
  <c r="J31" i="125"/>
  <c r="K3" i="41"/>
  <c r="N14" i="88"/>
  <c r="N52" i="88"/>
  <c r="K52" i="88" s="1"/>
  <c r="N39" i="88"/>
  <c r="K39" i="88" s="1"/>
  <c r="N26" i="88"/>
  <c r="K26" i="88" s="1"/>
  <c r="H65" i="125"/>
  <c r="I3" i="73"/>
  <c r="K49" i="125"/>
  <c r="L3" i="58"/>
  <c r="K24" i="125"/>
  <c r="L3" i="34"/>
  <c r="I24" i="125"/>
  <c r="J3" i="34"/>
  <c r="N40" i="61"/>
  <c r="N53" i="61"/>
  <c r="K53" i="61" s="1"/>
  <c r="Y51" i="125"/>
  <c r="E51" i="125"/>
  <c r="F3" i="60"/>
  <c r="E58" i="125"/>
  <c r="F3" i="66"/>
  <c r="G12" i="125"/>
  <c r="H3" i="23"/>
  <c r="Y12" i="125"/>
  <c r="B12" i="125"/>
  <c r="C3" i="23"/>
  <c r="G91" i="125"/>
  <c r="H3" i="98"/>
  <c r="N14" i="25"/>
  <c r="K14" i="25" s="1"/>
  <c r="N52" i="25"/>
  <c r="K52" i="25" s="1"/>
  <c r="N26" i="25"/>
  <c r="K26" i="25" s="1"/>
  <c r="N39" i="25"/>
  <c r="K39" i="25" s="1"/>
  <c r="C41" i="125"/>
  <c r="D3" i="50"/>
  <c r="Y9" i="125"/>
  <c r="B9" i="125"/>
  <c r="C3" i="20"/>
  <c r="N14" i="83"/>
  <c r="N52" i="83"/>
  <c r="K52" i="83" s="1"/>
  <c r="N39" i="83"/>
  <c r="K39" i="83" s="1"/>
  <c r="N26" i="83"/>
  <c r="K26" i="83" s="1"/>
  <c r="N14" i="80"/>
  <c r="N39" i="80"/>
  <c r="K39" i="80" s="1"/>
  <c r="N52" i="80"/>
  <c r="K52" i="80" s="1"/>
  <c r="N26" i="80"/>
  <c r="K26" i="80" s="1"/>
  <c r="AA105" i="125"/>
  <c r="AA107" i="125" s="1"/>
  <c r="C4" i="17"/>
  <c r="C4" i="16"/>
  <c r="AE105" i="125"/>
  <c r="AE107" i="125" s="1"/>
  <c r="G4" i="16"/>
  <c r="G4" i="17"/>
  <c r="N38" i="26"/>
  <c r="N25" i="26"/>
  <c r="N13" i="26"/>
  <c r="N51" i="26"/>
  <c r="K51" i="26" s="1"/>
  <c r="Q87" i="125"/>
  <c r="S87" i="125"/>
  <c r="T87" i="125"/>
  <c r="U87" i="125"/>
  <c r="O87" i="125"/>
  <c r="W87" i="125"/>
  <c r="R87" i="125"/>
  <c r="V87" i="125"/>
  <c r="X87" i="125"/>
  <c r="P87" i="125"/>
  <c r="Y100" i="125"/>
  <c r="B100" i="125"/>
  <c r="C3" i="107"/>
  <c r="AK47" i="125"/>
  <c r="M4" i="56" s="1"/>
  <c r="D4" i="56"/>
  <c r="N71" i="56" s="1"/>
  <c r="K71" i="56" s="1"/>
  <c r="J22" i="125"/>
  <c r="K3" i="32"/>
  <c r="F22" i="125"/>
  <c r="G3" i="32"/>
  <c r="K102" i="125"/>
  <c r="L3" i="109"/>
  <c r="C83" i="125"/>
  <c r="D3" i="90"/>
  <c r="J37" i="125"/>
  <c r="K3" i="46"/>
  <c r="F37" i="125"/>
  <c r="G3" i="46"/>
  <c r="N26" i="96"/>
  <c r="K26" i="96" s="1"/>
  <c r="N14" i="96"/>
  <c r="N39" i="96"/>
  <c r="K39" i="96" s="1"/>
  <c r="N52" i="96"/>
  <c r="K52" i="96" s="1"/>
  <c r="AK59" i="125"/>
  <c r="M4" i="67" s="1"/>
  <c r="E4" i="67"/>
  <c r="N72" i="67" s="1"/>
  <c r="K72" i="67" s="1"/>
  <c r="J19" i="125"/>
  <c r="K3" i="29"/>
  <c r="K19" i="125"/>
  <c r="L3" i="29"/>
  <c r="J14" i="125"/>
  <c r="K3" i="25"/>
  <c r="K70" i="125"/>
  <c r="L3" i="78"/>
  <c r="F70" i="125"/>
  <c r="G3" i="78"/>
  <c r="N40" i="36"/>
  <c r="N53" i="36"/>
  <c r="K53" i="36" s="1"/>
  <c r="E69" i="125"/>
  <c r="F3" i="77"/>
  <c r="I46" i="125"/>
  <c r="J3" i="55"/>
  <c r="C46" i="125"/>
  <c r="D3" i="55"/>
  <c r="J81" i="125"/>
  <c r="K3" i="88"/>
  <c r="N53" i="108"/>
  <c r="K53" i="108" s="1"/>
  <c r="N40" i="108"/>
  <c r="N26" i="85"/>
  <c r="K26" i="85" s="1"/>
  <c r="N14" i="85"/>
  <c r="N52" i="85"/>
  <c r="K52" i="85" s="1"/>
  <c r="N39" i="85"/>
  <c r="K39" i="85" s="1"/>
  <c r="J79" i="125"/>
  <c r="K3" i="87"/>
  <c r="C78" i="125"/>
  <c r="D3" i="86"/>
  <c r="K72" i="125"/>
  <c r="L3" i="80"/>
  <c r="J72" i="125"/>
  <c r="K3" i="80"/>
  <c r="H75" i="125"/>
  <c r="I3" i="83"/>
  <c r="U13" i="125"/>
  <c r="V13" i="125"/>
  <c r="P13" i="125"/>
  <c r="X13" i="125"/>
  <c r="O13" i="125"/>
  <c r="Q13" i="125"/>
  <c r="R13" i="125"/>
  <c r="S13" i="125"/>
  <c r="T13" i="125"/>
  <c r="W13" i="125"/>
  <c r="R53" i="125"/>
  <c r="S53" i="125"/>
  <c r="V53" i="125"/>
  <c r="W53" i="125"/>
  <c r="O53" i="125"/>
  <c r="P53" i="125"/>
  <c r="T53" i="125"/>
  <c r="Q53" i="125"/>
  <c r="U53" i="125"/>
  <c r="X53" i="125"/>
  <c r="N52" i="23"/>
  <c r="K52" i="23" s="1"/>
  <c r="N39" i="23"/>
  <c r="K39" i="23" s="1"/>
  <c r="N26" i="23"/>
  <c r="K26" i="23" s="1"/>
  <c r="N14" i="23"/>
  <c r="N53" i="98"/>
  <c r="K53" i="98" s="1"/>
  <c r="N40" i="98"/>
  <c r="N51" i="33"/>
  <c r="K51" i="33" s="1"/>
  <c r="N25" i="33"/>
  <c r="N13" i="33"/>
  <c r="N38" i="33"/>
  <c r="AK21" i="125"/>
  <c r="M4" i="31" s="1"/>
  <c r="C4" i="31"/>
  <c r="N13" i="18"/>
  <c r="N51" i="18"/>
  <c r="K51" i="18" s="1"/>
  <c r="N38" i="18"/>
  <c r="N25" i="18"/>
  <c r="N40" i="63"/>
  <c r="N53" i="63"/>
  <c r="K53" i="63" s="1"/>
  <c r="AK62" i="125"/>
  <c r="M4" i="70" s="1"/>
  <c r="E4" i="70"/>
  <c r="N72" i="70" s="1"/>
  <c r="K72" i="70" s="1"/>
  <c r="J61" i="125"/>
  <c r="K3" i="69"/>
  <c r="AK57" i="125"/>
  <c r="M4" i="65" s="1"/>
  <c r="C4" i="65"/>
  <c r="J17" i="125"/>
  <c r="K3" i="28"/>
  <c r="H27" i="125"/>
  <c r="I3" i="37"/>
  <c r="G73" i="125"/>
  <c r="H3" i="81"/>
  <c r="Y73" i="125"/>
  <c r="B73" i="125"/>
  <c r="C3" i="81"/>
  <c r="N51" i="29"/>
  <c r="K51" i="29" s="1"/>
  <c r="N38" i="29"/>
  <c r="O4" i="29"/>
  <c r="N25" i="29"/>
  <c r="N13" i="29"/>
  <c r="N40" i="99"/>
  <c r="N53" i="99"/>
  <c r="K53" i="99" s="1"/>
  <c r="N52" i="49"/>
  <c r="K52" i="49" s="1"/>
  <c r="N14" i="49"/>
  <c r="N39" i="49"/>
  <c r="K39" i="49" s="1"/>
  <c r="N26" i="49"/>
  <c r="K26" i="49" s="1"/>
  <c r="Y23" i="125"/>
  <c r="B23" i="125"/>
  <c r="C3" i="33"/>
  <c r="N14" i="30"/>
  <c r="N52" i="30"/>
  <c r="K52" i="30" s="1"/>
  <c r="N26" i="30"/>
  <c r="K26" i="30" s="1"/>
  <c r="N39" i="30"/>
  <c r="K39" i="30" s="1"/>
  <c r="E21" i="125"/>
  <c r="F3" i="31"/>
  <c r="G21" i="125"/>
  <c r="H3" i="31"/>
  <c r="J86" i="125"/>
  <c r="K3" i="93"/>
  <c r="J30" i="125"/>
  <c r="K3" i="40"/>
  <c r="Y7" i="125"/>
  <c r="B7" i="125"/>
  <c r="C3" i="18"/>
  <c r="D55" i="125"/>
  <c r="E3" i="63"/>
  <c r="I55" i="125"/>
  <c r="J3" i="63"/>
  <c r="I62" i="125"/>
  <c r="J3" i="70"/>
  <c r="N39" i="37"/>
  <c r="K39" i="37" s="1"/>
  <c r="N26" i="37"/>
  <c r="K26" i="37" s="1"/>
  <c r="N14" i="37"/>
  <c r="N52" i="37"/>
  <c r="K52" i="37" s="1"/>
  <c r="N14" i="101"/>
  <c r="N52" i="101"/>
  <c r="K52" i="101" s="1"/>
  <c r="N26" i="101"/>
  <c r="K26" i="101" s="1"/>
  <c r="N39" i="101"/>
  <c r="K39" i="101" s="1"/>
  <c r="N14" i="71"/>
  <c r="N26" i="71"/>
  <c r="K26" i="71" s="1"/>
  <c r="N52" i="71"/>
  <c r="N39" i="71"/>
  <c r="K39" i="71" s="1"/>
  <c r="AK45" i="125"/>
  <c r="M4" i="54" s="1"/>
  <c r="C4" i="54"/>
  <c r="N52" i="54"/>
  <c r="K52" i="54" s="1"/>
  <c r="N39" i="54"/>
  <c r="K39" i="54" s="1"/>
  <c r="N26" i="54"/>
  <c r="K26" i="54" s="1"/>
  <c r="N14" i="54"/>
  <c r="AK95" i="125"/>
  <c r="M4" i="102" s="1"/>
  <c r="D4" i="102"/>
  <c r="N71" i="102" s="1"/>
  <c r="K71" i="102" s="1"/>
  <c r="G76" i="125"/>
  <c r="H3" i="84"/>
  <c r="J76" i="125"/>
  <c r="K3" i="84"/>
  <c r="I68" i="125"/>
  <c r="J3" i="76"/>
  <c r="H68" i="125"/>
  <c r="I3" i="76"/>
  <c r="I74" i="125"/>
  <c r="J3" i="82"/>
  <c r="G16" i="125"/>
  <c r="H3" i="27"/>
  <c r="Y98" i="125"/>
  <c r="F98" i="125"/>
  <c r="G3" i="105"/>
  <c r="N14" i="77"/>
  <c r="N52" i="77"/>
  <c r="K52" i="77" s="1"/>
  <c r="N39" i="77"/>
  <c r="K39" i="77" s="1"/>
  <c r="N26" i="77"/>
  <c r="K26" i="77" s="1"/>
  <c r="E44" i="125"/>
  <c r="F3" i="53"/>
  <c r="C63" i="125"/>
  <c r="D3" i="71"/>
  <c r="AK33" i="125"/>
  <c r="M4" i="43" s="1"/>
  <c r="C4" i="43"/>
  <c r="Y67" i="125"/>
  <c r="E67" i="125"/>
  <c r="F3" i="75"/>
  <c r="K93" i="125"/>
  <c r="L3" i="100"/>
  <c r="K45" i="125"/>
  <c r="L3" i="54"/>
  <c r="E45" i="125"/>
  <c r="F3" i="54"/>
  <c r="N40" i="86"/>
  <c r="N53" i="86"/>
  <c r="K53" i="86" s="1"/>
  <c r="AK32" i="125"/>
  <c r="M4" i="42" s="1"/>
  <c r="C4" i="42"/>
  <c r="E95" i="125"/>
  <c r="F3" i="102"/>
  <c r="F95" i="125"/>
  <c r="G3" i="102"/>
  <c r="L18" i="125"/>
  <c r="N40" i="76"/>
  <c r="N53" i="76"/>
  <c r="K53" i="76" s="1"/>
  <c r="N40" i="27"/>
  <c r="N53" i="27"/>
  <c r="K53" i="27" s="1"/>
  <c r="N14" i="41"/>
  <c r="N26" i="41"/>
  <c r="K26" i="41" s="1"/>
  <c r="N39" i="41"/>
  <c r="K39" i="41" s="1"/>
  <c r="N52" i="41"/>
  <c r="K52" i="41" s="1"/>
  <c r="AK96" i="125"/>
  <c r="M4" i="103" s="1"/>
  <c r="C4" i="103"/>
  <c r="AK83" i="125"/>
  <c r="M4" i="90" s="1"/>
  <c r="E4" i="90"/>
  <c r="D103" i="125"/>
  <c r="E3" i="110"/>
  <c r="G35" i="125"/>
  <c r="H3" i="45"/>
  <c r="B35" i="125"/>
  <c r="C3" i="45"/>
  <c r="B29" i="125"/>
  <c r="C3" i="39"/>
  <c r="N14" i="57"/>
  <c r="N52" i="57"/>
  <c r="K52" i="57" s="1"/>
  <c r="N26" i="57"/>
  <c r="K26" i="57" s="1"/>
  <c r="N39" i="57"/>
  <c r="K39" i="57" s="1"/>
  <c r="N14" i="21"/>
  <c r="N26" i="21"/>
  <c r="K26" i="21" s="1"/>
  <c r="N52" i="21"/>
  <c r="K52" i="21" s="1"/>
  <c r="N39" i="21"/>
  <c r="K39" i="21" s="1"/>
  <c r="K39" i="125"/>
  <c r="L3" i="48"/>
  <c r="G31" i="125"/>
  <c r="H3" i="41"/>
  <c r="Y31" i="125"/>
  <c r="B31" i="125"/>
  <c r="C3" i="41"/>
  <c r="N26" i="104"/>
  <c r="N39" i="104"/>
  <c r="K39" i="104" s="1"/>
  <c r="N14" i="104"/>
  <c r="K14" i="104" s="1"/>
  <c r="N52" i="104"/>
  <c r="K52" i="104" s="1"/>
  <c r="N40" i="24"/>
  <c r="N53" i="24"/>
  <c r="K53" i="24" s="1"/>
  <c r="D65" i="125"/>
  <c r="E3" i="73"/>
  <c r="G49" i="125"/>
  <c r="H3" i="58"/>
  <c r="H24" i="125"/>
  <c r="I3" i="34"/>
  <c r="D51" i="125"/>
  <c r="E3" i="60"/>
  <c r="B58" i="125"/>
  <c r="C3" i="66"/>
  <c r="F12" i="125"/>
  <c r="G3" i="23"/>
  <c r="E91" i="125"/>
  <c r="F3" i="98"/>
  <c r="F91" i="125"/>
  <c r="G3" i="98"/>
  <c r="N13" i="25"/>
  <c r="N25" i="25"/>
  <c r="N51" i="25"/>
  <c r="K51" i="25" s="1"/>
  <c r="N38" i="25"/>
  <c r="O4" i="25"/>
  <c r="J41" i="125"/>
  <c r="K3" i="50"/>
  <c r="H41" i="125"/>
  <c r="I3" i="50"/>
  <c r="K9" i="125"/>
  <c r="L3" i="20"/>
  <c r="N25" i="83"/>
  <c r="N13" i="83"/>
  <c r="N51" i="83"/>
  <c r="K51" i="83" s="1"/>
  <c r="N38" i="83"/>
  <c r="N13" i="78"/>
  <c r="N25" i="78"/>
  <c r="N38" i="78"/>
  <c r="N51" i="78"/>
  <c r="K51" i="78" s="1"/>
  <c r="N53" i="78"/>
  <c r="K53" i="78" s="1"/>
  <c r="N40" i="78"/>
  <c r="AI105" i="125"/>
  <c r="AI107" i="125" s="1"/>
  <c r="K4" i="17"/>
  <c r="N78" i="17" s="1"/>
  <c r="K78" i="17" s="1"/>
  <c r="K125" i="118" s="1"/>
  <c r="N125" i="118" s="1"/>
  <c r="K4" i="16"/>
  <c r="N78" i="16" s="1"/>
  <c r="K78" i="16" s="1"/>
  <c r="AF105" i="125"/>
  <c r="AF107" i="125" s="1"/>
  <c r="H4" i="17"/>
  <c r="N74" i="17" s="1"/>
  <c r="K74" i="17" s="1"/>
  <c r="K121" i="118" s="1"/>
  <c r="N121" i="118" s="1"/>
  <c r="H4" i="16"/>
  <c r="N74" i="16" s="1"/>
  <c r="K74" i="16" s="1"/>
  <c r="N52" i="22"/>
  <c r="K52" i="22" s="1"/>
  <c r="N39" i="22"/>
  <c r="K39" i="22" s="1"/>
  <c r="N26" i="22"/>
  <c r="K26" i="22" s="1"/>
  <c r="N14" i="22"/>
  <c r="AK87" i="125"/>
  <c r="M4" i="94" s="1"/>
  <c r="D4" i="94"/>
  <c r="N71" i="94" s="1"/>
  <c r="K71" i="94" s="1"/>
  <c r="H100" i="125"/>
  <c r="I3" i="107"/>
  <c r="I22" i="125"/>
  <c r="J3" i="32"/>
  <c r="E22" i="125"/>
  <c r="F3" i="32"/>
  <c r="C102" i="125"/>
  <c r="D3" i="109"/>
  <c r="J83" i="125"/>
  <c r="K3" i="90"/>
  <c r="D37" i="125"/>
  <c r="E3" i="46"/>
  <c r="N40" i="96"/>
  <c r="K40" i="96" s="1"/>
  <c r="N53" i="96"/>
  <c r="N25" i="52"/>
  <c r="N38" i="52"/>
  <c r="N13" i="52"/>
  <c r="N51" i="52"/>
  <c r="K51" i="52" s="1"/>
  <c r="O4" i="52"/>
  <c r="N14" i="67"/>
  <c r="N52" i="67"/>
  <c r="N26" i="67"/>
  <c r="K26" i="67" s="1"/>
  <c r="N39" i="67"/>
  <c r="K39" i="67" s="1"/>
  <c r="I19" i="125"/>
  <c r="J3" i="29"/>
  <c r="C19" i="125"/>
  <c r="D3" i="29"/>
  <c r="H14" i="125"/>
  <c r="I3" i="25"/>
  <c r="E70" i="125"/>
  <c r="F3" i="78"/>
  <c r="Y70" i="125"/>
  <c r="D70" i="125"/>
  <c r="E3" i="78"/>
  <c r="D69" i="125"/>
  <c r="E3" i="77"/>
  <c r="H46" i="125"/>
  <c r="I3" i="55"/>
  <c r="G81" i="125"/>
  <c r="H3" i="88"/>
  <c r="Y81" i="125"/>
  <c r="B81" i="125"/>
  <c r="C3" i="88"/>
  <c r="P54" i="125"/>
  <c r="X54" i="125"/>
  <c r="Q54" i="125"/>
  <c r="T54" i="125"/>
  <c r="O54" i="125"/>
  <c r="R54" i="125"/>
  <c r="S54" i="125"/>
  <c r="V54" i="125"/>
  <c r="U54" i="125"/>
  <c r="W54" i="125"/>
  <c r="Y79" i="125"/>
  <c r="B79" i="125"/>
  <c r="C3" i="87"/>
  <c r="K78" i="125"/>
  <c r="L3" i="86"/>
  <c r="C72" i="125"/>
  <c r="D3" i="80"/>
  <c r="B72" i="125"/>
  <c r="C3" i="80"/>
  <c r="G75" i="125"/>
  <c r="H3" i="83"/>
  <c r="O92" i="125"/>
  <c r="W92" i="125"/>
  <c r="Q92" i="125"/>
  <c r="R92" i="125"/>
  <c r="S92" i="125"/>
  <c r="U92" i="125"/>
  <c r="T92" i="125"/>
  <c r="X92" i="125"/>
  <c r="P92" i="125"/>
  <c r="V92" i="125"/>
  <c r="T64" i="125"/>
  <c r="U64" i="125"/>
  <c r="P64" i="125"/>
  <c r="X64" i="125"/>
  <c r="O64" i="125"/>
  <c r="R64" i="125"/>
  <c r="S64" i="125"/>
  <c r="V64" i="125"/>
  <c r="W64" i="125"/>
  <c r="Q64" i="125"/>
  <c r="N38" i="40"/>
  <c r="N25" i="40"/>
  <c r="N51" i="40"/>
  <c r="K51" i="40" s="1"/>
  <c r="N13" i="40"/>
  <c r="O4" i="40"/>
  <c r="N14" i="70"/>
  <c r="N52" i="70"/>
  <c r="K52" i="70" s="1"/>
  <c r="N39" i="70"/>
  <c r="K39" i="70" s="1"/>
  <c r="N26" i="70"/>
  <c r="K26" i="70" s="1"/>
  <c r="G61" i="125"/>
  <c r="H3" i="69"/>
  <c r="N39" i="65"/>
  <c r="K39" i="65" s="1"/>
  <c r="N26" i="65"/>
  <c r="K26" i="65" s="1"/>
  <c r="N14" i="65"/>
  <c r="N52" i="65"/>
  <c r="K52" i="65" s="1"/>
  <c r="Y17" i="125"/>
  <c r="B17" i="125"/>
  <c r="C3" i="28"/>
  <c r="G27" i="125"/>
  <c r="H3" i="37"/>
  <c r="I73" i="125"/>
  <c r="J3" i="81"/>
  <c r="H73" i="125"/>
  <c r="I3" i="81"/>
  <c r="AK92" i="125"/>
  <c r="M4" i="99" s="1"/>
  <c r="C4" i="99"/>
  <c r="AK40" i="125"/>
  <c r="M4" i="49" s="1"/>
  <c r="C4" i="49"/>
  <c r="F23" i="125"/>
  <c r="G3" i="33"/>
  <c r="D21" i="125"/>
  <c r="E3" i="31"/>
  <c r="B86" i="125"/>
  <c r="C3" i="93"/>
  <c r="I30" i="125"/>
  <c r="J3" i="40"/>
  <c r="K7" i="125"/>
  <c r="L3" i="18"/>
  <c r="H55" i="125"/>
  <c r="I3" i="63"/>
  <c r="G62" i="125"/>
  <c r="H3" i="70"/>
  <c r="N40" i="28"/>
  <c r="N53" i="28"/>
  <c r="K53" i="28" s="1"/>
  <c r="AK25" i="125"/>
  <c r="M4" i="35" s="1"/>
  <c r="C4" i="35"/>
  <c r="N25" i="47"/>
  <c r="N38" i="47"/>
  <c r="N51" i="47"/>
  <c r="K51" i="47" s="1"/>
  <c r="N13" i="47"/>
  <c r="O4" i="47"/>
  <c r="AK73" i="125"/>
  <c r="M4" i="81" s="1"/>
  <c r="C4" i="81"/>
  <c r="T60" i="125"/>
  <c r="U60" i="125"/>
  <c r="P60" i="125"/>
  <c r="X60" i="125"/>
  <c r="Q60" i="125"/>
  <c r="S60" i="125"/>
  <c r="V60" i="125"/>
  <c r="W60" i="125"/>
  <c r="O60" i="125"/>
  <c r="R60" i="125"/>
  <c r="N40" i="100"/>
  <c r="N53" i="100"/>
  <c r="K53" i="100" s="1"/>
  <c r="C76" i="125"/>
  <c r="D3" i="84"/>
  <c r="Y76" i="125"/>
  <c r="B76" i="125"/>
  <c r="C3" i="84"/>
  <c r="N25" i="109"/>
  <c r="O4" i="109"/>
  <c r="N13" i="109"/>
  <c r="N51" i="109"/>
  <c r="K51" i="109" s="1"/>
  <c r="N38" i="109"/>
  <c r="G68" i="125"/>
  <c r="H3" i="76"/>
  <c r="E74" i="125"/>
  <c r="F3" i="82"/>
  <c r="H74" i="125"/>
  <c r="I3" i="82"/>
  <c r="D16" i="125"/>
  <c r="E3" i="27"/>
  <c r="D98" i="125"/>
  <c r="E3" i="105"/>
  <c r="C44" i="125"/>
  <c r="D3" i="53"/>
  <c r="Y44" i="125"/>
  <c r="B44" i="125"/>
  <c r="C3" i="53"/>
  <c r="E63" i="125"/>
  <c r="F3" i="71"/>
  <c r="AK60" i="125"/>
  <c r="M4" i="68" s="1"/>
  <c r="C4" i="68"/>
  <c r="H67" i="125"/>
  <c r="I3" i="75"/>
  <c r="B67" i="125"/>
  <c r="C3" i="75"/>
  <c r="C93" i="125"/>
  <c r="D3" i="100"/>
  <c r="N40" i="106"/>
  <c r="N53" i="106"/>
  <c r="K53" i="106" s="1"/>
  <c r="G45" i="125"/>
  <c r="H3" i="54"/>
  <c r="G95" i="125"/>
  <c r="H3" i="102"/>
  <c r="N14" i="44"/>
  <c r="N26" i="44"/>
  <c r="K26" i="44" s="1"/>
  <c r="N39" i="44"/>
  <c r="K39" i="44" s="1"/>
  <c r="N52" i="44"/>
  <c r="K52" i="44" s="1"/>
  <c r="T56" i="125"/>
  <c r="U56" i="125"/>
  <c r="P56" i="125"/>
  <c r="X56" i="125"/>
  <c r="R56" i="125"/>
  <c r="V56" i="125"/>
  <c r="W56" i="125"/>
  <c r="O56" i="125"/>
  <c r="S56" i="125"/>
  <c r="Q56" i="125"/>
  <c r="N52" i="105"/>
  <c r="K52" i="105" s="1"/>
  <c r="N39" i="105"/>
  <c r="K39" i="105" s="1"/>
  <c r="N26" i="105"/>
  <c r="K26" i="105" s="1"/>
  <c r="N14" i="105"/>
  <c r="N40" i="53"/>
  <c r="N53" i="53"/>
  <c r="K53" i="53" s="1"/>
  <c r="N14" i="45"/>
  <c r="K14" i="45" s="1"/>
  <c r="N39" i="45"/>
  <c r="K39" i="45" s="1"/>
  <c r="N26" i="45"/>
  <c r="N52" i="45"/>
  <c r="K52" i="45" s="1"/>
  <c r="N53" i="45"/>
  <c r="K53" i="45" s="1"/>
  <c r="N40" i="45"/>
  <c r="AK29" i="125"/>
  <c r="M4" i="39" s="1"/>
  <c r="C4" i="39"/>
  <c r="Y52" i="125"/>
  <c r="L52" i="125" s="1"/>
  <c r="B52" i="125"/>
  <c r="N13" i="48"/>
  <c r="N51" i="48"/>
  <c r="K51" i="48" s="1"/>
  <c r="N25" i="48"/>
  <c r="N38" i="48"/>
  <c r="O4" i="48"/>
  <c r="N25" i="41"/>
  <c r="N38" i="41"/>
  <c r="N13" i="41"/>
  <c r="N51" i="41"/>
  <c r="K51" i="41" s="1"/>
  <c r="O4" i="41"/>
  <c r="N14" i="64"/>
  <c r="N52" i="64"/>
  <c r="K52" i="64" s="1"/>
  <c r="N26" i="64"/>
  <c r="K26" i="64" s="1"/>
  <c r="N39" i="64"/>
  <c r="K39" i="64" s="1"/>
  <c r="N14" i="46"/>
  <c r="N26" i="46"/>
  <c r="K26" i="46" s="1"/>
  <c r="N39" i="46"/>
  <c r="K39" i="46" s="1"/>
  <c r="N52" i="46"/>
  <c r="K52" i="46" s="1"/>
  <c r="K103" i="125"/>
  <c r="L3" i="110"/>
  <c r="C35" i="125"/>
  <c r="D3" i="45"/>
  <c r="Y29" i="125"/>
  <c r="C29" i="125"/>
  <c r="D3" i="39"/>
  <c r="H29" i="125"/>
  <c r="I3" i="39"/>
  <c r="AK10" i="125"/>
  <c r="M4" i="21" s="1"/>
  <c r="C4" i="21"/>
  <c r="G39" i="125"/>
  <c r="H3" i="48"/>
  <c r="F31" i="125"/>
  <c r="G3" i="41"/>
  <c r="AK97" i="125"/>
  <c r="M4" i="104" s="1"/>
  <c r="C4" i="104"/>
  <c r="N53" i="88"/>
  <c r="K53" i="88" s="1"/>
  <c r="N40" i="88"/>
  <c r="N14" i="92"/>
  <c r="N52" i="92"/>
  <c r="K52" i="92" s="1"/>
  <c r="N39" i="92"/>
  <c r="K39" i="92" s="1"/>
  <c r="N26" i="92"/>
  <c r="K26" i="92" s="1"/>
  <c r="I65" i="125"/>
  <c r="J3" i="73"/>
  <c r="D49" i="125"/>
  <c r="E3" i="58"/>
  <c r="G24" i="125"/>
  <c r="H3" i="34"/>
  <c r="AK53" i="125"/>
  <c r="M4" i="61" s="1"/>
  <c r="C4" i="61"/>
  <c r="N14" i="61"/>
  <c r="N52" i="61"/>
  <c r="K52" i="61" s="1"/>
  <c r="N39" i="61"/>
  <c r="K39" i="61" s="1"/>
  <c r="N26" i="61"/>
  <c r="K26" i="61" s="1"/>
  <c r="J51" i="125"/>
  <c r="K3" i="60"/>
  <c r="J58" i="125"/>
  <c r="K3" i="66"/>
  <c r="D12" i="125"/>
  <c r="E3" i="23"/>
  <c r="C91" i="125"/>
  <c r="D3" i="98"/>
  <c r="Y91" i="125"/>
  <c r="D91" i="125"/>
  <c r="E3" i="98"/>
  <c r="K41" i="125"/>
  <c r="L3" i="50"/>
  <c r="E41" i="125"/>
  <c r="F3" i="50"/>
  <c r="C9" i="125"/>
  <c r="D3" i="20"/>
  <c r="N40" i="80"/>
  <c r="N53" i="80"/>
  <c r="K53" i="80" s="1"/>
  <c r="AK70" i="125"/>
  <c r="M4" i="78" s="1"/>
  <c r="E4" i="78"/>
  <c r="N72" i="78" s="1"/>
  <c r="K72" i="78" s="1"/>
  <c r="AB105" i="125"/>
  <c r="AB107" i="125" s="1"/>
  <c r="D4" i="16"/>
  <c r="N71" i="16" s="1"/>
  <c r="K71" i="16" s="1"/>
  <c r="D4" i="17"/>
  <c r="N71" i="17" s="1"/>
  <c r="K71" i="17" s="1"/>
  <c r="P15" i="125"/>
  <c r="X15" i="125"/>
  <c r="Q15" i="125"/>
  <c r="S15" i="125"/>
  <c r="R15" i="125"/>
  <c r="T15" i="125"/>
  <c r="U15" i="125"/>
  <c r="V15" i="125"/>
  <c r="W15" i="125"/>
  <c r="O15" i="125"/>
  <c r="AK15" i="125"/>
  <c r="M4" i="26" s="1"/>
  <c r="D4" i="26"/>
  <c r="N71" i="26" s="1"/>
  <c r="K71" i="26" s="1"/>
  <c r="N40" i="94"/>
  <c r="N53" i="94"/>
  <c r="K53" i="94" s="1"/>
  <c r="G100" i="125"/>
  <c r="H3" i="107"/>
  <c r="G22" i="125"/>
  <c r="H3" i="32"/>
  <c r="I102" i="125"/>
  <c r="J3" i="109"/>
  <c r="J102" i="125"/>
  <c r="K3" i="109"/>
  <c r="B83" i="125"/>
  <c r="C3" i="90"/>
  <c r="K37" i="125"/>
  <c r="L3" i="46"/>
  <c r="V43" i="125"/>
  <c r="Q43" i="125"/>
  <c r="R43" i="125"/>
  <c r="S43" i="125"/>
  <c r="U43" i="125"/>
  <c r="W43" i="125"/>
  <c r="O43" i="125"/>
  <c r="P43" i="125"/>
  <c r="T43" i="125"/>
  <c r="X43" i="125"/>
  <c r="H19" i="125"/>
  <c r="I3" i="29"/>
  <c r="P50" i="125"/>
  <c r="X50" i="125"/>
  <c r="Q50" i="125"/>
  <c r="S50" i="125"/>
  <c r="T50" i="125"/>
  <c r="W50" i="125"/>
  <c r="O50" i="125"/>
  <c r="R50" i="125"/>
  <c r="V50" i="125"/>
  <c r="U50" i="125"/>
  <c r="E14" i="125"/>
  <c r="F3" i="25"/>
  <c r="I70" i="125"/>
  <c r="J3" i="78"/>
  <c r="R26" i="125"/>
  <c r="S26" i="125"/>
  <c r="U26" i="125"/>
  <c r="W26" i="125"/>
  <c r="X26" i="125"/>
  <c r="O26" i="125"/>
  <c r="P26" i="125"/>
  <c r="Q26" i="125"/>
  <c r="T26" i="125"/>
  <c r="V26" i="125"/>
  <c r="J69" i="125"/>
  <c r="K3" i="77"/>
  <c r="E46" i="125"/>
  <c r="F3" i="55"/>
  <c r="I81" i="125"/>
  <c r="J3" i="88"/>
  <c r="H81" i="125"/>
  <c r="I3" i="88"/>
  <c r="N40" i="62"/>
  <c r="N53" i="62"/>
  <c r="K53" i="62" s="1"/>
  <c r="H79" i="125"/>
  <c r="I3" i="87"/>
  <c r="Y78" i="125"/>
  <c r="D78" i="125"/>
  <c r="E3" i="86"/>
  <c r="I72" i="125"/>
  <c r="J3" i="80"/>
  <c r="I75" i="125"/>
  <c r="J3" i="83"/>
  <c r="F75" i="125"/>
  <c r="G3" i="83"/>
  <c r="N40" i="69"/>
  <c r="N53" i="69"/>
  <c r="K53" i="69" s="1"/>
  <c r="AK65" i="125"/>
  <c r="M4" i="73" s="1"/>
  <c r="C4" i="73"/>
  <c r="T40" i="125"/>
  <c r="O40" i="125"/>
  <c r="W40" i="125"/>
  <c r="P40" i="125"/>
  <c r="Q40" i="125"/>
  <c r="S40" i="125"/>
  <c r="U40" i="125"/>
  <c r="R40" i="125"/>
  <c r="V40" i="125"/>
  <c r="X40" i="125"/>
  <c r="AK23" i="125"/>
  <c r="M4" i="33" s="1"/>
  <c r="D4" i="33"/>
  <c r="N71" i="33" s="1"/>
  <c r="K71" i="33" s="1"/>
  <c r="N40" i="31"/>
  <c r="N53" i="31"/>
  <c r="K53" i="31" s="1"/>
  <c r="N53" i="93"/>
  <c r="K53" i="93" s="1"/>
  <c r="N40" i="93"/>
  <c r="N40" i="50"/>
  <c r="N53" i="50"/>
  <c r="K53" i="50" s="1"/>
  <c r="N40" i="20"/>
  <c r="K40" i="20" s="1"/>
  <c r="N53" i="20"/>
  <c r="N40" i="40"/>
  <c r="K40" i="40" s="1"/>
  <c r="N53" i="40"/>
  <c r="K53" i="40" s="1"/>
  <c r="AK7" i="125"/>
  <c r="M4" i="18" s="1"/>
  <c r="D4" i="18"/>
  <c r="N71" i="18" s="1"/>
  <c r="K71" i="18" s="1"/>
  <c r="AK55" i="125"/>
  <c r="M4" i="63" s="1"/>
  <c r="D4" i="63"/>
  <c r="N40" i="107"/>
  <c r="N53" i="107"/>
  <c r="K53" i="107" s="1"/>
  <c r="I61" i="125"/>
  <c r="J3" i="69"/>
  <c r="I17" i="125"/>
  <c r="J3" i="28"/>
  <c r="H17" i="125"/>
  <c r="I3" i="28"/>
  <c r="E27" i="125"/>
  <c r="F3" i="37"/>
  <c r="E73" i="125"/>
  <c r="F3" i="81"/>
  <c r="S90" i="125"/>
  <c r="U90" i="125"/>
  <c r="V90" i="125"/>
  <c r="O90" i="125"/>
  <c r="W90" i="125"/>
  <c r="Q90" i="125"/>
  <c r="R90" i="125"/>
  <c r="X90" i="125"/>
  <c r="P90" i="125"/>
  <c r="T90" i="125"/>
  <c r="D23" i="125"/>
  <c r="E3" i="33"/>
  <c r="Y21" i="125"/>
  <c r="C21" i="125"/>
  <c r="D3" i="31"/>
  <c r="AK64" i="125"/>
  <c r="M4" i="72" s="1"/>
  <c r="C4" i="72"/>
  <c r="I86" i="125"/>
  <c r="J3" i="93"/>
  <c r="G30" i="125"/>
  <c r="H3" i="40"/>
  <c r="H30" i="125"/>
  <c r="I3" i="40"/>
  <c r="J7" i="125"/>
  <c r="K3" i="18"/>
  <c r="G55" i="125"/>
  <c r="H3" i="63"/>
  <c r="Y62" i="125"/>
  <c r="D62" i="125"/>
  <c r="E3" i="70"/>
  <c r="O4" i="37"/>
  <c r="N13" i="37"/>
  <c r="N51" i="37"/>
  <c r="K51" i="37" s="1"/>
  <c r="N38" i="37"/>
  <c r="N25" i="37"/>
  <c r="N14" i="97"/>
  <c r="N52" i="97"/>
  <c r="K52" i="97" s="1"/>
  <c r="N39" i="97"/>
  <c r="K39" i="97" s="1"/>
  <c r="N26" i="97"/>
  <c r="K26" i="97" s="1"/>
  <c r="AK28" i="125"/>
  <c r="M4" i="38" s="1"/>
  <c r="C4" i="38"/>
  <c r="S33" i="125"/>
  <c r="V33" i="125"/>
  <c r="P33" i="125"/>
  <c r="Q33" i="125"/>
  <c r="T33" i="125"/>
  <c r="U33" i="125"/>
  <c r="O33" i="125"/>
  <c r="R33" i="125"/>
  <c r="W33" i="125"/>
  <c r="X33" i="125"/>
  <c r="AK93" i="125"/>
  <c r="M4" i="100" s="1"/>
  <c r="C4" i="100"/>
  <c r="P104" i="125"/>
  <c r="X104" i="125"/>
  <c r="R104" i="125"/>
  <c r="S104" i="125"/>
  <c r="T104" i="125"/>
  <c r="V104" i="125"/>
  <c r="O104" i="125"/>
  <c r="U104" i="125"/>
  <c r="W104" i="125"/>
  <c r="Q104" i="125"/>
  <c r="N51" i="102"/>
  <c r="N38" i="102"/>
  <c r="N25" i="102"/>
  <c r="N13" i="102"/>
  <c r="O4" i="102"/>
  <c r="K76" i="125"/>
  <c r="L3" i="84"/>
  <c r="AK8" i="125"/>
  <c r="M4" i="19" s="1"/>
  <c r="C4" i="19"/>
  <c r="N40" i="109"/>
  <c r="N53" i="109"/>
  <c r="K53" i="109" s="1"/>
  <c r="F68" i="125"/>
  <c r="G3" i="76"/>
  <c r="C74" i="125"/>
  <c r="D3" i="82"/>
  <c r="Y74" i="125"/>
  <c r="F74" i="125"/>
  <c r="G3" i="82"/>
  <c r="J16" i="125"/>
  <c r="K3" i="27"/>
  <c r="K98" i="125"/>
  <c r="L3" i="105"/>
  <c r="AK69" i="125"/>
  <c r="M4" i="77" s="1"/>
  <c r="C4" i="77"/>
  <c r="K44" i="125"/>
  <c r="L3" i="53"/>
  <c r="G44" i="125"/>
  <c r="H3" i="53"/>
  <c r="J63" i="125"/>
  <c r="K3" i="71"/>
  <c r="K67" i="125"/>
  <c r="L3" i="75"/>
  <c r="I67" i="125"/>
  <c r="J3" i="75"/>
  <c r="J93" i="125"/>
  <c r="K3" i="100"/>
  <c r="Y45" i="125"/>
  <c r="C45" i="125"/>
  <c r="D3" i="54"/>
  <c r="N52" i="86"/>
  <c r="K52" i="86" s="1"/>
  <c r="N39" i="86"/>
  <c r="K39" i="86" s="1"/>
  <c r="N26" i="86"/>
  <c r="K26" i="86" s="1"/>
  <c r="N14" i="86"/>
  <c r="N39" i="42"/>
  <c r="K39" i="42" s="1"/>
  <c r="N26" i="42"/>
  <c r="K26" i="42" s="1"/>
  <c r="N14" i="42"/>
  <c r="N52" i="42"/>
  <c r="K52" i="42" s="1"/>
  <c r="C95" i="125"/>
  <c r="D3" i="102"/>
  <c r="N14" i="27"/>
  <c r="N52" i="27"/>
  <c r="K52" i="27" s="1"/>
  <c r="N26" i="27"/>
  <c r="K26" i="27" s="1"/>
  <c r="N39" i="27"/>
  <c r="K39" i="27" s="1"/>
  <c r="N14" i="53"/>
  <c r="N52" i="53"/>
  <c r="K52" i="53" s="1"/>
  <c r="N26" i="53"/>
  <c r="K26" i="53" s="1"/>
  <c r="N39" i="53"/>
  <c r="K39" i="53" s="1"/>
  <c r="N40" i="39"/>
  <c r="N53" i="39"/>
  <c r="K53" i="39" s="1"/>
  <c r="O84" i="125"/>
  <c r="W84" i="125"/>
  <c r="Q84" i="125"/>
  <c r="R84" i="125"/>
  <c r="S84" i="125"/>
  <c r="U84" i="125"/>
  <c r="T84" i="125"/>
  <c r="P84" i="125"/>
  <c r="V84" i="125"/>
  <c r="X84" i="125"/>
  <c r="N53" i="51"/>
  <c r="K53" i="51" s="1"/>
  <c r="N40" i="51"/>
  <c r="N52" i="90"/>
  <c r="K52" i="90" s="1"/>
  <c r="N26" i="90"/>
  <c r="K26" i="90" s="1"/>
  <c r="N39" i="90"/>
  <c r="K39" i="90" s="1"/>
  <c r="N14" i="90"/>
  <c r="C103" i="125"/>
  <c r="D3" i="110"/>
  <c r="I35" i="125"/>
  <c r="J3" i="45"/>
  <c r="D29" i="125"/>
  <c r="E3" i="39"/>
  <c r="G29" i="125"/>
  <c r="H3" i="39"/>
  <c r="N40" i="95"/>
  <c r="N53" i="95"/>
  <c r="K53" i="95" s="1"/>
  <c r="N26" i="32"/>
  <c r="K26" i="32" s="1"/>
  <c r="N52" i="32"/>
  <c r="K52" i="32" s="1"/>
  <c r="N39" i="32"/>
  <c r="K39" i="32" s="1"/>
  <c r="N14" i="32"/>
  <c r="F39" i="125"/>
  <c r="G3" i="48"/>
  <c r="D31" i="125"/>
  <c r="E3" i="41"/>
  <c r="AK85" i="125"/>
  <c r="M4" i="92" s="1"/>
  <c r="C4" i="92"/>
  <c r="C65" i="125"/>
  <c r="D3" i="73"/>
  <c r="F65" i="125"/>
  <c r="G3" i="73"/>
  <c r="I49" i="125"/>
  <c r="J3" i="58"/>
  <c r="F24" i="125"/>
  <c r="G3" i="34"/>
  <c r="F51" i="125"/>
  <c r="G3" i="60"/>
  <c r="B51" i="125"/>
  <c r="C3" i="60"/>
  <c r="Y58" i="125"/>
  <c r="G58" i="125"/>
  <c r="H3" i="66"/>
  <c r="I12" i="125"/>
  <c r="J3" i="23"/>
  <c r="K91" i="125"/>
  <c r="L3" i="98"/>
  <c r="F41" i="125"/>
  <c r="G3" i="50"/>
  <c r="J9" i="125"/>
  <c r="K3" i="20"/>
  <c r="I9" i="125"/>
  <c r="J3" i="20"/>
  <c r="N14" i="78"/>
  <c r="N26" i="78"/>
  <c r="K26" i="78" s="1"/>
  <c r="N52" i="78"/>
  <c r="K52" i="78" s="1"/>
  <c r="N39" i="78"/>
  <c r="K39" i="78" s="1"/>
  <c r="AJ105" i="125"/>
  <c r="AJ107" i="125" s="1"/>
  <c r="L4" i="16"/>
  <c r="L4" i="17"/>
  <c r="N40" i="26"/>
  <c r="N53" i="26"/>
  <c r="K53" i="26" s="1"/>
  <c r="N25" i="22"/>
  <c r="O4" i="22"/>
  <c r="N13" i="22"/>
  <c r="N51" i="22"/>
  <c r="K51" i="22" s="1"/>
  <c r="N38" i="22"/>
  <c r="K100" i="125"/>
  <c r="L3" i="107"/>
  <c r="F100" i="125"/>
  <c r="G3" i="107"/>
  <c r="Y22" i="125"/>
  <c r="D22" i="125"/>
  <c r="E3" i="32"/>
  <c r="E102" i="125"/>
  <c r="F3" i="109"/>
  <c r="B102" i="125"/>
  <c r="C3" i="109"/>
  <c r="H83" i="125"/>
  <c r="I3" i="90"/>
  <c r="G37" i="125"/>
  <c r="H3" i="46"/>
  <c r="G19" i="125"/>
  <c r="H3" i="29"/>
  <c r="AK50" i="125"/>
  <c r="M4" i="59" s="1"/>
  <c r="C4" i="59"/>
  <c r="N53" i="59"/>
  <c r="K53" i="59" s="1"/>
  <c r="N40" i="59"/>
  <c r="D14" i="125"/>
  <c r="E3" i="25"/>
  <c r="C70" i="125"/>
  <c r="D3" i="78"/>
  <c r="B69" i="125"/>
  <c r="C3" i="77"/>
  <c r="B46" i="125"/>
  <c r="C3" i="55"/>
  <c r="E81" i="125"/>
  <c r="F3" i="88"/>
  <c r="O101" i="125"/>
  <c r="W101" i="125"/>
  <c r="Q101" i="125"/>
  <c r="R101" i="125"/>
  <c r="S101" i="125"/>
  <c r="U101" i="125"/>
  <c r="P101" i="125"/>
  <c r="T101" i="125"/>
  <c r="X101" i="125"/>
  <c r="V101" i="125"/>
  <c r="N14" i="108"/>
  <c r="N52" i="108"/>
  <c r="K52" i="108" s="1"/>
  <c r="N39" i="108"/>
  <c r="K39" i="108" s="1"/>
  <c r="N26" i="108"/>
  <c r="K26" i="108" s="1"/>
  <c r="AK77" i="125"/>
  <c r="M4" i="85" s="1"/>
  <c r="C4" i="85"/>
  <c r="N14" i="62"/>
  <c r="N52" i="62"/>
  <c r="K52" i="62" s="1"/>
  <c r="N26" i="62"/>
  <c r="K26" i="62" s="1"/>
  <c r="N39" i="62"/>
  <c r="K39" i="62" s="1"/>
  <c r="AK54" i="125"/>
  <c r="M4" i="62" s="1"/>
  <c r="E4" i="62"/>
  <c r="N72" i="62" s="1"/>
  <c r="K72" i="62" s="1"/>
  <c r="G79" i="125"/>
  <c r="H3" i="87"/>
  <c r="J78" i="125"/>
  <c r="K3" i="86"/>
  <c r="G72" i="125"/>
  <c r="H3" i="80"/>
  <c r="C75" i="125"/>
  <c r="D3" i="83"/>
  <c r="D75" i="125"/>
  <c r="E3" i="83"/>
  <c r="K33" i="124"/>
  <c r="K33" i="127" s="1"/>
  <c r="L33" i="124"/>
  <c r="L33" i="127" s="1"/>
  <c r="M33" i="124"/>
  <c r="M33" i="127" s="1"/>
  <c r="J33" i="124"/>
  <c r="J33" i="127" s="1"/>
  <c r="P4" i="9"/>
  <c r="P104" i="9" s="1"/>
  <c r="N15" i="93" l="1"/>
  <c r="K15" i="93" s="1"/>
  <c r="N70" i="106"/>
  <c r="K70" i="106" s="1"/>
  <c r="N79" i="38"/>
  <c r="K79" i="38" s="1"/>
  <c r="N70" i="83"/>
  <c r="N79" i="89"/>
  <c r="K79" i="89" s="1"/>
  <c r="Y71" i="125"/>
  <c r="N79" i="40"/>
  <c r="K79" i="40" s="1"/>
  <c r="N79" i="19"/>
  <c r="K79" i="19" s="1"/>
  <c r="O4" i="78"/>
  <c r="Y94" i="125"/>
  <c r="L94" i="125" s="1"/>
  <c r="O4" i="83"/>
  <c r="O4" i="45"/>
  <c r="N33" i="127"/>
  <c r="D84" i="125"/>
  <c r="E3" i="91"/>
  <c r="K26" i="45"/>
  <c r="N73" i="45"/>
  <c r="K73" i="45" s="1"/>
  <c r="C56" i="125"/>
  <c r="D3" i="64"/>
  <c r="N63" i="82"/>
  <c r="K63" i="82" s="1"/>
  <c r="I5" i="82"/>
  <c r="N70" i="109"/>
  <c r="K13" i="109"/>
  <c r="K60" i="125"/>
  <c r="L3" i="68"/>
  <c r="N41" i="99"/>
  <c r="K41" i="99" s="1"/>
  <c r="N27" i="99"/>
  <c r="K27" i="99" s="1"/>
  <c r="N15" i="99"/>
  <c r="K15" i="99" s="1"/>
  <c r="K38" i="40"/>
  <c r="C64" i="125"/>
  <c r="D3" i="72"/>
  <c r="F92" i="125"/>
  <c r="G3" i="99"/>
  <c r="J54" i="125"/>
  <c r="K3" i="62"/>
  <c r="K54" i="125"/>
  <c r="L3" i="62"/>
  <c r="N63" i="25"/>
  <c r="K63" i="25" s="1"/>
  <c r="I5" i="25"/>
  <c r="K52" i="67"/>
  <c r="N41" i="71"/>
  <c r="K41" i="71" s="1"/>
  <c r="N27" i="71"/>
  <c r="K27" i="71" s="1"/>
  <c r="N15" i="71"/>
  <c r="K15" i="71" s="1"/>
  <c r="N32" i="63"/>
  <c r="N58" i="63" s="1"/>
  <c r="K58" i="63" s="1"/>
  <c r="C5" i="63"/>
  <c r="N8" i="63"/>
  <c r="N45" i="63"/>
  <c r="K45" i="63" s="1"/>
  <c r="N19" i="63"/>
  <c r="K14" i="87"/>
  <c r="N73" i="87"/>
  <c r="K73" i="87" s="1"/>
  <c r="N20" i="31"/>
  <c r="K20" i="31" s="1"/>
  <c r="N46" i="31"/>
  <c r="K46" i="31" s="1"/>
  <c r="N33" i="31"/>
  <c r="K33" i="31" s="1"/>
  <c r="N9" i="31"/>
  <c r="G5" i="31"/>
  <c r="K14" i="29"/>
  <c r="N73" i="29"/>
  <c r="K73" i="29" s="1"/>
  <c r="N34" i="28"/>
  <c r="L5" i="28"/>
  <c r="N47" i="28"/>
  <c r="K47" i="28" s="1"/>
  <c r="K53" i="70"/>
  <c r="N27" i="92"/>
  <c r="K27" i="92" s="1"/>
  <c r="N15" i="92"/>
  <c r="K15" i="92" s="1"/>
  <c r="N41" i="92"/>
  <c r="K41" i="92" s="1"/>
  <c r="K14" i="42"/>
  <c r="N73" i="42"/>
  <c r="K73" i="42" s="1"/>
  <c r="D33" i="125"/>
  <c r="E3" i="43"/>
  <c r="N41" i="44"/>
  <c r="K41" i="44" s="1"/>
  <c r="N15" i="44"/>
  <c r="K15" i="44" s="1"/>
  <c r="N27" i="44"/>
  <c r="K27" i="44" s="1"/>
  <c r="H5" i="80"/>
  <c r="N62" i="80"/>
  <c r="K62" i="80" s="1"/>
  <c r="E101" i="125"/>
  <c r="F3" i="108"/>
  <c r="N32" i="77"/>
  <c r="N8" i="77"/>
  <c r="N45" i="77"/>
  <c r="K45" i="77" s="1"/>
  <c r="N19" i="77"/>
  <c r="C5" i="77"/>
  <c r="N25" i="59"/>
  <c r="N13" i="59"/>
  <c r="O4" i="59"/>
  <c r="N51" i="59"/>
  <c r="N38" i="59"/>
  <c r="N19" i="109"/>
  <c r="C5" i="109"/>
  <c r="N45" i="109"/>
  <c r="K45" i="109" s="1"/>
  <c r="O3" i="109"/>
  <c r="O5" i="109" s="1"/>
  <c r="N32" i="109"/>
  <c r="N8" i="109"/>
  <c r="J5" i="58"/>
  <c r="N64" i="58"/>
  <c r="K64" i="58" s="1"/>
  <c r="N60" i="41"/>
  <c r="K60" i="41" s="1"/>
  <c r="E5" i="41"/>
  <c r="D5" i="110"/>
  <c r="N59" i="110"/>
  <c r="K59" i="110" s="1"/>
  <c r="K84" i="125"/>
  <c r="L3" i="91"/>
  <c r="J84" i="125"/>
  <c r="K3" i="91"/>
  <c r="L45" i="125"/>
  <c r="M3" i="54"/>
  <c r="G5" i="76"/>
  <c r="N46" i="76"/>
  <c r="K46" i="76" s="1"/>
  <c r="N9" i="76"/>
  <c r="K9" i="76" s="1"/>
  <c r="N20" i="76"/>
  <c r="K20" i="76" s="1"/>
  <c r="N33" i="76"/>
  <c r="K33" i="76" s="1"/>
  <c r="B104" i="125"/>
  <c r="C3" i="111"/>
  <c r="N41" i="100"/>
  <c r="K41" i="100" s="1"/>
  <c r="N27" i="100"/>
  <c r="K27" i="100" s="1"/>
  <c r="N15" i="100"/>
  <c r="K15" i="100" s="1"/>
  <c r="C33" i="125"/>
  <c r="D3" i="43"/>
  <c r="K14" i="97"/>
  <c r="N73" i="97"/>
  <c r="K73" i="97" s="1"/>
  <c r="L62" i="125"/>
  <c r="M3" i="70"/>
  <c r="N60" i="33"/>
  <c r="K60" i="33" s="1"/>
  <c r="E5" i="33"/>
  <c r="B90" i="125"/>
  <c r="C3" i="97"/>
  <c r="N63" i="28"/>
  <c r="K63" i="28" s="1"/>
  <c r="I5" i="28"/>
  <c r="N71" i="63"/>
  <c r="K71" i="63" s="1"/>
  <c r="K117" i="118" s="1"/>
  <c r="N117" i="118" s="1"/>
  <c r="O4" i="63"/>
  <c r="F5" i="60"/>
  <c r="N65" i="60"/>
  <c r="K65" i="60" s="1"/>
  <c r="K14" i="88"/>
  <c r="N73" i="88"/>
  <c r="K73" i="88" s="1"/>
  <c r="N27" i="32"/>
  <c r="K27" i="32" s="1"/>
  <c r="N41" i="32"/>
  <c r="K41" i="32" s="1"/>
  <c r="N15" i="32"/>
  <c r="K15" i="32" s="1"/>
  <c r="N66" i="20"/>
  <c r="K66" i="20" s="1"/>
  <c r="K5" i="20"/>
  <c r="N25" i="100"/>
  <c r="O4" i="100"/>
  <c r="N13" i="100"/>
  <c r="N51" i="100"/>
  <c r="N38" i="100"/>
  <c r="N33" i="83"/>
  <c r="K33" i="83" s="1"/>
  <c r="G5" i="83"/>
  <c r="N20" i="83"/>
  <c r="K20" i="83" s="1"/>
  <c r="N46" i="83"/>
  <c r="K46" i="83" s="1"/>
  <c r="N9" i="83"/>
  <c r="K9" i="83" s="1"/>
  <c r="G43" i="125"/>
  <c r="H3" i="52"/>
  <c r="N41" i="26"/>
  <c r="K41" i="26" s="1"/>
  <c r="N27" i="26"/>
  <c r="K27" i="26" s="1"/>
  <c r="N15" i="26"/>
  <c r="K15" i="26" s="1"/>
  <c r="D15" i="125"/>
  <c r="E3" i="26"/>
  <c r="I97" i="125"/>
  <c r="J3" i="104"/>
  <c r="K38" i="110"/>
  <c r="F34" i="125"/>
  <c r="G3" i="44"/>
  <c r="G99" i="125"/>
  <c r="H3" i="106"/>
  <c r="K70" i="83"/>
  <c r="N14" i="16"/>
  <c r="K14" i="16" s="1"/>
  <c r="N52" i="16"/>
  <c r="K52" i="16" s="1"/>
  <c r="N39" i="16"/>
  <c r="K39" i="16" s="1"/>
  <c r="N26" i="16"/>
  <c r="K26" i="16" s="1"/>
  <c r="K14" i="80"/>
  <c r="N73" i="80"/>
  <c r="K73" i="80" s="1"/>
  <c r="N59" i="50"/>
  <c r="K59" i="50" s="1"/>
  <c r="D5" i="50"/>
  <c r="N27" i="62"/>
  <c r="K27" i="62" s="1"/>
  <c r="N15" i="62"/>
  <c r="K15" i="62" s="1"/>
  <c r="N41" i="62"/>
  <c r="K41" i="62" s="1"/>
  <c r="K14" i="53"/>
  <c r="N73" i="53"/>
  <c r="K73" i="53" s="1"/>
  <c r="K53" i="20"/>
  <c r="N79" i="20"/>
  <c r="K79" i="20" s="1"/>
  <c r="C40" i="125"/>
  <c r="D3" i="49"/>
  <c r="L78" i="125"/>
  <c r="M3" i="86"/>
  <c r="C26" i="125"/>
  <c r="D3" i="36"/>
  <c r="Y50" i="125"/>
  <c r="G50" i="125"/>
  <c r="H3" i="59"/>
  <c r="I43" i="125"/>
  <c r="J3" i="52"/>
  <c r="N15" i="61"/>
  <c r="K15" i="61" s="1"/>
  <c r="N27" i="61"/>
  <c r="K27" i="61" s="1"/>
  <c r="N41" i="61"/>
  <c r="K41" i="61" s="1"/>
  <c r="K13" i="41"/>
  <c r="N70" i="41"/>
  <c r="K14" i="43"/>
  <c r="N73" i="43"/>
  <c r="K73" i="43" s="1"/>
  <c r="H99" i="125"/>
  <c r="I3" i="106"/>
  <c r="K40" i="53"/>
  <c r="N79" i="53"/>
  <c r="K79" i="53" s="1"/>
  <c r="J56" i="125"/>
  <c r="K3" i="64"/>
  <c r="K40" i="106"/>
  <c r="N79" i="106"/>
  <c r="K79" i="106" s="1"/>
  <c r="N15" i="68"/>
  <c r="K15" i="68" s="1"/>
  <c r="N27" i="68"/>
  <c r="K27" i="68" s="1"/>
  <c r="N41" i="68"/>
  <c r="K41" i="68" s="1"/>
  <c r="K25" i="18"/>
  <c r="O4" i="33"/>
  <c r="I53" i="125"/>
  <c r="J3" i="61"/>
  <c r="Y13" i="125"/>
  <c r="B13" i="125"/>
  <c r="C3" i="24"/>
  <c r="C87" i="125"/>
  <c r="D3" i="94"/>
  <c r="F87" i="125"/>
  <c r="G3" i="94"/>
  <c r="K28" i="125"/>
  <c r="L3" i="38"/>
  <c r="Y28" i="125"/>
  <c r="B28" i="125"/>
  <c r="C3" i="38"/>
  <c r="D5" i="28"/>
  <c r="N59" i="28"/>
  <c r="K59" i="28" s="1"/>
  <c r="L61" i="125"/>
  <c r="M3" i="69"/>
  <c r="K14" i="33"/>
  <c r="N73" i="33"/>
  <c r="K73" i="33" s="1"/>
  <c r="N46" i="107"/>
  <c r="K46" i="107" s="1"/>
  <c r="N33" i="107"/>
  <c r="K33" i="107" s="1"/>
  <c r="N9" i="107"/>
  <c r="K9" i="107" s="1"/>
  <c r="N20" i="107"/>
  <c r="K20" i="107" s="1"/>
  <c r="G5" i="107"/>
  <c r="K5" i="71"/>
  <c r="N66" i="71"/>
  <c r="K66" i="71" s="1"/>
  <c r="K40" i="93"/>
  <c r="N79" i="93"/>
  <c r="K79" i="93" s="1"/>
  <c r="E40" i="125"/>
  <c r="F3" i="49"/>
  <c r="N25" i="73"/>
  <c r="O4" i="73"/>
  <c r="N13" i="73"/>
  <c r="N51" i="73"/>
  <c r="N38" i="73"/>
  <c r="N64" i="80"/>
  <c r="K64" i="80" s="1"/>
  <c r="J5" i="80"/>
  <c r="K40" i="62"/>
  <c r="N79" i="62"/>
  <c r="K79" i="62" s="1"/>
  <c r="H26" i="125"/>
  <c r="I3" i="36"/>
  <c r="I50" i="125"/>
  <c r="J3" i="59"/>
  <c r="C50" i="125"/>
  <c r="D3" i="59"/>
  <c r="H43" i="125"/>
  <c r="I3" i="52"/>
  <c r="H15" i="125"/>
  <c r="I3" i="26"/>
  <c r="F5" i="50"/>
  <c r="N65" i="50"/>
  <c r="K65" i="50" s="1"/>
  <c r="N15" i="21"/>
  <c r="K15" i="21" s="1"/>
  <c r="N41" i="21"/>
  <c r="K41" i="21" s="1"/>
  <c r="N27" i="21"/>
  <c r="K27" i="21" s="1"/>
  <c r="L5" i="110"/>
  <c r="N34" i="110"/>
  <c r="K34" i="110" s="1"/>
  <c r="N47" i="110"/>
  <c r="K47" i="110" s="1"/>
  <c r="K38" i="48"/>
  <c r="N79" i="45"/>
  <c r="K79" i="45" s="1"/>
  <c r="K40" i="45"/>
  <c r="K26" i="104"/>
  <c r="N73" i="104"/>
  <c r="K73" i="104" s="1"/>
  <c r="C5" i="39"/>
  <c r="N8" i="39"/>
  <c r="N45" i="39"/>
  <c r="K45" i="39" s="1"/>
  <c r="N19" i="39"/>
  <c r="N32" i="39"/>
  <c r="N72" i="90"/>
  <c r="K72" i="90" s="1"/>
  <c r="O4" i="90"/>
  <c r="N59" i="71"/>
  <c r="K59" i="71" s="1"/>
  <c r="D5" i="71"/>
  <c r="N46" i="105"/>
  <c r="K46" i="105" s="1"/>
  <c r="N20" i="105"/>
  <c r="K20" i="105" s="1"/>
  <c r="G5" i="105"/>
  <c r="N9" i="105"/>
  <c r="K9" i="105" s="1"/>
  <c r="N33" i="105"/>
  <c r="K33" i="105" s="1"/>
  <c r="N41" i="102"/>
  <c r="K41" i="102" s="1"/>
  <c r="N15" i="102"/>
  <c r="K15" i="102" s="1"/>
  <c r="N27" i="102"/>
  <c r="K27" i="102" s="1"/>
  <c r="K52" i="71"/>
  <c r="K14" i="37"/>
  <c r="N73" i="37"/>
  <c r="K73" i="37" s="1"/>
  <c r="N62" i="31"/>
  <c r="K62" i="31" s="1"/>
  <c r="H5" i="31"/>
  <c r="C5" i="33"/>
  <c r="N19" i="33"/>
  <c r="N32" i="33"/>
  <c r="N8" i="33"/>
  <c r="N45" i="33"/>
  <c r="K45" i="33" s="1"/>
  <c r="K40" i="99"/>
  <c r="N79" i="99"/>
  <c r="K79" i="99" s="1"/>
  <c r="L73" i="125"/>
  <c r="M3" i="81"/>
  <c r="N27" i="65"/>
  <c r="K27" i="65" s="1"/>
  <c r="N41" i="65"/>
  <c r="K41" i="65" s="1"/>
  <c r="N15" i="65"/>
  <c r="K15" i="65" s="1"/>
  <c r="K52" i="82"/>
  <c r="N73" i="82"/>
  <c r="K73" i="82" s="1"/>
  <c r="B96" i="125"/>
  <c r="C3" i="103"/>
  <c r="K40" i="102"/>
  <c r="N79" i="102"/>
  <c r="K79" i="102" s="1"/>
  <c r="F101" i="125"/>
  <c r="G3" i="108"/>
  <c r="H5" i="66"/>
  <c r="N62" i="66"/>
  <c r="K62" i="66" s="1"/>
  <c r="H104" i="125"/>
  <c r="I3" i="111"/>
  <c r="N60" i="98"/>
  <c r="K60" i="98" s="1"/>
  <c r="E5" i="98"/>
  <c r="E5" i="83"/>
  <c r="N60" i="83"/>
  <c r="K60" i="83" s="1"/>
  <c r="H5" i="87"/>
  <c r="N62" i="87"/>
  <c r="K62" i="87" s="1"/>
  <c r="O4" i="85"/>
  <c r="N13" i="85"/>
  <c r="N51" i="85"/>
  <c r="N38" i="85"/>
  <c r="N25" i="85"/>
  <c r="G101" i="125"/>
  <c r="H3" i="108"/>
  <c r="F5" i="88"/>
  <c r="N65" i="88"/>
  <c r="K65" i="88" s="1"/>
  <c r="E5" i="25"/>
  <c r="N60" i="25"/>
  <c r="K60" i="25" s="1"/>
  <c r="H5" i="46"/>
  <c r="N62" i="46"/>
  <c r="K62" i="46" s="1"/>
  <c r="E5" i="32"/>
  <c r="N60" i="32"/>
  <c r="K60" i="32" s="1"/>
  <c r="N73" i="78"/>
  <c r="K73" i="78" s="1"/>
  <c r="K14" i="78"/>
  <c r="N33" i="60"/>
  <c r="K33" i="60" s="1"/>
  <c r="G5" i="60"/>
  <c r="N46" i="60"/>
  <c r="K46" i="60" s="1"/>
  <c r="N20" i="60"/>
  <c r="K20" i="60" s="1"/>
  <c r="N9" i="60"/>
  <c r="K9" i="60" s="1"/>
  <c r="N59" i="73"/>
  <c r="K59" i="73" s="1"/>
  <c r="D5" i="73"/>
  <c r="K14" i="32"/>
  <c r="N73" i="32"/>
  <c r="K73" i="32" s="1"/>
  <c r="E5" i="39"/>
  <c r="N60" i="39"/>
  <c r="K60" i="39" s="1"/>
  <c r="H84" i="125"/>
  <c r="I3" i="91"/>
  <c r="N59" i="102"/>
  <c r="K59" i="102" s="1"/>
  <c r="D5" i="102"/>
  <c r="N25" i="19"/>
  <c r="N38" i="19"/>
  <c r="O4" i="19"/>
  <c r="N13" i="19"/>
  <c r="N51" i="19"/>
  <c r="K51" i="102"/>
  <c r="Y104" i="125"/>
  <c r="E104" i="125"/>
  <c r="F3" i="111"/>
  <c r="Y33" i="125"/>
  <c r="B33" i="125"/>
  <c r="C3" i="43"/>
  <c r="N27" i="38"/>
  <c r="K27" i="38" s="1"/>
  <c r="N41" i="38"/>
  <c r="K41" i="38" s="1"/>
  <c r="N15" i="38"/>
  <c r="K15" i="38" s="1"/>
  <c r="K13" i="37"/>
  <c r="N70" i="37"/>
  <c r="N15" i="72"/>
  <c r="K15" i="72" s="1"/>
  <c r="N27" i="72"/>
  <c r="K27" i="72" s="1"/>
  <c r="N41" i="72"/>
  <c r="K41" i="72" s="1"/>
  <c r="K90" i="125"/>
  <c r="L3" i="97"/>
  <c r="F5" i="81"/>
  <c r="N65" i="81"/>
  <c r="K65" i="81" s="1"/>
  <c r="N64" i="69"/>
  <c r="K64" i="69" s="1"/>
  <c r="J5" i="69"/>
  <c r="K25" i="25"/>
  <c r="C5" i="66"/>
  <c r="N19" i="66"/>
  <c r="N32" i="66"/>
  <c r="N8" i="66"/>
  <c r="N45" i="66"/>
  <c r="K45" i="66" s="1"/>
  <c r="N60" i="73"/>
  <c r="K60" i="73" s="1"/>
  <c r="E5" i="73"/>
  <c r="K25" i="94"/>
  <c r="K5" i="73"/>
  <c r="N66" i="73"/>
  <c r="K66" i="73" s="1"/>
  <c r="N64" i="48"/>
  <c r="K64" i="48" s="1"/>
  <c r="J5" i="48"/>
  <c r="K40" i="32"/>
  <c r="N79" i="32"/>
  <c r="K79" i="32" s="1"/>
  <c r="L35" i="125"/>
  <c r="M3" i="45"/>
  <c r="O3" i="45" s="1"/>
  <c r="O5" i="45" s="1"/>
  <c r="N15" i="64"/>
  <c r="K15" i="64" s="1"/>
  <c r="N27" i="64"/>
  <c r="K27" i="64" s="1"/>
  <c r="N41" i="64"/>
  <c r="K41" i="64" s="1"/>
  <c r="I10" i="125"/>
  <c r="J3" i="21"/>
  <c r="K53" i="110"/>
  <c r="L71" i="125"/>
  <c r="M3" i="79"/>
  <c r="K25" i="22"/>
  <c r="N47" i="105"/>
  <c r="K47" i="105" s="1"/>
  <c r="N34" i="105"/>
  <c r="K34" i="105" s="1"/>
  <c r="L5" i="105"/>
  <c r="K53" i="96"/>
  <c r="N79" i="96"/>
  <c r="K79" i="96" s="1"/>
  <c r="F5" i="32"/>
  <c r="N65" i="32"/>
  <c r="K65" i="32" s="1"/>
  <c r="K14" i="22"/>
  <c r="N73" i="22"/>
  <c r="K73" i="22" s="1"/>
  <c r="N121" i="124"/>
  <c r="K14" i="18"/>
  <c r="N73" i="18"/>
  <c r="K73" i="18" s="1"/>
  <c r="N41" i="66"/>
  <c r="K41" i="66" s="1"/>
  <c r="N27" i="66"/>
  <c r="K27" i="66" s="1"/>
  <c r="N15" i="66"/>
  <c r="K15" i="66" s="1"/>
  <c r="K57" i="125"/>
  <c r="L3" i="65"/>
  <c r="I89" i="125"/>
  <c r="J3" i="96"/>
  <c r="H89" i="125"/>
  <c r="I3" i="96"/>
  <c r="K53" i="56"/>
  <c r="K119" i="118"/>
  <c r="N119" i="118" s="1"/>
  <c r="N66" i="86"/>
  <c r="K66" i="86" s="1"/>
  <c r="K5" i="86"/>
  <c r="I101" i="125"/>
  <c r="J3" i="108"/>
  <c r="J101" i="125"/>
  <c r="K3" i="108"/>
  <c r="N59" i="78"/>
  <c r="K59" i="78" s="1"/>
  <c r="D5" i="78"/>
  <c r="H5" i="29"/>
  <c r="N62" i="29"/>
  <c r="K62" i="29" s="1"/>
  <c r="N65" i="109"/>
  <c r="K65" i="109" s="1"/>
  <c r="F5" i="109"/>
  <c r="N53" i="17"/>
  <c r="K53" i="17" s="1"/>
  <c r="N40" i="17"/>
  <c r="K40" i="17" s="1"/>
  <c r="C5" i="60"/>
  <c r="N8" i="60"/>
  <c r="N45" i="60"/>
  <c r="K45" i="60" s="1"/>
  <c r="N32" i="60"/>
  <c r="N19" i="60"/>
  <c r="N33" i="73"/>
  <c r="K33" i="73" s="1"/>
  <c r="G5" i="73"/>
  <c r="N9" i="73"/>
  <c r="K9" i="73" s="1"/>
  <c r="N46" i="73"/>
  <c r="K46" i="73" s="1"/>
  <c r="N20" i="73"/>
  <c r="K20" i="73" s="1"/>
  <c r="N9" i="48"/>
  <c r="N20" i="48"/>
  <c r="K20" i="48" s="1"/>
  <c r="G5" i="48"/>
  <c r="N33" i="48"/>
  <c r="K33" i="48" s="1"/>
  <c r="N46" i="48"/>
  <c r="K46" i="48" s="1"/>
  <c r="H5" i="39"/>
  <c r="N62" i="39"/>
  <c r="K62" i="39" s="1"/>
  <c r="K14" i="90"/>
  <c r="N73" i="90"/>
  <c r="K73" i="90" s="1"/>
  <c r="C84" i="125"/>
  <c r="D3" i="91"/>
  <c r="N73" i="86"/>
  <c r="K73" i="86" s="1"/>
  <c r="K14" i="86"/>
  <c r="K25" i="102"/>
  <c r="G104" i="125"/>
  <c r="H3" i="111"/>
  <c r="J33" i="125"/>
  <c r="K3" i="43"/>
  <c r="F33" i="125"/>
  <c r="G3" i="43"/>
  <c r="K38" i="37"/>
  <c r="G90" i="125"/>
  <c r="H3" i="97"/>
  <c r="H90" i="125"/>
  <c r="I3" i="97"/>
  <c r="J5" i="28"/>
  <c r="N64" i="28"/>
  <c r="K64" i="28" s="1"/>
  <c r="K40" i="125"/>
  <c r="L3" i="49"/>
  <c r="Y40" i="125"/>
  <c r="B40" i="125"/>
  <c r="C3" i="49"/>
  <c r="N64" i="83"/>
  <c r="K64" i="83" s="1"/>
  <c r="J5" i="83"/>
  <c r="K26" i="125"/>
  <c r="L3" i="36"/>
  <c r="D50" i="125"/>
  <c r="E3" i="59"/>
  <c r="B43" i="125"/>
  <c r="C3" i="52"/>
  <c r="J15" i="125"/>
  <c r="K3" i="26"/>
  <c r="C15" i="125"/>
  <c r="D3" i="26"/>
  <c r="N59" i="20"/>
  <c r="K59" i="20" s="1"/>
  <c r="D5" i="20"/>
  <c r="L91" i="125"/>
  <c r="M3" i="98"/>
  <c r="K14" i="92"/>
  <c r="N73" i="92"/>
  <c r="K73" i="92" s="1"/>
  <c r="D5" i="45"/>
  <c r="N59" i="45"/>
  <c r="K59" i="45" s="1"/>
  <c r="K25" i="41"/>
  <c r="N25" i="39"/>
  <c r="N13" i="39"/>
  <c r="N51" i="39"/>
  <c r="N38" i="39"/>
  <c r="O4" i="39"/>
  <c r="F56" i="125"/>
  <c r="G3" i="64"/>
  <c r="G56" i="125"/>
  <c r="H3" i="64"/>
  <c r="N59" i="53"/>
  <c r="K59" i="53" s="1"/>
  <c r="D5" i="53"/>
  <c r="N65" i="82"/>
  <c r="K65" i="82" s="1"/>
  <c r="F5" i="82"/>
  <c r="K25" i="109"/>
  <c r="E60" i="125"/>
  <c r="F3" i="68"/>
  <c r="H60" i="125"/>
  <c r="I3" i="68"/>
  <c r="K25" i="47"/>
  <c r="J64" i="125"/>
  <c r="K3" i="72"/>
  <c r="G64" i="125"/>
  <c r="H3" i="72"/>
  <c r="D92" i="125"/>
  <c r="E3" i="99"/>
  <c r="I54" i="125"/>
  <c r="J3" i="62"/>
  <c r="N8" i="88"/>
  <c r="N32" i="88"/>
  <c r="C5" i="88"/>
  <c r="N45" i="88"/>
  <c r="K45" i="88" s="1"/>
  <c r="N19" i="88"/>
  <c r="D5" i="29"/>
  <c r="N59" i="29"/>
  <c r="K59" i="29" s="1"/>
  <c r="E5" i="46"/>
  <c r="N60" i="46"/>
  <c r="K60" i="46" s="1"/>
  <c r="N64" i="32"/>
  <c r="K64" i="32" s="1"/>
  <c r="J5" i="32"/>
  <c r="K40" i="78"/>
  <c r="N79" i="78"/>
  <c r="K79" i="78" s="1"/>
  <c r="N9" i="98"/>
  <c r="N20" i="98"/>
  <c r="K20" i="98" s="1"/>
  <c r="G5" i="98"/>
  <c r="N33" i="98"/>
  <c r="K33" i="98" s="1"/>
  <c r="N46" i="98"/>
  <c r="K46" i="98" s="1"/>
  <c r="E5" i="60"/>
  <c r="N60" i="60"/>
  <c r="K60" i="60" s="1"/>
  <c r="N8" i="45"/>
  <c r="C5" i="45"/>
  <c r="N32" i="45"/>
  <c r="N45" i="45"/>
  <c r="K45" i="45" s="1"/>
  <c r="N19" i="45"/>
  <c r="N51" i="103"/>
  <c r="N25" i="103"/>
  <c r="N38" i="103"/>
  <c r="N13" i="103"/>
  <c r="O4" i="103"/>
  <c r="N27" i="42"/>
  <c r="K27" i="42" s="1"/>
  <c r="N15" i="42"/>
  <c r="K15" i="42" s="1"/>
  <c r="N41" i="42"/>
  <c r="K41" i="42" s="1"/>
  <c r="F5" i="53"/>
  <c r="N65" i="53"/>
  <c r="K65" i="53" s="1"/>
  <c r="L98" i="125"/>
  <c r="M3" i="105"/>
  <c r="K14" i="71"/>
  <c r="N73" i="71"/>
  <c r="K73" i="71" s="1"/>
  <c r="N65" i="31"/>
  <c r="K65" i="31" s="1"/>
  <c r="F5" i="31"/>
  <c r="L23" i="125"/>
  <c r="M3" i="33"/>
  <c r="O3" i="33" s="1"/>
  <c r="O5" i="33" s="1"/>
  <c r="K25" i="29"/>
  <c r="H53" i="125"/>
  <c r="I3" i="61"/>
  <c r="E53" i="125"/>
  <c r="F3" i="61"/>
  <c r="C13" i="125"/>
  <c r="D3" i="24"/>
  <c r="N27" i="67"/>
  <c r="K27" i="67" s="1"/>
  <c r="N41" i="67"/>
  <c r="K41" i="67" s="1"/>
  <c r="N15" i="67"/>
  <c r="K15" i="67" s="1"/>
  <c r="I87" i="125"/>
  <c r="J3" i="94"/>
  <c r="N25" i="16"/>
  <c r="N13" i="16"/>
  <c r="N51" i="16"/>
  <c r="N38" i="16"/>
  <c r="O4" i="16"/>
  <c r="N73" i="25"/>
  <c r="K73" i="25" s="1"/>
  <c r="L51" i="125"/>
  <c r="M3" i="60"/>
  <c r="O3" i="60" s="1"/>
  <c r="N41" i="74"/>
  <c r="K41" i="74" s="1"/>
  <c r="N15" i="74"/>
  <c r="K15" i="74" s="1"/>
  <c r="N27" i="74"/>
  <c r="K27" i="74" s="1"/>
  <c r="H97" i="125"/>
  <c r="I3" i="104"/>
  <c r="K13" i="110"/>
  <c r="N70" i="110"/>
  <c r="F5" i="76"/>
  <c r="N65" i="76"/>
  <c r="K65" i="76" s="1"/>
  <c r="I34" i="125"/>
  <c r="J3" i="44"/>
  <c r="E99" i="125"/>
  <c r="F3" i="106"/>
  <c r="O4" i="71"/>
  <c r="K14" i="35"/>
  <c r="N73" i="35"/>
  <c r="K73" i="35" s="1"/>
  <c r="L55" i="125"/>
  <c r="M3" i="63"/>
  <c r="F5" i="33"/>
  <c r="N65" i="33"/>
  <c r="K65" i="33" s="1"/>
  <c r="K5" i="81"/>
  <c r="N66" i="81"/>
  <c r="K66" i="81" s="1"/>
  <c r="K25" i="70"/>
  <c r="K40" i="34"/>
  <c r="N79" i="34"/>
  <c r="K79" i="34" s="1"/>
  <c r="I57" i="125"/>
  <c r="J3" i="65"/>
  <c r="F89" i="125"/>
  <c r="G3" i="96"/>
  <c r="N66" i="107"/>
  <c r="K66" i="107" s="1"/>
  <c r="K5" i="107"/>
  <c r="N41" i="22"/>
  <c r="K41" i="22" s="1"/>
  <c r="N15" i="22"/>
  <c r="K15" i="22" s="1"/>
  <c r="N27" i="22"/>
  <c r="K27" i="22" s="1"/>
  <c r="N41" i="80"/>
  <c r="K41" i="80" s="1"/>
  <c r="N15" i="80"/>
  <c r="K15" i="80" s="1"/>
  <c r="N27" i="80"/>
  <c r="K27" i="80" s="1"/>
  <c r="K5" i="48"/>
  <c r="N66" i="48"/>
  <c r="K66" i="48" s="1"/>
  <c r="K40" i="57"/>
  <c r="N79" i="57"/>
  <c r="K79" i="57" s="1"/>
  <c r="B10" i="125"/>
  <c r="C3" i="21"/>
  <c r="F10" i="125"/>
  <c r="G3" i="21"/>
  <c r="N38" i="105"/>
  <c r="N51" i="105"/>
  <c r="N13" i="105"/>
  <c r="O4" i="105"/>
  <c r="N25" i="105"/>
  <c r="N15" i="76"/>
  <c r="K15" i="76" s="1"/>
  <c r="N27" i="76"/>
  <c r="K27" i="76" s="1"/>
  <c r="N41" i="76"/>
  <c r="K41" i="76" s="1"/>
  <c r="G96" i="125"/>
  <c r="H3" i="103"/>
  <c r="K40" i="44"/>
  <c r="N79" i="44"/>
  <c r="K79" i="44" s="1"/>
  <c r="K40" i="77"/>
  <c r="N79" i="77"/>
  <c r="K79" i="77" s="1"/>
  <c r="K40" i="54"/>
  <c r="N79" i="54"/>
  <c r="K79" i="54" s="1"/>
  <c r="K14" i="38"/>
  <c r="N73" i="38"/>
  <c r="K73" i="38" s="1"/>
  <c r="N62" i="33"/>
  <c r="K62" i="33" s="1"/>
  <c r="H5" i="33"/>
  <c r="G28" i="125"/>
  <c r="H3" i="38"/>
  <c r="N59" i="81"/>
  <c r="K59" i="81" s="1"/>
  <c r="D5" i="81"/>
  <c r="K40" i="23"/>
  <c r="N79" i="23"/>
  <c r="K79" i="23" s="1"/>
  <c r="N27" i="34"/>
  <c r="K27" i="34" s="1"/>
  <c r="N15" i="34"/>
  <c r="K15" i="34" s="1"/>
  <c r="N41" i="34"/>
  <c r="K41" i="34" s="1"/>
  <c r="N63" i="86"/>
  <c r="K63" i="86" s="1"/>
  <c r="I5" i="86"/>
  <c r="G77" i="125"/>
  <c r="H3" i="85"/>
  <c r="L5" i="88"/>
  <c r="N47" i="88"/>
  <c r="K47" i="88" s="1"/>
  <c r="N34" i="88"/>
  <c r="K34" i="88" s="1"/>
  <c r="E5" i="90"/>
  <c r="N60" i="90"/>
  <c r="K60" i="90" s="1"/>
  <c r="O4" i="56"/>
  <c r="F5" i="20"/>
  <c r="N65" i="20"/>
  <c r="K65" i="20" s="1"/>
  <c r="N59" i="23"/>
  <c r="K59" i="23" s="1"/>
  <c r="D5" i="23"/>
  <c r="K5" i="34"/>
  <c r="N66" i="34"/>
  <c r="K66" i="34" s="1"/>
  <c r="I88" i="125"/>
  <c r="J3" i="95"/>
  <c r="I66" i="125"/>
  <c r="J3" i="74"/>
  <c r="N25" i="82"/>
  <c r="N13" i="82"/>
  <c r="N38" i="82"/>
  <c r="N51" i="82"/>
  <c r="O4" i="82"/>
  <c r="D42" i="125"/>
  <c r="E3" i="51"/>
  <c r="N27" i="86"/>
  <c r="K27" i="86" s="1"/>
  <c r="N41" i="86"/>
  <c r="K41" i="86" s="1"/>
  <c r="N15" i="86"/>
  <c r="K15" i="86" s="1"/>
  <c r="K14" i="100"/>
  <c r="N73" i="100"/>
  <c r="K73" i="100" s="1"/>
  <c r="K40" i="81"/>
  <c r="N79" i="81"/>
  <c r="K79" i="81" s="1"/>
  <c r="I8" i="125"/>
  <c r="J3" i="19"/>
  <c r="Y8" i="125"/>
  <c r="B8" i="125"/>
  <c r="C3" i="19"/>
  <c r="N15" i="30"/>
  <c r="K15" i="30" s="1"/>
  <c r="N27" i="30"/>
  <c r="K27" i="30" s="1"/>
  <c r="N41" i="30"/>
  <c r="K41" i="30" s="1"/>
  <c r="H94" i="125"/>
  <c r="I3" i="101"/>
  <c r="C38" i="125"/>
  <c r="D3" i="47"/>
  <c r="N27" i="89"/>
  <c r="K27" i="89" s="1"/>
  <c r="N41" i="89"/>
  <c r="K41" i="89" s="1"/>
  <c r="N15" i="89"/>
  <c r="K15" i="89" s="1"/>
  <c r="K38" i="93"/>
  <c r="K42" i="93" s="1"/>
  <c r="K43" i="93" s="1"/>
  <c r="N42" i="93"/>
  <c r="N43" i="93" s="1"/>
  <c r="H20" i="125"/>
  <c r="I3" i="30"/>
  <c r="O4" i="98"/>
  <c r="G82" i="125"/>
  <c r="H3" i="89"/>
  <c r="N65" i="83"/>
  <c r="K65" i="83" s="1"/>
  <c r="F5" i="83"/>
  <c r="N60" i="88"/>
  <c r="K60" i="88" s="1"/>
  <c r="E5" i="88"/>
  <c r="L69" i="125"/>
  <c r="M3" i="77"/>
  <c r="L14" i="125"/>
  <c r="Y59" i="125"/>
  <c r="D59" i="125"/>
  <c r="E3" i="67"/>
  <c r="G47" i="125"/>
  <c r="H3" i="56"/>
  <c r="I47" i="125"/>
  <c r="J3" i="56"/>
  <c r="C11" i="125"/>
  <c r="D3" i="22"/>
  <c r="Y11" i="125"/>
  <c r="D11" i="125"/>
  <c r="E3" i="22"/>
  <c r="B6" i="125"/>
  <c r="O105" i="125"/>
  <c r="O107" i="125" s="1"/>
  <c r="C3" i="16"/>
  <c r="C3" i="17"/>
  <c r="N66" i="98"/>
  <c r="K66" i="98" s="1"/>
  <c r="K5" i="98"/>
  <c r="N63" i="60"/>
  <c r="K63" i="60" s="1"/>
  <c r="I5" i="60"/>
  <c r="N8" i="73"/>
  <c r="N32" i="73"/>
  <c r="N45" i="73"/>
  <c r="K45" i="73" s="1"/>
  <c r="C5" i="73"/>
  <c r="N19" i="73"/>
  <c r="H5" i="55"/>
  <c r="N62" i="55"/>
  <c r="K62" i="55" s="1"/>
  <c r="K5" i="78"/>
  <c r="N66" i="78"/>
  <c r="K66" i="78" s="1"/>
  <c r="F5" i="29"/>
  <c r="N65" i="29"/>
  <c r="K65" i="29" s="1"/>
  <c r="D71" i="125"/>
  <c r="E3" i="79"/>
  <c r="H5" i="109"/>
  <c r="N62" i="109"/>
  <c r="K62" i="109" s="1"/>
  <c r="N65" i="23"/>
  <c r="K65" i="23" s="1"/>
  <c r="F5" i="23"/>
  <c r="F5" i="34"/>
  <c r="N65" i="34"/>
  <c r="K65" i="34" s="1"/>
  <c r="N51" i="24"/>
  <c r="N38" i="24"/>
  <c r="N13" i="24"/>
  <c r="N25" i="24"/>
  <c r="O4" i="24"/>
  <c r="K40" i="91"/>
  <c r="N79" i="91"/>
  <c r="K79" i="91" s="1"/>
  <c r="K13" i="90"/>
  <c r="N70" i="90"/>
  <c r="N15" i="84"/>
  <c r="K15" i="84" s="1"/>
  <c r="N27" i="84"/>
  <c r="K27" i="84" s="1"/>
  <c r="N41" i="84"/>
  <c r="K41" i="84" s="1"/>
  <c r="H5" i="100"/>
  <c r="N62" i="100"/>
  <c r="K62" i="100" s="1"/>
  <c r="L63" i="125"/>
  <c r="M3" i="71"/>
  <c r="J32" i="125"/>
  <c r="K3" i="42"/>
  <c r="H32" i="125"/>
  <c r="I3" i="42"/>
  <c r="K40" i="60"/>
  <c r="N79" i="60"/>
  <c r="K79" i="60" s="1"/>
  <c r="N10" i="109"/>
  <c r="N21" i="109"/>
  <c r="K21" i="109" s="1"/>
  <c r="M5" i="109"/>
  <c r="N35" i="109"/>
  <c r="K35" i="109" s="1"/>
  <c r="N47" i="93"/>
  <c r="K47" i="93" s="1"/>
  <c r="L5" i="93"/>
  <c r="N34" i="93"/>
  <c r="C25" i="125"/>
  <c r="D3" i="35"/>
  <c r="F5" i="28"/>
  <c r="N65" i="28"/>
  <c r="K65" i="28" s="1"/>
  <c r="K40" i="35"/>
  <c r="N79" i="35"/>
  <c r="K79" i="35" s="1"/>
  <c r="N27" i="57"/>
  <c r="K27" i="57" s="1"/>
  <c r="N41" i="57"/>
  <c r="K41" i="57" s="1"/>
  <c r="N15" i="57"/>
  <c r="K15" i="57" s="1"/>
  <c r="F48" i="125"/>
  <c r="G3" i="57"/>
  <c r="G48" i="125"/>
  <c r="H3" i="57"/>
  <c r="K40" i="42"/>
  <c r="N79" i="42"/>
  <c r="K79" i="42" s="1"/>
  <c r="K13" i="86"/>
  <c r="I5" i="84"/>
  <c r="N63" i="84"/>
  <c r="K63" i="84" s="1"/>
  <c r="K38" i="60"/>
  <c r="E85" i="125"/>
  <c r="F3" i="92"/>
  <c r="K14" i="62"/>
  <c r="N73" i="62"/>
  <c r="K73" i="62" s="1"/>
  <c r="K101" i="125"/>
  <c r="L3" i="108"/>
  <c r="Y101" i="125"/>
  <c r="B101" i="125"/>
  <c r="C3" i="108"/>
  <c r="K38" i="22"/>
  <c r="N42" i="22"/>
  <c r="N43" i="22" s="1"/>
  <c r="N40" i="16"/>
  <c r="K40" i="16" s="1"/>
  <c r="N53" i="16"/>
  <c r="K53" i="16" s="1"/>
  <c r="N34" i="98"/>
  <c r="K34" i="98" s="1"/>
  <c r="L5" i="98"/>
  <c r="N47" i="98"/>
  <c r="K47" i="98" s="1"/>
  <c r="G84" i="125"/>
  <c r="H3" i="91"/>
  <c r="K40" i="39"/>
  <c r="N79" i="39"/>
  <c r="K79" i="39" s="1"/>
  <c r="K14" i="27"/>
  <c r="N73" i="27"/>
  <c r="K73" i="27" s="1"/>
  <c r="N64" i="75"/>
  <c r="K64" i="75" s="1"/>
  <c r="J5" i="75"/>
  <c r="N34" i="53"/>
  <c r="N47" i="53"/>
  <c r="K47" i="53" s="1"/>
  <c r="L5" i="53"/>
  <c r="N9" i="82"/>
  <c r="N33" i="82"/>
  <c r="K33" i="82" s="1"/>
  <c r="N20" i="82"/>
  <c r="K20" i="82" s="1"/>
  <c r="G5" i="82"/>
  <c r="N46" i="82"/>
  <c r="K46" i="82" s="1"/>
  <c r="K40" i="109"/>
  <c r="N79" i="109"/>
  <c r="K79" i="109" s="1"/>
  <c r="K38" i="102"/>
  <c r="F104" i="125"/>
  <c r="G3" i="111"/>
  <c r="E33" i="125"/>
  <c r="F3" i="43"/>
  <c r="N25" i="38"/>
  <c r="N38" i="38"/>
  <c r="N51" i="38"/>
  <c r="N13" i="38"/>
  <c r="O4" i="38"/>
  <c r="K5" i="18"/>
  <c r="N66" i="18"/>
  <c r="K66" i="18" s="1"/>
  <c r="N25" i="72"/>
  <c r="N13" i="72"/>
  <c r="N51" i="72"/>
  <c r="N38" i="72"/>
  <c r="O4" i="72"/>
  <c r="C90" i="125"/>
  <c r="D3" i="97"/>
  <c r="Y90" i="125"/>
  <c r="F90" i="125"/>
  <c r="G3" i="97"/>
  <c r="N15" i="18"/>
  <c r="K15" i="18" s="1"/>
  <c r="N27" i="18"/>
  <c r="K27" i="18" s="1"/>
  <c r="N41" i="18"/>
  <c r="K41" i="18" s="1"/>
  <c r="K40" i="50"/>
  <c r="N79" i="50"/>
  <c r="K79" i="50" s="1"/>
  <c r="I40" i="125"/>
  <c r="J3" i="49"/>
  <c r="G40" i="125"/>
  <c r="H3" i="49"/>
  <c r="K5" i="77"/>
  <c r="N66" i="77"/>
  <c r="K66" i="77" s="1"/>
  <c r="J26" i="125"/>
  <c r="K3" i="36"/>
  <c r="H50" i="125"/>
  <c r="I3" i="59"/>
  <c r="K50" i="125"/>
  <c r="L3" i="59"/>
  <c r="J43" i="125"/>
  <c r="K3" i="52"/>
  <c r="N19" i="90"/>
  <c r="C5" i="90"/>
  <c r="N32" i="90"/>
  <c r="N45" i="90"/>
  <c r="K45" i="90" s="1"/>
  <c r="N8" i="90"/>
  <c r="H5" i="107"/>
  <c r="N62" i="107"/>
  <c r="K62" i="107" s="1"/>
  <c r="I15" i="125"/>
  <c r="J3" i="26"/>
  <c r="D5" i="98"/>
  <c r="N59" i="98"/>
  <c r="K59" i="98" s="1"/>
  <c r="N60" i="58"/>
  <c r="K60" i="58" s="1"/>
  <c r="E5" i="58"/>
  <c r="K40" i="88"/>
  <c r="N79" i="88"/>
  <c r="K79" i="88" s="1"/>
  <c r="O4" i="21"/>
  <c r="N13" i="21"/>
  <c r="N51" i="21"/>
  <c r="N38" i="21"/>
  <c r="N25" i="21"/>
  <c r="N41" i="39"/>
  <c r="K41" i="39" s="1"/>
  <c r="N15" i="39"/>
  <c r="K15" i="39" s="1"/>
  <c r="N27" i="39"/>
  <c r="K27" i="39" s="1"/>
  <c r="Y56" i="125"/>
  <c r="B56" i="125"/>
  <c r="C3" i="64"/>
  <c r="O4" i="68"/>
  <c r="N13" i="68"/>
  <c r="N51" i="68"/>
  <c r="N38" i="68"/>
  <c r="N25" i="68"/>
  <c r="C5" i="84"/>
  <c r="N19" i="84"/>
  <c r="N32" i="84"/>
  <c r="N8" i="84"/>
  <c r="N45" i="84"/>
  <c r="K45" i="84" s="1"/>
  <c r="Y60" i="125"/>
  <c r="B60" i="125"/>
  <c r="C3" i="68"/>
  <c r="G60" i="125"/>
  <c r="H3" i="68"/>
  <c r="N51" i="35"/>
  <c r="N25" i="35"/>
  <c r="N38" i="35"/>
  <c r="N13" i="35"/>
  <c r="O4" i="35"/>
  <c r="L5" i="18"/>
  <c r="N34" i="18"/>
  <c r="N47" i="18"/>
  <c r="K47" i="18" s="1"/>
  <c r="N46" i="33"/>
  <c r="K46" i="33" s="1"/>
  <c r="N20" i="33"/>
  <c r="K20" i="33" s="1"/>
  <c r="N33" i="33"/>
  <c r="K33" i="33" s="1"/>
  <c r="G5" i="33"/>
  <c r="N9" i="33"/>
  <c r="N64" i="81"/>
  <c r="K64" i="81" s="1"/>
  <c r="J5" i="81"/>
  <c r="N73" i="65"/>
  <c r="K73" i="65" s="1"/>
  <c r="K14" i="65"/>
  <c r="K14" i="70"/>
  <c r="N73" i="70"/>
  <c r="K73" i="70" s="1"/>
  <c r="I64" i="125"/>
  <c r="J3" i="72"/>
  <c r="I92" i="125"/>
  <c r="J3" i="99"/>
  <c r="J92" i="125"/>
  <c r="K3" i="99"/>
  <c r="N47" i="86"/>
  <c r="K47" i="86" s="1"/>
  <c r="N34" i="86"/>
  <c r="L5" i="86"/>
  <c r="F54" i="125"/>
  <c r="G3" i="62"/>
  <c r="N60" i="78"/>
  <c r="K60" i="78" s="1"/>
  <c r="E5" i="78"/>
  <c r="K38" i="83"/>
  <c r="K5" i="50"/>
  <c r="N66" i="50"/>
  <c r="K66" i="50" s="1"/>
  <c r="K40" i="24"/>
  <c r="N79" i="24"/>
  <c r="K79" i="24" s="1"/>
  <c r="L31" i="125"/>
  <c r="M3" i="41"/>
  <c r="K14" i="21"/>
  <c r="N73" i="21"/>
  <c r="K73" i="21" s="1"/>
  <c r="N27" i="103"/>
  <c r="K27" i="103" s="1"/>
  <c r="N41" i="103"/>
  <c r="K41" i="103" s="1"/>
  <c r="N15" i="103"/>
  <c r="K15" i="103" s="1"/>
  <c r="K40" i="76"/>
  <c r="N79" i="76"/>
  <c r="K79" i="76" s="1"/>
  <c r="N65" i="75"/>
  <c r="K65" i="75" s="1"/>
  <c r="F5" i="75"/>
  <c r="N62" i="27"/>
  <c r="K62" i="27" s="1"/>
  <c r="H5" i="27"/>
  <c r="N66" i="84"/>
  <c r="K66" i="84" s="1"/>
  <c r="K5" i="84"/>
  <c r="N64" i="70"/>
  <c r="K64" i="70" s="1"/>
  <c r="J5" i="70"/>
  <c r="L7" i="125"/>
  <c r="M3" i="18"/>
  <c r="N63" i="37"/>
  <c r="K63" i="37" s="1"/>
  <c r="I5" i="37"/>
  <c r="N70" i="18"/>
  <c r="K13" i="18"/>
  <c r="K40" i="98"/>
  <c r="N79" i="98"/>
  <c r="K79" i="98" s="1"/>
  <c r="D53" i="125"/>
  <c r="E3" i="61"/>
  <c r="J13" i="125"/>
  <c r="K3" i="24"/>
  <c r="I13" i="125"/>
  <c r="J3" i="24"/>
  <c r="N59" i="86"/>
  <c r="K59" i="86" s="1"/>
  <c r="D5" i="86"/>
  <c r="K40" i="108"/>
  <c r="N79" i="108"/>
  <c r="K79" i="108" s="1"/>
  <c r="N65" i="77"/>
  <c r="K65" i="77" s="1"/>
  <c r="F5" i="77"/>
  <c r="K5" i="25"/>
  <c r="N66" i="25"/>
  <c r="K66" i="25" s="1"/>
  <c r="N59" i="90"/>
  <c r="K59" i="90" s="1"/>
  <c r="D5" i="90"/>
  <c r="E87" i="125"/>
  <c r="F3" i="94"/>
  <c r="O4" i="26"/>
  <c r="N51" i="17"/>
  <c r="O4" i="17"/>
  <c r="N13" i="17"/>
  <c r="N38" i="17"/>
  <c r="N25" i="17"/>
  <c r="L12" i="125"/>
  <c r="M3" i="23"/>
  <c r="N63" i="73"/>
  <c r="K63" i="73" s="1"/>
  <c r="I5" i="73"/>
  <c r="N63" i="41"/>
  <c r="K63" i="41" s="1"/>
  <c r="I5" i="41"/>
  <c r="K5" i="45"/>
  <c r="N66" i="45"/>
  <c r="K66" i="45" s="1"/>
  <c r="N79" i="90"/>
  <c r="K79" i="90" s="1"/>
  <c r="F97" i="125"/>
  <c r="G3" i="104"/>
  <c r="L5" i="102"/>
  <c r="N47" i="102"/>
  <c r="K47" i="102" s="1"/>
  <c r="N34" i="102"/>
  <c r="N60" i="100"/>
  <c r="K60" i="100" s="1"/>
  <c r="E5" i="100"/>
  <c r="K40" i="43"/>
  <c r="N79" i="43"/>
  <c r="K79" i="43" s="1"/>
  <c r="N63" i="27"/>
  <c r="K63" i="27" s="1"/>
  <c r="I5" i="27"/>
  <c r="H34" i="125"/>
  <c r="I3" i="44"/>
  <c r="C99" i="125"/>
  <c r="D3" i="106"/>
  <c r="K38" i="71"/>
  <c r="N42" i="71"/>
  <c r="N43" i="71" s="1"/>
  <c r="K13" i="101"/>
  <c r="N70" i="101"/>
  <c r="N47" i="63"/>
  <c r="K47" i="63" s="1"/>
  <c r="L5" i="63"/>
  <c r="N34" i="63"/>
  <c r="L86" i="125"/>
  <c r="M3" i="93"/>
  <c r="K40" i="65"/>
  <c r="N79" i="65"/>
  <c r="K79" i="65" s="1"/>
  <c r="K38" i="70"/>
  <c r="N13" i="20"/>
  <c r="O4" i="20"/>
  <c r="N25" i="20"/>
  <c r="N38" i="20"/>
  <c r="N51" i="20"/>
  <c r="G57" i="125"/>
  <c r="H3" i="65"/>
  <c r="F57" i="125"/>
  <c r="G3" i="65"/>
  <c r="F5" i="86"/>
  <c r="N65" i="86"/>
  <c r="K65" i="86" s="1"/>
  <c r="K5" i="55"/>
  <c r="N66" i="55"/>
  <c r="K66" i="55" s="1"/>
  <c r="N47" i="25"/>
  <c r="K47" i="25" s="1"/>
  <c r="L5" i="25"/>
  <c r="N34" i="25"/>
  <c r="D89" i="125"/>
  <c r="E3" i="96"/>
  <c r="L83" i="125"/>
  <c r="M3" i="90"/>
  <c r="E5" i="20"/>
  <c r="N60" i="20"/>
  <c r="K60" i="20" s="1"/>
  <c r="N63" i="23"/>
  <c r="K63" i="23" s="1"/>
  <c r="I5" i="23"/>
  <c r="L24" i="125"/>
  <c r="M3" i="34"/>
  <c r="K40" i="92"/>
  <c r="N79" i="92"/>
  <c r="K79" i="92" s="1"/>
  <c r="N45" i="110"/>
  <c r="K45" i="110" s="1"/>
  <c r="N32" i="110"/>
  <c r="N19" i="110"/>
  <c r="N8" i="110"/>
  <c r="C5" i="110"/>
  <c r="K10" i="125"/>
  <c r="L3" i="21"/>
  <c r="N27" i="105"/>
  <c r="K27" i="105" s="1"/>
  <c r="N41" i="105"/>
  <c r="K41" i="105" s="1"/>
  <c r="N15" i="105"/>
  <c r="K15" i="105" s="1"/>
  <c r="I96" i="125"/>
  <c r="J3" i="103"/>
  <c r="F96" i="125"/>
  <c r="G3" i="103"/>
  <c r="N64" i="102"/>
  <c r="K64" i="102" s="1"/>
  <c r="J5" i="102"/>
  <c r="N63" i="105"/>
  <c r="K63" i="105" s="1"/>
  <c r="I5" i="105"/>
  <c r="K5" i="76"/>
  <c r="N66" i="76"/>
  <c r="K66" i="76" s="1"/>
  <c r="N27" i="101"/>
  <c r="K27" i="101" s="1"/>
  <c r="N41" i="101"/>
  <c r="K41" i="101" s="1"/>
  <c r="N15" i="101"/>
  <c r="K15" i="101" s="1"/>
  <c r="N46" i="70"/>
  <c r="K46" i="70" s="1"/>
  <c r="G5" i="70"/>
  <c r="N9" i="70"/>
  <c r="N20" i="70"/>
  <c r="K20" i="70" s="1"/>
  <c r="N33" i="70"/>
  <c r="K33" i="70" s="1"/>
  <c r="L30" i="125"/>
  <c r="M3" i="40"/>
  <c r="F28" i="125"/>
  <c r="G3" i="38"/>
  <c r="K14" i="63"/>
  <c r="N73" i="63"/>
  <c r="K73" i="63" s="1"/>
  <c r="N13" i="69"/>
  <c r="N51" i="69"/>
  <c r="N25" i="69"/>
  <c r="O4" i="69"/>
  <c r="N38" i="69"/>
  <c r="F77" i="125"/>
  <c r="G3" i="85"/>
  <c r="N63" i="78"/>
  <c r="K63" i="78" s="1"/>
  <c r="I5" i="78"/>
  <c r="O4" i="67"/>
  <c r="K14" i="52"/>
  <c r="N73" i="52"/>
  <c r="K73" i="52" s="1"/>
  <c r="K25" i="56"/>
  <c r="K40" i="22"/>
  <c r="N79" i="22"/>
  <c r="K79" i="22" s="1"/>
  <c r="N25" i="88"/>
  <c r="N13" i="88"/>
  <c r="N51" i="88"/>
  <c r="N38" i="88"/>
  <c r="O4" i="88"/>
  <c r="N13" i="95"/>
  <c r="N25" i="95"/>
  <c r="N38" i="95"/>
  <c r="O4" i="95"/>
  <c r="N51" i="95"/>
  <c r="L103" i="125"/>
  <c r="M3" i="110"/>
  <c r="N27" i="41"/>
  <c r="K27" i="41" s="1"/>
  <c r="N41" i="41"/>
  <c r="K41" i="41" s="1"/>
  <c r="N15" i="41"/>
  <c r="K15" i="41" s="1"/>
  <c r="C88" i="125"/>
  <c r="D3" i="95"/>
  <c r="E66" i="125"/>
  <c r="F3" i="74"/>
  <c r="N27" i="82"/>
  <c r="K27" i="82" s="1"/>
  <c r="N41" i="82"/>
  <c r="K41" i="82" s="1"/>
  <c r="N15" i="82"/>
  <c r="K15" i="82" s="1"/>
  <c r="F42" i="125"/>
  <c r="G3" i="51"/>
  <c r="I5" i="54"/>
  <c r="N63" i="54"/>
  <c r="K63" i="54" s="1"/>
  <c r="N63" i="71"/>
  <c r="K63" i="71" s="1"/>
  <c r="I5" i="71"/>
  <c r="N59" i="27"/>
  <c r="K59" i="27" s="1"/>
  <c r="D5" i="27"/>
  <c r="G8" i="125"/>
  <c r="H3" i="19"/>
  <c r="N65" i="70"/>
  <c r="K65" i="70" s="1"/>
  <c r="F5" i="70"/>
  <c r="N45" i="40"/>
  <c r="N19" i="40"/>
  <c r="O3" i="40"/>
  <c r="O5" i="40" s="1"/>
  <c r="C5" i="40"/>
  <c r="N8" i="40"/>
  <c r="N32" i="40"/>
  <c r="K40" i="87"/>
  <c r="N79" i="87"/>
  <c r="K79" i="87" s="1"/>
  <c r="N63" i="33"/>
  <c r="K63" i="33" s="1"/>
  <c r="I5" i="33"/>
  <c r="I94" i="125"/>
  <c r="J3" i="101"/>
  <c r="L27" i="125"/>
  <c r="M3" i="37"/>
  <c r="B38" i="125"/>
  <c r="C3" i="47"/>
  <c r="E5" i="69"/>
  <c r="N60" i="69"/>
  <c r="K60" i="69" s="1"/>
  <c r="K25" i="63"/>
  <c r="G20" i="125"/>
  <c r="H3" i="30"/>
  <c r="K13" i="98"/>
  <c r="N70" i="98"/>
  <c r="K14" i="60"/>
  <c r="N73" i="60"/>
  <c r="E82" i="125"/>
  <c r="F3" i="89"/>
  <c r="F5" i="87"/>
  <c r="N65" i="87"/>
  <c r="K65" i="87" s="1"/>
  <c r="O4" i="36"/>
  <c r="N13" i="36"/>
  <c r="N51" i="36"/>
  <c r="N38" i="36"/>
  <c r="N25" i="36"/>
  <c r="N19" i="29"/>
  <c r="N8" i="29"/>
  <c r="C5" i="29"/>
  <c r="N32" i="29"/>
  <c r="N45" i="29"/>
  <c r="K45" i="29" s="1"/>
  <c r="E59" i="125"/>
  <c r="F3" i="67"/>
  <c r="K25" i="79"/>
  <c r="J5" i="90"/>
  <c r="N64" i="90"/>
  <c r="K64" i="90" s="1"/>
  <c r="C47" i="125"/>
  <c r="D3" i="56"/>
  <c r="N64" i="107"/>
  <c r="K64" i="107" s="1"/>
  <c r="J5" i="107"/>
  <c r="B11" i="125"/>
  <c r="C3" i="22"/>
  <c r="N27" i="16"/>
  <c r="K27" i="16" s="1"/>
  <c r="N41" i="16"/>
  <c r="K41" i="16" s="1"/>
  <c r="N15" i="16"/>
  <c r="K15" i="16" s="1"/>
  <c r="J6" i="125"/>
  <c r="W105" i="125"/>
  <c r="W107" i="125" s="1"/>
  <c r="K3" i="16"/>
  <c r="K3" i="17"/>
  <c r="K40" i="83"/>
  <c r="N79" i="83"/>
  <c r="K79" i="83" s="1"/>
  <c r="N63" i="80"/>
  <c r="K63" i="80" s="1"/>
  <c r="I5" i="80"/>
  <c r="K13" i="62"/>
  <c r="N70" i="62"/>
  <c r="H71" i="125"/>
  <c r="I3" i="79"/>
  <c r="F71" i="125"/>
  <c r="G3" i="79"/>
  <c r="H5" i="20"/>
  <c r="N62" i="20"/>
  <c r="K62" i="20" s="1"/>
  <c r="N27" i="24"/>
  <c r="K27" i="24" s="1"/>
  <c r="N41" i="24"/>
  <c r="K41" i="24" s="1"/>
  <c r="N15" i="24"/>
  <c r="K15" i="24" s="1"/>
  <c r="N63" i="45"/>
  <c r="K63" i="45" s="1"/>
  <c r="I5" i="45"/>
  <c r="N41" i="48"/>
  <c r="K41" i="48" s="1"/>
  <c r="N27" i="48"/>
  <c r="K27" i="48" s="1"/>
  <c r="N15" i="48"/>
  <c r="K15" i="48" s="1"/>
  <c r="K40" i="105"/>
  <c r="N79" i="105"/>
  <c r="K79" i="105" s="1"/>
  <c r="L5" i="71"/>
  <c r="N34" i="71"/>
  <c r="N47" i="71"/>
  <c r="K47" i="71" s="1"/>
  <c r="L16" i="125"/>
  <c r="M3" i="27"/>
  <c r="N41" i="109"/>
  <c r="K41" i="109" s="1"/>
  <c r="N15" i="109"/>
  <c r="K15" i="109" s="1"/>
  <c r="N27" i="109"/>
  <c r="K27" i="109" s="1"/>
  <c r="E32" i="125"/>
  <c r="F3" i="42"/>
  <c r="O4" i="75"/>
  <c r="K40" i="71"/>
  <c r="N79" i="71"/>
  <c r="K79" i="71" s="1"/>
  <c r="N64" i="18"/>
  <c r="K64" i="18" s="1"/>
  <c r="J5" i="18"/>
  <c r="I5" i="93"/>
  <c r="N63" i="93"/>
  <c r="K63" i="93" s="1"/>
  <c r="K5" i="33"/>
  <c r="N66" i="33"/>
  <c r="K66" i="33" s="1"/>
  <c r="H5" i="28"/>
  <c r="N62" i="28"/>
  <c r="K62" i="28" s="1"/>
  <c r="K40" i="18"/>
  <c r="N79" i="18"/>
  <c r="K79" i="18" s="1"/>
  <c r="L102" i="125"/>
  <c r="N27" i="29"/>
  <c r="K27" i="29" s="1"/>
  <c r="N41" i="29"/>
  <c r="K41" i="29" s="1"/>
  <c r="N15" i="29"/>
  <c r="K15" i="29" s="1"/>
  <c r="K25" i="125"/>
  <c r="L3" i="35"/>
  <c r="K14" i="40"/>
  <c r="N73" i="40"/>
  <c r="K73" i="40" s="1"/>
  <c r="N54" i="93"/>
  <c r="N59" i="70"/>
  <c r="K59" i="70" s="1"/>
  <c r="D5" i="70"/>
  <c r="F5" i="40"/>
  <c r="N65" i="40"/>
  <c r="K65" i="40" s="1"/>
  <c r="K40" i="21"/>
  <c r="N79" i="21"/>
  <c r="K79" i="21" s="1"/>
  <c r="N64" i="39"/>
  <c r="K64" i="39" s="1"/>
  <c r="J5" i="39"/>
  <c r="K14" i="74"/>
  <c r="N73" i="74"/>
  <c r="K73" i="74" s="1"/>
  <c r="E48" i="125"/>
  <c r="F3" i="57"/>
  <c r="N73" i="111"/>
  <c r="K73" i="111" s="1"/>
  <c r="K38" i="86"/>
  <c r="H5" i="75"/>
  <c r="N62" i="75"/>
  <c r="K62" i="75" s="1"/>
  <c r="K5" i="105"/>
  <c r="N66" i="105"/>
  <c r="K66" i="105" s="1"/>
  <c r="N47" i="76"/>
  <c r="K47" i="76" s="1"/>
  <c r="L5" i="76"/>
  <c r="N34" i="76"/>
  <c r="K34" i="76" s="1"/>
  <c r="O4" i="60"/>
  <c r="N73" i="93"/>
  <c r="K73" i="93" s="1"/>
  <c r="F85" i="125"/>
  <c r="G3" i="92"/>
  <c r="N60" i="105"/>
  <c r="K60" i="105" s="1"/>
  <c r="E5" i="105"/>
  <c r="H5" i="76"/>
  <c r="N62" i="76"/>
  <c r="K62" i="76" s="1"/>
  <c r="J60" i="125"/>
  <c r="K3" i="68"/>
  <c r="N13" i="81"/>
  <c r="N38" i="81"/>
  <c r="N25" i="81"/>
  <c r="N51" i="81"/>
  <c r="O4" i="81"/>
  <c r="N15" i="35"/>
  <c r="K15" i="35" s="1"/>
  <c r="N41" i="35"/>
  <c r="K41" i="35" s="1"/>
  <c r="N27" i="35"/>
  <c r="K27" i="35" s="1"/>
  <c r="F64" i="125"/>
  <c r="G3" i="72"/>
  <c r="C92" i="125"/>
  <c r="D3" i="99"/>
  <c r="Y92" i="125"/>
  <c r="B92" i="125"/>
  <c r="C3" i="99"/>
  <c r="E54" i="125"/>
  <c r="F3" i="62"/>
  <c r="L81" i="125"/>
  <c r="M3" i="88"/>
  <c r="J5" i="29"/>
  <c r="N64" i="29"/>
  <c r="K64" i="29" s="1"/>
  <c r="K13" i="52"/>
  <c r="N70" i="52"/>
  <c r="K5" i="90"/>
  <c r="N66" i="90"/>
  <c r="K66" i="90" s="1"/>
  <c r="N63" i="107"/>
  <c r="K63" i="107" s="1"/>
  <c r="I5" i="107"/>
  <c r="N65" i="98"/>
  <c r="K65" i="98" s="1"/>
  <c r="F5" i="98"/>
  <c r="I5" i="34"/>
  <c r="N63" i="34"/>
  <c r="K63" i="34" s="1"/>
  <c r="N62" i="41"/>
  <c r="K62" i="41" s="1"/>
  <c r="H5" i="41"/>
  <c r="H5" i="45"/>
  <c r="N62" i="45"/>
  <c r="K62" i="45" s="1"/>
  <c r="K40" i="86"/>
  <c r="N79" i="86"/>
  <c r="K79" i="86" s="1"/>
  <c r="K5" i="40"/>
  <c r="N66" i="40"/>
  <c r="K66" i="40" s="1"/>
  <c r="K38" i="29"/>
  <c r="N42" i="29"/>
  <c r="N43" i="29" s="1"/>
  <c r="N27" i="70"/>
  <c r="K27" i="70" s="1"/>
  <c r="N41" i="70"/>
  <c r="K41" i="70" s="1"/>
  <c r="N15" i="70"/>
  <c r="K15" i="70" s="1"/>
  <c r="N38" i="31"/>
  <c r="N25" i="31"/>
  <c r="N13" i="31"/>
  <c r="O4" i="31"/>
  <c r="N51" i="31"/>
  <c r="G53" i="125"/>
  <c r="H3" i="61"/>
  <c r="G13" i="125"/>
  <c r="H3" i="24"/>
  <c r="H13" i="125"/>
  <c r="I3" i="24"/>
  <c r="N27" i="56"/>
  <c r="K27" i="56" s="1"/>
  <c r="N41" i="56"/>
  <c r="K41" i="56" s="1"/>
  <c r="N15" i="56"/>
  <c r="K15" i="56" s="1"/>
  <c r="J87" i="125"/>
  <c r="K3" i="94"/>
  <c r="K13" i="26"/>
  <c r="N70" i="26"/>
  <c r="N16" i="26"/>
  <c r="N17" i="26" s="1"/>
  <c r="K14" i="83"/>
  <c r="N73" i="83"/>
  <c r="K73" i="83" s="1"/>
  <c r="N62" i="23"/>
  <c r="K62" i="23" s="1"/>
  <c r="H5" i="23"/>
  <c r="K40" i="61"/>
  <c r="N79" i="61"/>
  <c r="K79" i="61" s="1"/>
  <c r="E97" i="125"/>
  <c r="F3" i="104"/>
  <c r="K25" i="110"/>
  <c r="N60" i="84"/>
  <c r="K60" i="84" s="1"/>
  <c r="E5" i="84"/>
  <c r="E34" i="125"/>
  <c r="F3" i="44"/>
  <c r="Y99" i="125"/>
  <c r="D99" i="125"/>
  <c r="E3" i="106"/>
  <c r="O4" i="28"/>
  <c r="N13" i="28"/>
  <c r="N51" i="28"/>
  <c r="N38" i="28"/>
  <c r="N25" i="28"/>
  <c r="N59" i="37"/>
  <c r="K59" i="37" s="1"/>
  <c r="D5" i="37"/>
  <c r="N47" i="69"/>
  <c r="K47" i="69" s="1"/>
  <c r="N34" i="69"/>
  <c r="L5" i="69"/>
  <c r="N41" i="20"/>
  <c r="K41" i="20" s="1"/>
  <c r="N15" i="20"/>
  <c r="K15" i="20" s="1"/>
  <c r="N27" i="20"/>
  <c r="K27" i="20" s="1"/>
  <c r="J57" i="125"/>
  <c r="K3" i="65"/>
  <c r="E57" i="125"/>
  <c r="F3" i="65"/>
  <c r="K89" i="125"/>
  <c r="L3" i="96"/>
  <c r="K14" i="79"/>
  <c r="N73" i="79"/>
  <c r="K73" i="79" s="1"/>
  <c r="N60" i="109"/>
  <c r="K60" i="109" s="1"/>
  <c r="E5" i="109"/>
  <c r="N119" i="124"/>
  <c r="N59" i="34"/>
  <c r="K59" i="34" s="1"/>
  <c r="D5" i="34"/>
  <c r="F5" i="39"/>
  <c r="N65" i="39"/>
  <c r="K65" i="39" s="1"/>
  <c r="K14" i="103"/>
  <c r="N73" i="103"/>
  <c r="K73" i="103" s="1"/>
  <c r="J10" i="125"/>
  <c r="K3" i="21"/>
  <c r="Y96" i="125"/>
  <c r="E96" i="125"/>
  <c r="F3" i="103"/>
  <c r="D96" i="125"/>
  <c r="E3" i="103"/>
  <c r="K14" i="68"/>
  <c r="N73" i="68"/>
  <c r="K73" i="68" s="1"/>
  <c r="N59" i="93"/>
  <c r="K59" i="93" s="1"/>
  <c r="D5" i="93"/>
  <c r="K14" i="99"/>
  <c r="N73" i="99"/>
  <c r="K73" i="99" s="1"/>
  <c r="E28" i="125"/>
  <c r="F3" i="38"/>
  <c r="L5" i="37"/>
  <c r="N34" i="37"/>
  <c r="K34" i="37" s="1"/>
  <c r="N47" i="37"/>
  <c r="K47" i="37" s="1"/>
  <c r="N41" i="69"/>
  <c r="K41" i="69" s="1"/>
  <c r="N15" i="69"/>
  <c r="K15" i="69" s="1"/>
  <c r="N27" i="69"/>
  <c r="K27" i="69" s="1"/>
  <c r="H5" i="86"/>
  <c r="N62" i="86"/>
  <c r="K62" i="86" s="1"/>
  <c r="D77" i="125"/>
  <c r="E3" i="85"/>
  <c r="E5" i="55"/>
  <c r="N60" i="55"/>
  <c r="K60" i="55" s="1"/>
  <c r="K38" i="67"/>
  <c r="N42" i="67"/>
  <c r="N43" i="67" s="1"/>
  <c r="N47" i="90"/>
  <c r="K47" i="90" s="1"/>
  <c r="L5" i="90"/>
  <c r="N34" i="90"/>
  <c r="K34" i="90" s="1"/>
  <c r="N42" i="56"/>
  <c r="N43" i="56" s="1"/>
  <c r="K38" i="56"/>
  <c r="N62" i="50"/>
  <c r="K62" i="50" s="1"/>
  <c r="H5" i="50"/>
  <c r="N59" i="66"/>
  <c r="K59" i="66" s="1"/>
  <c r="D5" i="66"/>
  <c r="F5" i="58"/>
  <c r="N65" i="58"/>
  <c r="K65" i="58" s="1"/>
  <c r="N15" i="88"/>
  <c r="K15" i="88" s="1"/>
  <c r="N41" i="88"/>
  <c r="K41" i="88" s="1"/>
  <c r="N27" i="88"/>
  <c r="K27" i="88" s="1"/>
  <c r="N15" i="95"/>
  <c r="K15" i="95" s="1"/>
  <c r="N41" i="95"/>
  <c r="K41" i="95" s="1"/>
  <c r="N27" i="95"/>
  <c r="K27" i="95" s="1"/>
  <c r="N66" i="110"/>
  <c r="K66" i="110" s="1"/>
  <c r="K5" i="110"/>
  <c r="H88" i="125"/>
  <c r="I3" i="95"/>
  <c r="K14" i="39"/>
  <c r="N73" i="39"/>
  <c r="K73" i="39" s="1"/>
  <c r="J66" i="125"/>
  <c r="K3" i="74"/>
  <c r="J42" i="125"/>
  <c r="K3" i="51"/>
  <c r="K42" i="125"/>
  <c r="L3" i="51"/>
  <c r="K14" i="19"/>
  <c r="N73" i="19"/>
  <c r="K73" i="19" s="1"/>
  <c r="N41" i="75"/>
  <c r="K41" i="75" s="1"/>
  <c r="N15" i="75"/>
  <c r="K15" i="75" s="1"/>
  <c r="N27" i="75"/>
  <c r="K27" i="75" s="1"/>
  <c r="N27" i="37"/>
  <c r="K27" i="37" s="1"/>
  <c r="N15" i="37"/>
  <c r="K15" i="37" s="1"/>
  <c r="N41" i="37"/>
  <c r="K41" i="37" s="1"/>
  <c r="F8" i="125"/>
  <c r="G3" i="19"/>
  <c r="J94" i="125"/>
  <c r="K3" i="101"/>
  <c r="K38" i="125"/>
  <c r="L3" i="47"/>
  <c r="G38" i="125"/>
  <c r="H3" i="47"/>
  <c r="F20" i="125"/>
  <c r="G3" i="30"/>
  <c r="K38" i="98"/>
  <c r="D82" i="125"/>
  <c r="E3" i="89"/>
  <c r="L75" i="125"/>
  <c r="M3" i="83"/>
  <c r="N33" i="55"/>
  <c r="K33" i="55" s="1"/>
  <c r="N20" i="55"/>
  <c r="K20" i="55" s="1"/>
  <c r="N46" i="55"/>
  <c r="K46" i="55" s="1"/>
  <c r="N9" i="55"/>
  <c r="G5" i="55"/>
  <c r="N41" i="36"/>
  <c r="K41" i="36" s="1"/>
  <c r="N15" i="36"/>
  <c r="K15" i="36" s="1"/>
  <c r="N27" i="36"/>
  <c r="K27" i="36" s="1"/>
  <c r="J59" i="125"/>
  <c r="K3" i="67"/>
  <c r="K38" i="79"/>
  <c r="K47" i="125"/>
  <c r="L3" i="56"/>
  <c r="K11" i="125"/>
  <c r="L3" i="22"/>
  <c r="N41" i="17"/>
  <c r="K41" i="17" s="1"/>
  <c r="N27" i="17"/>
  <c r="K27" i="17" s="1"/>
  <c r="N15" i="17"/>
  <c r="K15" i="17" s="1"/>
  <c r="G6" i="125"/>
  <c r="T105" i="125"/>
  <c r="T107" i="125" s="1"/>
  <c r="H3" i="16"/>
  <c r="H3" i="17"/>
  <c r="N9" i="20"/>
  <c r="N46" i="20"/>
  <c r="K46" i="20" s="1"/>
  <c r="N33" i="20"/>
  <c r="K33" i="20" s="1"/>
  <c r="G5" i="20"/>
  <c r="N20" i="20"/>
  <c r="K20" i="20" s="1"/>
  <c r="N47" i="23"/>
  <c r="K47" i="23" s="1"/>
  <c r="N34" i="23"/>
  <c r="K34" i="23" s="1"/>
  <c r="L5" i="23"/>
  <c r="N60" i="34"/>
  <c r="K60" i="34" s="1"/>
  <c r="E5" i="34"/>
  <c r="L65" i="125"/>
  <c r="M3" i="73"/>
  <c r="O4" i="62"/>
  <c r="J5" i="77"/>
  <c r="N64" i="77"/>
  <c r="K64" i="77" s="1"/>
  <c r="D5" i="25"/>
  <c r="N59" i="25"/>
  <c r="K59" i="25" s="1"/>
  <c r="L19" i="125"/>
  <c r="M3" i="29"/>
  <c r="I71" i="125"/>
  <c r="J3" i="79"/>
  <c r="F5" i="46"/>
  <c r="N65" i="46"/>
  <c r="K65" i="46" s="1"/>
  <c r="N59" i="32"/>
  <c r="K59" i="32" s="1"/>
  <c r="D5" i="32"/>
  <c r="N60" i="66"/>
  <c r="K60" i="66" s="1"/>
  <c r="E5" i="66"/>
  <c r="N63" i="58"/>
  <c r="K63" i="58" s="1"/>
  <c r="I5" i="58"/>
  <c r="N64" i="41"/>
  <c r="K64" i="41" s="1"/>
  <c r="J5" i="41"/>
  <c r="N42" i="32"/>
  <c r="N43" i="32" s="1"/>
  <c r="K38" i="32"/>
  <c r="K42" i="32" s="1"/>
  <c r="K43" i="32" s="1"/>
  <c r="K25" i="90"/>
  <c r="K14" i="110"/>
  <c r="N73" i="110"/>
  <c r="K73" i="110" s="1"/>
  <c r="N73" i="76"/>
  <c r="K73" i="76" s="1"/>
  <c r="K40" i="84"/>
  <c r="N79" i="84"/>
  <c r="K79" i="84" s="1"/>
  <c r="K38" i="106"/>
  <c r="N33" i="75"/>
  <c r="K33" i="75" s="1"/>
  <c r="G5" i="75"/>
  <c r="N9" i="75"/>
  <c r="K9" i="75" s="1"/>
  <c r="N46" i="75"/>
  <c r="K46" i="75" s="1"/>
  <c r="N20" i="75"/>
  <c r="K20" i="75" s="1"/>
  <c r="N9" i="27"/>
  <c r="N20" i="27"/>
  <c r="K20" i="27" s="1"/>
  <c r="N46" i="27"/>
  <c r="K46" i="27" s="1"/>
  <c r="G5" i="27"/>
  <c r="N33" i="27"/>
  <c r="K33" i="27" s="1"/>
  <c r="G32" i="125"/>
  <c r="H3" i="42"/>
  <c r="K38" i="75"/>
  <c r="N41" i="47"/>
  <c r="K41" i="47" s="1"/>
  <c r="N15" i="47"/>
  <c r="K15" i="47" s="1"/>
  <c r="N27" i="47"/>
  <c r="K27" i="47" s="1"/>
  <c r="K40" i="58"/>
  <c r="N79" i="58"/>
  <c r="K79" i="58" s="1"/>
  <c r="N41" i="55"/>
  <c r="K41" i="55" s="1"/>
  <c r="N15" i="55"/>
  <c r="K15" i="55" s="1"/>
  <c r="N27" i="55"/>
  <c r="K27" i="55" s="1"/>
  <c r="J5" i="31"/>
  <c r="N64" i="31"/>
  <c r="K64" i="31" s="1"/>
  <c r="N60" i="81"/>
  <c r="K60" i="81" s="1"/>
  <c r="E5" i="81"/>
  <c r="I25" i="125"/>
  <c r="J3" i="35"/>
  <c r="K14" i="69"/>
  <c r="N73" i="69"/>
  <c r="K73" i="69" s="1"/>
  <c r="N73" i="95"/>
  <c r="K73" i="95" s="1"/>
  <c r="D48" i="125"/>
  <c r="E3" i="57"/>
  <c r="N27" i="45"/>
  <c r="K27" i="45" s="1"/>
  <c r="N15" i="45"/>
  <c r="K15" i="45" s="1"/>
  <c r="N41" i="45"/>
  <c r="K41" i="45" s="1"/>
  <c r="N73" i="102"/>
  <c r="K73" i="102" s="1"/>
  <c r="K13" i="60"/>
  <c r="N70" i="86"/>
  <c r="D85" i="125"/>
  <c r="E3" i="92"/>
  <c r="N41" i="85"/>
  <c r="K41" i="85" s="1"/>
  <c r="N15" i="85"/>
  <c r="K15" i="85" s="1"/>
  <c r="N27" i="85"/>
  <c r="K27" i="85" s="1"/>
  <c r="C101" i="125"/>
  <c r="D3" i="108"/>
  <c r="N70" i="22"/>
  <c r="K13" i="22"/>
  <c r="J5" i="20"/>
  <c r="N64" i="20"/>
  <c r="K64" i="20" s="1"/>
  <c r="N64" i="23"/>
  <c r="K64" i="23" s="1"/>
  <c r="J5" i="23"/>
  <c r="F84" i="125"/>
  <c r="G3" i="91"/>
  <c r="N34" i="75"/>
  <c r="L5" i="75"/>
  <c r="N47" i="75"/>
  <c r="K47" i="75" s="1"/>
  <c r="N25" i="77"/>
  <c r="N38" i="77"/>
  <c r="N51" i="77"/>
  <c r="N13" i="77"/>
  <c r="O4" i="77"/>
  <c r="L74" i="125"/>
  <c r="M3" i="82"/>
  <c r="O3" i="82" s="1"/>
  <c r="O5" i="82" s="1"/>
  <c r="N15" i="19"/>
  <c r="K15" i="19" s="1"/>
  <c r="N27" i="19"/>
  <c r="K27" i="19" s="1"/>
  <c r="N41" i="19"/>
  <c r="K41" i="19" s="1"/>
  <c r="D104" i="125"/>
  <c r="E3" i="111"/>
  <c r="K104" i="125"/>
  <c r="L3" i="111"/>
  <c r="H33" i="125"/>
  <c r="I3" i="43"/>
  <c r="N63" i="40"/>
  <c r="K63" i="40" s="1"/>
  <c r="I5" i="40"/>
  <c r="N59" i="31"/>
  <c r="K59" i="31" s="1"/>
  <c r="D5" i="31"/>
  <c r="E90" i="125"/>
  <c r="F3" i="97"/>
  <c r="H40" i="125"/>
  <c r="I3" i="49"/>
  <c r="N27" i="73"/>
  <c r="K27" i="73" s="1"/>
  <c r="N41" i="73"/>
  <c r="K41" i="73" s="1"/>
  <c r="N15" i="73"/>
  <c r="K15" i="73" s="1"/>
  <c r="N63" i="88"/>
  <c r="K63" i="88" s="1"/>
  <c r="I5" i="88"/>
  <c r="I26" i="125"/>
  <c r="J3" i="36"/>
  <c r="F26" i="125"/>
  <c r="G3" i="36"/>
  <c r="E50" i="125"/>
  <c r="F3" i="59"/>
  <c r="N63" i="29"/>
  <c r="K63" i="29" s="1"/>
  <c r="I5" i="29"/>
  <c r="F43" i="125"/>
  <c r="G3" i="52"/>
  <c r="K5" i="109"/>
  <c r="N66" i="109"/>
  <c r="K66" i="109" s="1"/>
  <c r="G15" i="125"/>
  <c r="H3" i="26"/>
  <c r="N60" i="23"/>
  <c r="K60" i="23" s="1"/>
  <c r="E5" i="23"/>
  <c r="N64" i="73"/>
  <c r="K64" i="73" s="1"/>
  <c r="J5" i="73"/>
  <c r="N25" i="104"/>
  <c r="O4" i="104"/>
  <c r="N13" i="104"/>
  <c r="N51" i="104"/>
  <c r="N38" i="104"/>
  <c r="N63" i="39"/>
  <c r="K63" i="39" s="1"/>
  <c r="I5" i="39"/>
  <c r="K14" i="64"/>
  <c r="N73" i="64"/>
  <c r="K73" i="64" s="1"/>
  <c r="K25" i="48"/>
  <c r="K14" i="105"/>
  <c r="N73" i="105"/>
  <c r="K73" i="105" s="1"/>
  <c r="I56" i="125"/>
  <c r="J3" i="64"/>
  <c r="N59" i="100"/>
  <c r="K59" i="100" s="1"/>
  <c r="D5" i="100"/>
  <c r="F5" i="71"/>
  <c r="N65" i="71"/>
  <c r="K65" i="71" s="1"/>
  <c r="L76" i="125"/>
  <c r="M3" i="84"/>
  <c r="O3" i="84" s="1"/>
  <c r="I60" i="125"/>
  <c r="J3" i="68"/>
  <c r="N27" i="81"/>
  <c r="K27" i="81" s="1"/>
  <c r="N41" i="81"/>
  <c r="K41" i="81" s="1"/>
  <c r="N15" i="81"/>
  <c r="K15" i="81" s="1"/>
  <c r="N64" i="40"/>
  <c r="K64" i="40" s="1"/>
  <c r="J5" i="40"/>
  <c r="N25" i="49"/>
  <c r="N51" i="49"/>
  <c r="N13" i="49"/>
  <c r="N38" i="49"/>
  <c r="O4" i="49"/>
  <c r="H5" i="37"/>
  <c r="N62" i="37"/>
  <c r="K62" i="37" s="1"/>
  <c r="K13" i="40"/>
  <c r="N70" i="40"/>
  <c r="E64" i="125"/>
  <c r="F3" i="72"/>
  <c r="K92" i="125"/>
  <c r="L3" i="99"/>
  <c r="H5" i="83"/>
  <c r="N62" i="83"/>
  <c r="K62" i="83" s="1"/>
  <c r="N8" i="87"/>
  <c r="N19" i="87"/>
  <c r="N32" i="87"/>
  <c r="C5" i="87"/>
  <c r="N45" i="87"/>
  <c r="K45" i="87" s="1"/>
  <c r="B54" i="125"/>
  <c r="C3" i="62"/>
  <c r="N62" i="88"/>
  <c r="K62" i="88" s="1"/>
  <c r="H5" i="88"/>
  <c r="L70" i="125"/>
  <c r="M3" i="78"/>
  <c r="K38" i="52"/>
  <c r="N117" i="124"/>
  <c r="K38" i="78"/>
  <c r="K13" i="83"/>
  <c r="G5" i="102"/>
  <c r="N46" i="102"/>
  <c r="K46" i="102" s="1"/>
  <c r="N20" i="102"/>
  <c r="K20" i="102" s="1"/>
  <c r="N33" i="102"/>
  <c r="K33" i="102" s="1"/>
  <c r="N9" i="102"/>
  <c r="F5" i="54"/>
  <c r="N65" i="54"/>
  <c r="K65" i="54" s="1"/>
  <c r="L67" i="125"/>
  <c r="M3" i="75"/>
  <c r="N64" i="82"/>
  <c r="K64" i="82" s="1"/>
  <c r="J5" i="82"/>
  <c r="N62" i="84"/>
  <c r="K62" i="84" s="1"/>
  <c r="H5" i="84"/>
  <c r="N51" i="54"/>
  <c r="N38" i="54"/>
  <c r="N25" i="54"/>
  <c r="O4" i="54"/>
  <c r="N13" i="54"/>
  <c r="J5" i="63"/>
  <c r="N64" i="63"/>
  <c r="K64" i="63" s="1"/>
  <c r="K14" i="49"/>
  <c r="N73" i="49"/>
  <c r="K73" i="49" s="1"/>
  <c r="K5" i="28"/>
  <c r="N66" i="28"/>
  <c r="K66" i="28" s="1"/>
  <c r="N41" i="31"/>
  <c r="K41" i="31" s="1"/>
  <c r="N15" i="31"/>
  <c r="K15" i="31" s="1"/>
  <c r="N27" i="31"/>
  <c r="K27" i="31" s="1"/>
  <c r="K14" i="23"/>
  <c r="N73" i="23"/>
  <c r="K73" i="23" s="1"/>
  <c r="Y53" i="125"/>
  <c r="C53" i="125"/>
  <c r="D3" i="61"/>
  <c r="F13" i="125"/>
  <c r="G3" i="24"/>
  <c r="I5" i="83"/>
  <c r="N63" i="83"/>
  <c r="K63" i="83" s="1"/>
  <c r="N66" i="87"/>
  <c r="K66" i="87" s="1"/>
  <c r="K5" i="87"/>
  <c r="K5" i="88"/>
  <c r="N66" i="88"/>
  <c r="K66" i="88" s="1"/>
  <c r="N34" i="29"/>
  <c r="N47" i="29"/>
  <c r="K47" i="29" s="1"/>
  <c r="L5" i="29"/>
  <c r="K14" i="96"/>
  <c r="N73" i="96"/>
  <c r="K73" i="96" s="1"/>
  <c r="L5" i="109"/>
  <c r="N34" i="109"/>
  <c r="K34" i="109" s="1"/>
  <c r="N47" i="109"/>
  <c r="K47" i="109" s="1"/>
  <c r="N45" i="107"/>
  <c r="K45" i="107" s="1"/>
  <c r="N8" i="107"/>
  <c r="N32" i="107"/>
  <c r="N19" i="107"/>
  <c r="C5" i="107"/>
  <c r="Y87" i="125"/>
  <c r="B87" i="125"/>
  <c r="C3" i="94"/>
  <c r="K25" i="26"/>
  <c r="K29" i="26" s="1"/>
  <c r="K30" i="26" s="1"/>
  <c r="N29" i="26"/>
  <c r="N30" i="26" s="1"/>
  <c r="N8" i="20"/>
  <c r="N45" i="20"/>
  <c r="K45" i="20" s="1"/>
  <c r="C5" i="20"/>
  <c r="N32" i="20"/>
  <c r="N19" i="20"/>
  <c r="J5" i="34"/>
  <c r="N64" i="34"/>
  <c r="K64" i="34" s="1"/>
  <c r="F5" i="48"/>
  <c r="N65" i="48"/>
  <c r="K65" i="48" s="1"/>
  <c r="N34" i="45"/>
  <c r="L5" i="45"/>
  <c r="N47" i="45"/>
  <c r="K47" i="45" s="1"/>
  <c r="D97" i="125"/>
  <c r="E3" i="104"/>
  <c r="O4" i="27"/>
  <c r="N13" i="27"/>
  <c r="N51" i="27"/>
  <c r="N38" i="27"/>
  <c r="N25" i="27"/>
  <c r="N13" i="111"/>
  <c r="N25" i="111"/>
  <c r="O4" i="111"/>
  <c r="N38" i="111"/>
  <c r="N51" i="111"/>
  <c r="N66" i="75"/>
  <c r="K66" i="75" s="1"/>
  <c r="K5" i="75"/>
  <c r="E5" i="71"/>
  <c r="N60" i="71"/>
  <c r="K60" i="71" s="1"/>
  <c r="C5" i="82"/>
  <c r="N8" i="82"/>
  <c r="N45" i="82"/>
  <c r="K45" i="82" s="1"/>
  <c r="N19" i="82"/>
  <c r="N32" i="82"/>
  <c r="C34" i="125"/>
  <c r="D3" i="44"/>
  <c r="J99" i="125"/>
  <c r="K3" i="106"/>
  <c r="K13" i="71"/>
  <c r="N16" i="71"/>
  <c r="N17" i="71" s="1"/>
  <c r="N70" i="71"/>
  <c r="K25" i="101"/>
  <c r="K29" i="101" s="1"/>
  <c r="K30" i="101" s="1"/>
  <c r="N29" i="101"/>
  <c r="N30" i="101" s="1"/>
  <c r="N15" i="28"/>
  <c r="K15" i="28" s="1"/>
  <c r="N27" i="28"/>
  <c r="K27" i="28" s="1"/>
  <c r="N41" i="28"/>
  <c r="K41" i="28" s="1"/>
  <c r="D5" i="18"/>
  <c r="N59" i="18"/>
  <c r="K59" i="18" s="1"/>
  <c r="K40" i="72"/>
  <c r="N79" i="72"/>
  <c r="K79" i="72" s="1"/>
  <c r="K40" i="49"/>
  <c r="N79" i="49"/>
  <c r="K79" i="49" s="1"/>
  <c r="K13" i="70"/>
  <c r="N70" i="70"/>
  <c r="N16" i="70"/>
  <c r="N17" i="70" s="1"/>
  <c r="C57" i="125"/>
  <c r="D3" i="65"/>
  <c r="C5" i="83"/>
  <c r="N8" i="83"/>
  <c r="N19" i="83"/>
  <c r="N32" i="83"/>
  <c r="O3" i="83"/>
  <c r="O5" i="83" s="1"/>
  <c r="N45" i="83"/>
  <c r="K45" i="83" s="1"/>
  <c r="D5" i="87"/>
  <c r="N59" i="87"/>
  <c r="K59" i="87" s="1"/>
  <c r="H5" i="77"/>
  <c r="N62" i="77"/>
  <c r="K62" i="77" s="1"/>
  <c r="N60" i="29"/>
  <c r="K60" i="29" s="1"/>
  <c r="E5" i="29"/>
  <c r="C89" i="125"/>
  <c r="D3" i="96"/>
  <c r="N64" i="46"/>
  <c r="K64" i="46" s="1"/>
  <c r="J5" i="46"/>
  <c r="K38" i="94"/>
  <c r="N60" i="50"/>
  <c r="K60" i="50" s="1"/>
  <c r="E5" i="50"/>
  <c r="I5" i="66"/>
  <c r="N63" i="66"/>
  <c r="K63" i="66" s="1"/>
  <c r="K40" i="104"/>
  <c r="N79" i="104"/>
  <c r="K79" i="104" s="1"/>
  <c r="N38" i="46"/>
  <c r="O4" i="46"/>
  <c r="N13" i="46"/>
  <c r="N25" i="46"/>
  <c r="N51" i="46"/>
  <c r="N13" i="51"/>
  <c r="N25" i="51"/>
  <c r="O4" i="51"/>
  <c r="N51" i="51"/>
  <c r="N38" i="51"/>
  <c r="H10" i="125"/>
  <c r="I3" i="21"/>
  <c r="K25" i="45"/>
  <c r="N29" i="45"/>
  <c r="N30" i="45" s="1"/>
  <c r="C96" i="125"/>
  <c r="D3" i="103"/>
  <c r="N46" i="100"/>
  <c r="K46" i="100" s="1"/>
  <c r="N9" i="100"/>
  <c r="G5" i="100"/>
  <c r="N20" i="100"/>
  <c r="K20" i="100" s="1"/>
  <c r="N33" i="100"/>
  <c r="K33" i="100" s="1"/>
  <c r="N9" i="71"/>
  <c r="N20" i="71"/>
  <c r="K20" i="71" s="1"/>
  <c r="G5" i="71"/>
  <c r="N46" i="71"/>
  <c r="K46" i="71" s="1"/>
  <c r="N33" i="71"/>
  <c r="K33" i="71" s="1"/>
  <c r="N62" i="105"/>
  <c r="K62" i="105" s="1"/>
  <c r="H5" i="105"/>
  <c r="F5" i="84"/>
  <c r="N65" i="84"/>
  <c r="K65" i="84" s="1"/>
  <c r="K40" i="37"/>
  <c r="N79" i="37"/>
  <c r="K79" i="37" s="1"/>
  <c r="K5" i="63"/>
  <c r="N66" i="63"/>
  <c r="K66" i="63" s="1"/>
  <c r="C28" i="125"/>
  <c r="D3" i="38"/>
  <c r="K14" i="89"/>
  <c r="N73" i="89"/>
  <c r="K73" i="89" s="1"/>
  <c r="K5" i="83"/>
  <c r="N66" i="83"/>
  <c r="K66" i="83" s="1"/>
  <c r="K77" i="125"/>
  <c r="L3" i="85"/>
  <c r="H5" i="25"/>
  <c r="N62" i="25"/>
  <c r="K62" i="25" s="1"/>
  <c r="L5" i="41"/>
  <c r="N34" i="41"/>
  <c r="N47" i="41"/>
  <c r="K47" i="41" s="1"/>
  <c r="N46" i="39"/>
  <c r="K46" i="39" s="1"/>
  <c r="N33" i="39"/>
  <c r="K33" i="39" s="1"/>
  <c r="G5" i="39"/>
  <c r="N20" i="39"/>
  <c r="K20" i="39" s="1"/>
  <c r="N9" i="39"/>
  <c r="K14" i="48"/>
  <c r="N73" i="48"/>
  <c r="K73" i="48" s="1"/>
  <c r="F88" i="125"/>
  <c r="G3" i="95"/>
  <c r="H66" i="125"/>
  <c r="I3" i="74"/>
  <c r="Y42" i="125"/>
  <c r="G42" i="125"/>
  <c r="H3" i="51"/>
  <c r="C42" i="125"/>
  <c r="D3" i="51"/>
  <c r="K5" i="53"/>
  <c r="N66" i="53"/>
  <c r="K66" i="53" s="1"/>
  <c r="E5" i="82"/>
  <c r="N60" i="82"/>
  <c r="K60" i="82" s="1"/>
  <c r="N20" i="84"/>
  <c r="K20" i="84" s="1"/>
  <c r="N33" i="84"/>
  <c r="K33" i="84" s="1"/>
  <c r="G5" i="84"/>
  <c r="N46" i="84"/>
  <c r="K46" i="84" s="1"/>
  <c r="N9" i="84"/>
  <c r="K9" i="84" s="1"/>
  <c r="D8" i="125"/>
  <c r="E3" i="19"/>
  <c r="F5" i="63"/>
  <c r="N65" i="63"/>
  <c r="K65" i="63" s="1"/>
  <c r="K25" i="87"/>
  <c r="C94" i="125"/>
  <c r="D3" i="101"/>
  <c r="J38" i="125"/>
  <c r="K3" i="47"/>
  <c r="Y38" i="125"/>
  <c r="N73" i="107"/>
  <c r="K73" i="107" s="1"/>
  <c r="K14" i="107"/>
  <c r="K13" i="63"/>
  <c r="N70" i="63"/>
  <c r="K14" i="50"/>
  <c r="N73" i="50"/>
  <c r="K73" i="50" s="1"/>
  <c r="K14" i="31"/>
  <c r="N73" i="31"/>
  <c r="K73" i="31" s="1"/>
  <c r="D20" i="125"/>
  <c r="E3" i="30"/>
  <c r="K25" i="98"/>
  <c r="J82" i="125"/>
  <c r="K3" i="89"/>
  <c r="N20" i="80"/>
  <c r="K20" i="80" s="1"/>
  <c r="G5" i="80"/>
  <c r="N9" i="80"/>
  <c r="N46" i="80"/>
  <c r="K46" i="80" s="1"/>
  <c r="N33" i="80"/>
  <c r="K33" i="80" s="1"/>
  <c r="N79" i="85"/>
  <c r="K79" i="85" s="1"/>
  <c r="N32" i="78"/>
  <c r="N19" i="78"/>
  <c r="N8" i="78"/>
  <c r="N45" i="78"/>
  <c r="K45" i="78" s="1"/>
  <c r="C5" i="78"/>
  <c r="H59" i="125"/>
  <c r="I3" i="67"/>
  <c r="B59" i="125"/>
  <c r="C3" i="67"/>
  <c r="N9" i="109"/>
  <c r="N20" i="109"/>
  <c r="K20" i="109" s="1"/>
  <c r="N33" i="109"/>
  <c r="K33" i="109" s="1"/>
  <c r="G5" i="109"/>
  <c r="N46" i="109"/>
  <c r="K46" i="109" s="1"/>
  <c r="H47" i="125"/>
  <c r="I3" i="56"/>
  <c r="J11" i="125"/>
  <c r="K3" i="22"/>
  <c r="AK105" i="125"/>
  <c r="AK107" i="125" s="1"/>
  <c r="F6" i="125"/>
  <c r="S105" i="125"/>
  <c r="S107" i="125" s="1"/>
  <c r="G3" i="16"/>
  <c r="G3" i="17"/>
  <c r="K14" i="24"/>
  <c r="N73" i="24"/>
  <c r="K73" i="24" s="1"/>
  <c r="N8" i="86"/>
  <c r="N45" i="86"/>
  <c r="K45" i="86" s="1"/>
  <c r="N19" i="86"/>
  <c r="C5" i="86"/>
  <c r="N32" i="86"/>
  <c r="O3" i="86"/>
  <c r="K25" i="62"/>
  <c r="K29" i="62" s="1"/>
  <c r="K30" i="62" s="1"/>
  <c r="N29" i="62"/>
  <c r="N30" i="62" s="1"/>
  <c r="J71" i="125"/>
  <c r="K3" i="79"/>
  <c r="N73" i="26"/>
  <c r="K73" i="26" s="1"/>
  <c r="K14" i="26"/>
  <c r="N8" i="50"/>
  <c r="C5" i="50"/>
  <c r="N32" i="50"/>
  <c r="N19" i="50"/>
  <c r="N45" i="50"/>
  <c r="N64" i="110"/>
  <c r="K64" i="110" s="1"/>
  <c r="J5" i="110"/>
  <c r="E5" i="102"/>
  <c r="N60" i="102"/>
  <c r="K60" i="102" s="1"/>
  <c r="K13" i="106"/>
  <c r="N63" i="53"/>
  <c r="K63" i="53" s="1"/>
  <c r="I5" i="53"/>
  <c r="F32" i="125"/>
  <c r="G3" i="42"/>
  <c r="K13" i="75"/>
  <c r="N70" i="75"/>
  <c r="N47" i="70"/>
  <c r="K47" i="70" s="1"/>
  <c r="L5" i="70"/>
  <c r="N34" i="70"/>
  <c r="N46" i="40"/>
  <c r="K46" i="40" s="1"/>
  <c r="N33" i="40"/>
  <c r="K33" i="40" s="1"/>
  <c r="N9" i="40"/>
  <c r="N20" i="40"/>
  <c r="K20" i="40" s="1"/>
  <c r="G5" i="40"/>
  <c r="N65" i="93"/>
  <c r="K65" i="93" s="1"/>
  <c r="F5" i="93"/>
  <c r="K40" i="29"/>
  <c r="N79" i="29"/>
  <c r="K79" i="29" s="1"/>
  <c r="N20" i="28"/>
  <c r="K20" i="28" s="1"/>
  <c r="N46" i="28"/>
  <c r="K46" i="28" s="1"/>
  <c r="G5" i="28"/>
  <c r="N33" i="28"/>
  <c r="K33" i="28" s="1"/>
  <c r="N9" i="28"/>
  <c r="K14" i="73"/>
  <c r="N73" i="73"/>
  <c r="K73" i="73" s="1"/>
  <c r="F25" i="125"/>
  <c r="G3" i="35"/>
  <c r="N59" i="40"/>
  <c r="K59" i="40" s="1"/>
  <c r="D5" i="40"/>
  <c r="N63" i="70"/>
  <c r="K63" i="70" s="1"/>
  <c r="I5" i="70"/>
  <c r="F5" i="41"/>
  <c r="N65" i="41"/>
  <c r="K65" i="41" s="1"/>
  <c r="N9" i="45"/>
  <c r="G5" i="45"/>
  <c r="N33" i="45"/>
  <c r="K33" i="45" s="1"/>
  <c r="N46" i="45"/>
  <c r="K46" i="45" s="1"/>
  <c r="N20" i="45"/>
  <c r="K20" i="45" s="1"/>
  <c r="K48" i="125"/>
  <c r="L3" i="57"/>
  <c r="N64" i="54"/>
  <c r="K64" i="54" s="1"/>
  <c r="J5" i="54"/>
  <c r="N64" i="71"/>
  <c r="K64" i="71" s="1"/>
  <c r="J5" i="71"/>
  <c r="J5" i="27"/>
  <c r="N64" i="27"/>
  <c r="K64" i="27" s="1"/>
  <c r="N73" i="109"/>
  <c r="K73" i="109" s="1"/>
  <c r="K25" i="60"/>
  <c r="N79" i="73"/>
  <c r="K79" i="73" s="1"/>
  <c r="K85" i="125"/>
  <c r="L3" i="92"/>
  <c r="D5" i="83"/>
  <c r="N59" i="83"/>
  <c r="K59" i="83" s="1"/>
  <c r="H101" i="125"/>
  <c r="I3" i="108"/>
  <c r="N19" i="55"/>
  <c r="N45" i="55"/>
  <c r="N32" i="55"/>
  <c r="N8" i="55"/>
  <c r="C5" i="55"/>
  <c r="N79" i="59"/>
  <c r="K79" i="59" s="1"/>
  <c r="K40" i="59"/>
  <c r="N63" i="90"/>
  <c r="K63" i="90" s="1"/>
  <c r="I5" i="90"/>
  <c r="L22" i="125"/>
  <c r="M3" i="32"/>
  <c r="O3" i="32" s="1"/>
  <c r="N9" i="34"/>
  <c r="N33" i="34"/>
  <c r="K33" i="34" s="1"/>
  <c r="N20" i="34"/>
  <c r="K20" i="34" s="1"/>
  <c r="G5" i="34"/>
  <c r="N46" i="34"/>
  <c r="K46" i="34" s="1"/>
  <c r="O4" i="92"/>
  <c r="N13" i="92"/>
  <c r="N51" i="92"/>
  <c r="N38" i="92"/>
  <c r="N25" i="92"/>
  <c r="N64" i="45"/>
  <c r="K64" i="45" s="1"/>
  <c r="J5" i="45"/>
  <c r="K40" i="51"/>
  <c r="N79" i="51"/>
  <c r="K79" i="51" s="1"/>
  <c r="E84" i="125"/>
  <c r="F3" i="91"/>
  <c r="N59" i="54"/>
  <c r="K59" i="54" s="1"/>
  <c r="D5" i="54"/>
  <c r="N27" i="77"/>
  <c r="K27" i="77" s="1"/>
  <c r="N41" i="77"/>
  <c r="K41" i="77" s="1"/>
  <c r="N15" i="77"/>
  <c r="K15" i="77" s="1"/>
  <c r="N59" i="82"/>
  <c r="K59" i="82" s="1"/>
  <c r="D5" i="82"/>
  <c r="N47" i="84"/>
  <c r="K47" i="84" s="1"/>
  <c r="N34" i="84"/>
  <c r="K34" i="84" s="1"/>
  <c r="L5" i="84"/>
  <c r="J104" i="125"/>
  <c r="K3" i="111"/>
  <c r="C104" i="125"/>
  <c r="D3" i="111"/>
  <c r="G33" i="125"/>
  <c r="H3" i="43"/>
  <c r="N60" i="70"/>
  <c r="K60" i="70" s="1"/>
  <c r="E5" i="70"/>
  <c r="D90" i="125"/>
  <c r="E3" i="97"/>
  <c r="F5" i="37"/>
  <c r="N65" i="37"/>
  <c r="K65" i="37" s="1"/>
  <c r="F40" i="125"/>
  <c r="G3" i="49"/>
  <c r="E5" i="86"/>
  <c r="N60" i="86"/>
  <c r="K60" i="86" s="1"/>
  <c r="Y26" i="125"/>
  <c r="G26" i="125"/>
  <c r="H3" i="36"/>
  <c r="E26" i="125"/>
  <c r="F3" i="36"/>
  <c r="B50" i="125"/>
  <c r="C3" i="59"/>
  <c r="E43" i="125"/>
  <c r="F3" i="52"/>
  <c r="K40" i="94"/>
  <c r="N79" i="94"/>
  <c r="K79" i="94" s="1"/>
  <c r="E15" i="125"/>
  <c r="F3" i="26"/>
  <c r="L5" i="50"/>
  <c r="N47" i="50"/>
  <c r="K47" i="50" s="1"/>
  <c r="N34" i="50"/>
  <c r="K34" i="50" s="1"/>
  <c r="K14" i="61"/>
  <c r="N73" i="61"/>
  <c r="K73" i="61" s="1"/>
  <c r="N15" i="104"/>
  <c r="K15" i="104" s="1"/>
  <c r="N41" i="104"/>
  <c r="K41" i="104" s="1"/>
  <c r="N27" i="104"/>
  <c r="K27" i="104" s="1"/>
  <c r="E56" i="125"/>
  <c r="F3" i="64"/>
  <c r="K14" i="44"/>
  <c r="N73" i="44"/>
  <c r="K73" i="44" s="1"/>
  <c r="N60" i="27"/>
  <c r="K60" i="27" s="1"/>
  <c r="E5" i="27"/>
  <c r="K38" i="109"/>
  <c r="K42" i="109" s="1"/>
  <c r="K43" i="109" s="1"/>
  <c r="D5" i="84"/>
  <c r="N59" i="84"/>
  <c r="K59" i="84" s="1"/>
  <c r="F60" i="125"/>
  <c r="G3" i="68"/>
  <c r="K40" i="28"/>
  <c r="N79" i="28"/>
  <c r="K79" i="28" s="1"/>
  <c r="N15" i="49"/>
  <c r="K15" i="49" s="1"/>
  <c r="N27" i="49"/>
  <c r="K27" i="49" s="1"/>
  <c r="N41" i="49"/>
  <c r="K41" i="49" s="1"/>
  <c r="H5" i="69"/>
  <c r="N62" i="69"/>
  <c r="K62" i="69" s="1"/>
  <c r="Y64" i="125"/>
  <c r="B64" i="125"/>
  <c r="C3" i="72"/>
  <c r="G92" i="125"/>
  <c r="H3" i="99"/>
  <c r="G54" i="125"/>
  <c r="H3" i="62"/>
  <c r="F5" i="78"/>
  <c r="N65" i="78"/>
  <c r="K65" i="78" s="1"/>
  <c r="K25" i="52"/>
  <c r="N59" i="109"/>
  <c r="K59" i="109" s="1"/>
  <c r="D5" i="109"/>
  <c r="K25" i="78"/>
  <c r="K25" i="83"/>
  <c r="K38" i="25"/>
  <c r="N20" i="23"/>
  <c r="K20" i="23" s="1"/>
  <c r="N46" i="23"/>
  <c r="K46" i="23" s="1"/>
  <c r="N9" i="23"/>
  <c r="N33" i="23"/>
  <c r="K33" i="23" s="1"/>
  <c r="G5" i="23"/>
  <c r="H5" i="58"/>
  <c r="N62" i="58"/>
  <c r="K62" i="58" s="1"/>
  <c r="N47" i="48"/>
  <c r="K47" i="48" s="1"/>
  <c r="N34" i="48"/>
  <c r="L5" i="48"/>
  <c r="E5" i="110"/>
  <c r="N60" i="110"/>
  <c r="K60" i="110" s="1"/>
  <c r="N25" i="43"/>
  <c r="O4" i="43"/>
  <c r="N38" i="43"/>
  <c r="N51" i="43"/>
  <c r="N13" i="43"/>
  <c r="N41" i="54"/>
  <c r="K41" i="54" s="1"/>
  <c r="N27" i="54"/>
  <c r="K27" i="54" s="1"/>
  <c r="N15" i="54"/>
  <c r="K15" i="54" s="1"/>
  <c r="K14" i="101"/>
  <c r="N73" i="101"/>
  <c r="K73" i="101" s="1"/>
  <c r="K5" i="93"/>
  <c r="N66" i="93"/>
  <c r="K66" i="93" s="1"/>
  <c r="N32" i="81"/>
  <c r="C5" i="81"/>
  <c r="N45" i="81"/>
  <c r="K45" i="81" s="1"/>
  <c r="N8" i="81"/>
  <c r="N19" i="81"/>
  <c r="K40" i="63"/>
  <c r="N79" i="63"/>
  <c r="K79" i="63" s="1"/>
  <c r="K38" i="33"/>
  <c r="B53" i="125"/>
  <c r="C3" i="61"/>
  <c r="E13" i="125"/>
  <c r="F3" i="24"/>
  <c r="K40" i="36"/>
  <c r="N79" i="36"/>
  <c r="K79" i="36" s="1"/>
  <c r="H87" i="125"/>
  <c r="I3" i="94"/>
  <c r="K38" i="26"/>
  <c r="N65" i="66"/>
  <c r="K65" i="66" s="1"/>
  <c r="F5" i="66"/>
  <c r="K97" i="125"/>
  <c r="L3" i="104"/>
  <c r="J97" i="125"/>
  <c r="K3" i="104"/>
  <c r="N15" i="27"/>
  <c r="K15" i="27" s="1"/>
  <c r="N27" i="27"/>
  <c r="K27" i="27" s="1"/>
  <c r="N41" i="27"/>
  <c r="K41" i="27" s="1"/>
  <c r="N41" i="111"/>
  <c r="K41" i="111" s="1"/>
  <c r="N15" i="111"/>
  <c r="K15" i="111" s="1"/>
  <c r="N27" i="111"/>
  <c r="K27" i="111" s="1"/>
  <c r="J34" i="125"/>
  <c r="K3" i="44"/>
  <c r="Y34" i="125"/>
  <c r="G34" i="125"/>
  <c r="H3" i="44"/>
  <c r="B99" i="125"/>
  <c r="C3" i="106"/>
  <c r="K25" i="71"/>
  <c r="K29" i="71" s="1"/>
  <c r="K30" i="71" s="1"/>
  <c r="N29" i="71"/>
  <c r="N30" i="71" s="1"/>
  <c r="N25" i="97"/>
  <c r="N38" i="97"/>
  <c r="N51" i="97"/>
  <c r="N13" i="97"/>
  <c r="O4" i="97"/>
  <c r="C5" i="70"/>
  <c r="O3" i="70"/>
  <c r="N45" i="70"/>
  <c r="K45" i="70" s="1"/>
  <c r="N32" i="70"/>
  <c r="N8" i="70"/>
  <c r="N19" i="70"/>
  <c r="N63" i="31"/>
  <c r="K63" i="31" s="1"/>
  <c r="I5" i="31"/>
  <c r="N64" i="37"/>
  <c r="K64" i="37" s="1"/>
  <c r="J5" i="37"/>
  <c r="N13" i="107"/>
  <c r="N25" i="107"/>
  <c r="N51" i="107"/>
  <c r="N38" i="107"/>
  <c r="O4" i="107"/>
  <c r="O4" i="70"/>
  <c r="N15" i="98"/>
  <c r="K15" i="98" s="1"/>
  <c r="N41" i="98"/>
  <c r="K41" i="98" s="1"/>
  <c r="N27" i="98"/>
  <c r="K27" i="98" s="1"/>
  <c r="D57" i="125"/>
  <c r="E3" i="65"/>
  <c r="J89" i="125"/>
  <c r="K3" i="96"/>
  <c r="N63" i="32"/>
  <c r="K63" i="32" s="1"/>
  <c r="I5" i="32"/>
  <c r="K13" i="94"/>
  <c r="N70" i="94"/>
  <c r="D5" i="58"/>
  <c r="N59" i="58"/>
  <c r="K59" i="58" s="1"/>
  <c r="D5" i="41"/>
  <c r="N59" i="41"/>
  <c r="K59" i="41" s="1"/>
  <c r="F5" i="45"/>
  <c r="N65" i="45"/>
  <c r="K65" i="45" s="1"/>
  <c r="N27" i="46"/>
  <c r="K27" i="46" s="1"/>
  <c r="N41" i="46"/>
  <c r="K41" i="46" s="1"/>
  <c r="N15" i="46"/>
  <c r="K15" i="46" s="1"/>
  <c r="N27" i="51"/>
  <c r="K27" i="51" s="1"/>
  <c r="N41" i="51"/>
  <c r="K41" i="51" s="1"/>
  <c r="N15" i="51"/>
  <c r="K15" i="51" s="1"/>
  <c r="E10" i="125"/>
  <c r="F3" i="21"/>
  <c r="K13" i="45"/>
  <c r="N70" i="45"/>
  <c r="K96" i="125"/>
  <c r="L3" i="103"/>
  <c r="K14" i="84"/>
  <c r="N73" i="84"/>
  <c r="K73" i="84" s="1"/>
  <c r="K40" i="111"/>
  <c r="N79" i="111"/>
  <c r="K79" i="111" s="1"/>
  <c r="K14" i="75"/>
  <c r="N73" i="75"/>
  <c r="K73" i="75" s="1"/>
  <c r="N73" i="47"/>
  <c r="K73" i="47" s="1"/>
  <c r="N45" i="31"/>
  <c r="K45" i="31" s="1"/>
  <c r="N8" i="31"/>
  <c r="N32" i="31"/>
  <c r="C5" i="31"/>
  <c r="N19" i="31"/>
  <c r="D28" i="125"/>
  <c r="E3" i="38"/>
  <c r="K5" i="37"/>
  <c r="N66" i="37"/>
  <c r="K66" i="37" s="1"/>
  <c r="N59" i="69"/>
  <c r="K59" i="69" s="1"/>
  <c r="D5" i="69"/>
  <c r="K14" i="66"/>
  <c r="N73" i="66"/>
  <c r="K73" i="66" s="1"/>
  <c r="J5" i="87"/>
  <c r="N64" i="87"/>
  <c r="K64" i="87" s="1"/>
  <c r="Y77" i="125"/>
  <c r="C77" i="125"/>
  <c r="D3" i="85"/>
  <c r="L46" i="125"/>
  <c r="M3" i="55"/>
  <c r="K13" i="67"/>
  <c r="N70" i="67"/>
  <c r="N16" i="67"/>
  <c r="N17" i="67" s="1"/>
  <c r="K40" i="79"/>
  <c r="N79" i="79"/>
  <c r="K79" i="79" s="1"/>
  <c r="N34" i="32"/>
  <c r="N47" i="32"/>
  <c r="K47" i="32" s="1"/>
  <c r="L5" i="32"/>
  <c r="N120" i="124"/>
  <c r="N64" i="66"/>
  <c r="K64" i="66" s="1"/>
  <c r="J5" i="66"/>
  <c r="C5" i="58"/>
  <c r="N45" i="58"/>
  <c r="O3" i="58"/>
  <c r="N8" i="58"/>
  <c r="N19" i="58"/>
  <c r="N32" i="58"/>
  <c r="Y88" i="125"/>
  <c r="E88" i="125"/>
  <c r="F3" i="95"/>
  <c r="Y66" i="125"/>
  <c r="G66" i="125"/>
  <c r="H3" i="74"/>
  <c r="B42" i="125"/>
  <c r="C3" i="51"/>
  <c r="N45" i="102"/>
  <c r="K45" i="102" s="1"/>
  <c r="N32" i="102"/>
  <c r="N8" i="102"/>
  <c r="N19" i="102"/>
  <c r="C5" i="102"/>
  <c r="N15" i="106"/>
  <c r="K15" i="106" s="1"/>
  <c r="N41" i="106"/>
  <c r="K41" i="106" s="1"/>
  <c r="N27" i="106"/>
  <c r="K27" i="106" s="1"/>
  <c r="K40" i="101"/>
  <c r="N79" i="101"/>
  <c r="K79" i="101" s="1"/>
  <c r="E8" i="125"/>
  <c r="F3" i="19"/>
  <c r="K38" i="55"/>
  <c r="K14" i="72"/>
  <c r="N73" i="72"/>
  <c r="K73" i="72" s="1"/>
  <c r="K94" i="125"/>
  <c r="L3" i="101"/>
  <c r="D94" i="125"/>
  <c r="E3" i="101"/>
  <c r="I38" i="125"/>
  <c r="J3" i="47"/>
  <c r="D38" i="125"/>
  <c r="E3" i="47"/>
  <c r="K13" i="93"/>
  <c r="K16" i="93" s="1"/>
  <c r="K17" i="93" s="1"/>
  <c r="N16" i="93"/>
  <c r="N17" i="93" s="1"/>
  <c r="N70" i="93"/>
  <c r="J20" i="125"/>
  <c r="K3" i="30"/>
  <c r="N25" i="23"/>
  <c r="N38" i="23"/>
  <c r="N51" i="23"/>
  <c r="N13" i="23"/>
  <c r="O4" i="23"/>
  <c r="B82" i="125"/>
  <c r="C3" i="89"/>
  <c r="N63" i="77"/>
  <c r="K63" i="77" s="1"/>
  <c r="I5" i="77"/>
  <c r="C59" i="125"/>
  <c r="D3" i="67"/>
  <c r="I59" i="125"/>
  <c r="J3" i="67"/>
  <c r="D5" i="46"/>
  <c r="N59" i="46"/>
  <c r="K59" i="46" s="1"/>
  <c r="E47" i="125"/>
  <c r="F3" i="56"/>
  <c r="I11" i="125"/>
  <c r="J3" i="22"/>
  <c r="E6" i="125"/>
  <c r="R105" i="125"/>
  <c r="R107" i="125" s="1"/>
  <c r="F3" i="16"/>
  <c r="F3" i="17"/>
  <c r="N64" i="50"/>
  <c r="K64" i="50" s="1"/>
  <c r="J5" i="50"/>
  <c r="N47" i="66"/>
  <c r="K47" i="66" s="1"/>
  <c r="N34" i="66"/>
  <c r="K34" i="66" s="1"/>
  <c r="L5" i="66"/>
  <c r="N9" i="58"/>
  <c r="K9" i="58" s="1"/>
  <c r="N46" i="58"/>
  <c r="K46" i="58" s="1"/>
  <c r="N33" i="58"/>
  <c r="K33" i="58" s="1"/>
  <c r="G5" i="58"/>
  <c r="N20" i="58"/>
  <c r="K20" i="58" s="1"/>
  <c r="N42" i="62"/>
  <c r="N43" i="62" s="1"/>
  <c r="K38" i="62"/>
  <c r="K40" i="52"/>
  <c r="N79" i="52"/>
  <c r="K79" i="52" s="1"/>
  <c r="C71" i="125"/>
  <c r="D3" i="79"/>
  <c r="H5" i="90"/>
  <c r="N62" i="90"/>
  <c r="K62" i="90" s="1"/>
  <c r="N60" i="107"/>
  <c r="K60" i="107" s="1"/>
  <c r="E5" i="107"/>
  <c r="J5" i="60"/>
  <c r="N64" i="60"/>
  <c r="K64" i="60" s="1"/>
  <c r="F5" i="73"/>
  <c r="N65" i="73"/>
  <c r="K65" i="73" s="1"/>
  <c r="N59" i="48"/>
  <c r="K59" i="48" s="1"/>
  <c r="D5" i="48"/>
  <c r="K13" i="32"/>
  <c r="N70" i="32"/>
  <c r="K25" i="106"/>
  <c r="N34" i="82"/>
  <c r="L5" i="82"/>
  <c r="N47" i="82"/>
  <c r="K47" i="82" s="1"/>
  <c r="D32" i="125"/>
  <c r="E3" i="42"/>
  <c r="N41" i="40"/>
  <c r="K41" i="40" s="1"/>
  <c r="N15" i="40"/>
  <c r="K15" i="40" s="1"/>
  <c r="N27" i="40"/>
  <c r="K27" i="40" s="1"/>
  <c r="K14" i="98"/>
  <c r="N73" i="98"/>
  <c r="K73" i="98" s="1"/>
  <c r="N59" i="33"/>
  <c r="K59" i="33" s="1"/>
  <c r="D5" i="33"/>
  <c r="N9" i="37"/>
  <c r="G5" i="37"/>
  <c r="N20" i="37"/>
  <c r="K20" i="37" s="1"/>
  <c r="N46" i="37"/>
  <c r="K46" i="37" s="1"/>
  <c r="N33" i="37"/>
  <c r="K33" i="37" s="1"/>
  <c r="J25" i="125"/>
  <c r="K3" i="35"/>
  <c r="K40" i="46"/>
  <c r="N79" i="46"/>
  <c r="K79" i="46" s="1"/>
  <c r="C48" i="125"/>
  <c r="D3" i="57"/>
  <c r="K40" i="82"/>
  <c r="N79" i="82"/>
  <c r="K79" i="82" s="1"/>
  <c r="C85" i="125"/>
  <c r="D3" i="92"/>
  <c r="H5" i="40"/>
  <c r="N62" i="40"/>
  <c r="K62" i="40" s="1"/>
  <c r="L21" i="125"/>
  <c r="M3" i="31"/>
  <c r="O3" i="31" s="1"/>
  <c r="O5" i="31" s="1"/>
  <c r="J90" i="125"/>
  <c r="K3" i="97"/>
  <c r="K40" i="107"/>
  <c r="N79" i="107"/>
  <c r="K79" i="107" s="1"/>
  <c r="K40" i="31"/>
  <c r="N79" i="31"/>
  <c r="K79" i="31" s="1"/>
  <c r="D40" i="125"/>
  <c r="E3" i="49"/>
  <c r="K40" i="69"/>
  <c r="N79" i="69"/>
  <c r="K79" i="69" s="1"/>
  <c r="N64" i="88"/>
  <c r="K64" i="88" s="1"/>
  <c r="J5" i="88"/>
  <c r="D26" i="125"/>
  <c r="E3" i="36"/>
  <c r="J5" i="78"/>
  <c r="N64" i="78"/>
  <c r="K64" i="78" s="1"/>
  <c r="J50" i="125"/>
  <c r="K3" i="59"/>
  <c r="K43" i="125"/>
  <c r="L3" i="52"/>
  <c r="Y43" i="125"/>
  <c r="D43" i="125"/>
  <c r="E3" i="52"/>
  <c r="N64" i="109"/>
  <c r="K64" i="109" s="1"/>
  <c r="J5" i="109"/>
  <c r="F15" i="125"/>
  <c r="G3" i="26"/>
  <c r="N41" i="78"/>
  <c r="K41" i="78" s="1"/>
  <c r="N15" i="78"/>
  <c r="K15" i="78" s="1"/>
  <c r="N27" i="78"/>
  <c r="K27" i="78" s="1"/>
  <c r="K5" i="66"/>
  <c r="N66" i="66"/>
  <c r="K66" i="66" s="1"/>
  <c r="N25" i="61"/>
  <c r="N38" i="61"/>
  <c r="N51" i="61"/>
  <c r="N13" i="61"/>
  <c r="O4" i="61"/>
  <c r="N9" i="41"/>
  <c r="N46" i="41"/>
  <c r="K46" i="41" s="1"/>
  <c r="N20" i="41"/>
  <c r="K20" i="41" s="1"/>
  <c r="G5" i="41"/>
  <c r="N33" i="41"/>
  <c r="K33" i="41" s="1"/>
  <c r="N59" i="39"/>
  <c r="K59" i="39" s="1"/>
  <c r="D5" i="39"/>
  <c r="K13" i="48"/>
  <c r="N70" i="48"/>
  <c r="N16" i="48"/>
  <c r="N17" i="48" s="1"/>
  <c r="K56" i="125"/>
  <c r="L3" i="64"/>
  <c r="H5" i="102"/>
  <c r="N62" i="102"/>
  <c r="K62" i="102" s="1"/>
  <c r="N19" i="75"/>
  <c r="C5" i="75"/>
  <c r="N32" i="75"/>
  <c r="O3" i="75"/>
  <c r="O5" i="75" s="1"/>
  <c r="N45" i="75"/>
  <c r="N8" i="75"/>
  <c r="N8" i="53"/>
  <c r="N19" i="53"/>
  <c r="C5" i="53"/>
  <c r="N45" i="53"/>
  <c r="N32" i="53"/>
  <c r="D60" i="125"/>
  <c r="E3" i="68"/>
  <c r="K13" i="47"/>
  <c r="N16" i="47"/>
  <c r="N17" i="47" s="1"/>
  <c r="N70" i="47"/>
  <c r="H5" i="70"/>
  <c r="N62" i="70"/>
  <c r="K62" i="70" s="1"/>
  <c r="C5" i="93"/>
  <c r="N8" i="93"/>
  <c r="N19" i="93"/>
  <c r="N45" i="93"/>
  <c r="K45" i="93" s="1"/>
  <c r="N32" i="93"/>
  <c r="N13" i="99"/>
  <c r="N51" i="99"/>
  <c r="N38" i="99"/>
  <c r="O4" i="99"/>
  <c r="N25" i="99"/>
  <c r="N32" i="28"/>
  <c r="N45" i="28"/>
  <c r="C5" i="28"/>
  <c r="N19" i="28"/>
  <c r="N8" i="28"/>
  <c r="K25" i="40"/>
  <c r="K29" i="40" s="1"/>
  <c r="K30" i="40" s="1"/>
  <c r="K64" i="125"/>
  <c r="L3" i="72"/>
  <c r="H92" i="125"/>
  <c r="I3" i="99"/>
  <c r="N45" i="80"/>
  <c r="K45" i="80" s="1"/>
  <c r="N8" i="80"/>
  <c r="N19" i="80"/>
  <c r="N32" i="80"/>
  <c r="C5" i="80"/>
  <c r="L79" i="125"/>
  <c r="M3" i="87"/>
  <c r="O3" i="87" s="1"/>
  <c r="O5" i="87" s="1"/>
  <c r="Y54" i="125"/>
  <c r="D54" i="125"/>
  <c r="E3" i="62"/>
  <c r="I5" i="55"/>
  <c r="N63" i="55"/>
  <c r="K63" i="55" s="1"/>
  <c r="N41" i="94"/>
  <c r="K41" i="94" s="1"/>
  <c r="N15" i="94"/>
  <c r="K15" i="94" s="1"/>
  <c r="N27" i="94"/>
  <c r="K27" i="94" s="1"/>
  <c r="K13" i="78"/>
  <c r="N70" i="78"/>
  <c r="N47" i="20"/>
  <c r="K47" i="20" s="1"/>
  <c r="L5" i="20"/>
  <c r="N34" i="20"/>
  <c r="N73" i="57"/>
  <c r="K73" i="57" s="1"/>
  <c r="K14" i="57"/>
  <c r="K14" i="41"/>
  <c r="N73" i="41"/>
  <c r="K73" i="41" s="1"/>
  <c r="F5" i="102"/>
  <c r="N65" i="102"/>
  <c r="K65" i="102" s="1"/>
  <c r="N34" i="54"/>
  <c r="L5" i="54"/>
  <c r="N47" i="54"/>
  <c r="K47" i="54" s="1"/>
  <c r="N15" i="43"/>
  <c r="K15" i="43" s="1"/>
  <c r="N41" i="43"/>
  <c r="K41" i="43" s="1"/>
  <c r="N27" i="43"/>
  <c r="K27" i="43" s="1"/>
  <c r="K14" i="77"/>
  <c r="N73" i="77"/>
  <c r="K73" i="77" s="1"/>
  <c r="N63" i="76"/>
  <c r="K63" i="76" s="1"/>
  <c r="I5" i="76"/>
  <c r="N60" i="63"/>
  <c r="K60" i="63" s="1"/>
  <c r="E5" i="63"/>
  <c r="K14" i="30"/>
  <c r="N73" i="30"/>
  <c r="K73" i="30" s="1"/>
  <c r="N13" i="65"/>
  <c r="O4" i="65"/>
  <c r="N51" i="65"/>
  <c r="N38" i="65"/>
  <c r="N25" i="65"/>
  <c r="O4" i="18"/>
  <c r="K13" i="33"/>
  <c r="N70" i="33"/>
  <c r="J53" i="125"/>
  <c r="K3" i="61"/>
  <c r="D13" i="125"/>
  <c r="E3" i="24"/>
  <c r="K5" i="80"/>
  <c r="N66" i="80"/>
  <c r="K66" i="80" s="1"/>
  <c r="N59" i="55"/>
  <c r="K59" i="55" s="1"/>
  <c r="D5" i="55"/>
  <c r="G5" i="78"/>
  <c r="N9" i="78"/>
  <c r="N46" i="78"/>
  <c r="K46" i="78" s="1"/>
  <c r="N20" i="78"/>
  <c r="K20" i="78" s="1"/>
  <c r="N33" i="78"/>
  <c r="K33" i="78" s="1"/>
  <c r="N66" i="29"/>
  <c r="K66" i="29" s="1"/>
  <c r="K5" i="29"/>
  <c r="N46" i="46"/>
  <c r="K46" i="46" s="1"/>
  <c r="N20" i="46"/>
  <c r="K20" i="46" s="1"/>
  <c r="N33" i="46"/>
  <c r="K33" i="46" s="1"/>
  <c r="N9" i="46"/>
  <c r="K9" i="46" s="1"/>
  <c r="G5" i="46"/>
  <c r="G5" i="32"/>
  <c r="N33" i="32"/>
  <c r="K33" i="32" s="1"/>
  <c r="N46" i="32"/>
  <c r="K46" i="32" s="1"/>
  <c r="N20" i="32"/>
  <c r="K20" i="32" s="1"/>
  <c r="N9" i="32"/>
  <c r="L100" i="125"/>
  <c r="M3" i="107"/>
  <c r="O3" i="107" s="1"/>
  <c r="G87" i="125"/>
  <c r="H3" i="94"/>
  <c r="N52" i="17"/>
  <c r="K52" i="17" s="1"/>
  <c r="K91" i="118" s="1"/>
  <c r="N91" i="118" s="1"/>
  <c r="N39" i="17"/>
  <c r="K39" i="17" s="1"/>
  <c r="K67" i="118" s="1"/>
  <c r="N67" i="118" s="1"/>
  <c r="N14" i="17"/>
  <c r="K14" i="17" s="1"/>
  <c r="N26" i="17"/>
  <c r="K26" i="17" s="1"/>
  <c r="L9" i="125"/>
  <c r="M3" i="20"/>
  <c r="N62" i="98"/>
  <c r="K62" i="98" s="1"/>
  <c r="H5" i="98"/>
  <c r="L5" i="34"/>
  <c r="N47" i="34"/>
  <c r="K47" i="34" s="1"/>
  <c r="N34" i="34"/>
  <c r="N46" i="110"/>
  <c r="K46" i="110" s="1"/>
  <c r="N33" i="110"/>
  <c r="K33" i="110" s="1"/>
  <c r="G5" i="110"/>
  <c r="N9" i="110"/>
  <c r="N20" i="110"/>
  <c r="K20" i="110" s="1"/>
  <c r="G97" i="125"/>
  <c r="H3" i="104"/>
  <c r="Y97" i="125"/>
  <c r="B97" i="125"/>
  <c r="C3" i="104"/>
  <c r="O4" i="44"/>
  <c r="N13" i="44"/>
  <c r="N25" i="44"/>
  <c r="N51" i="44"/>
  <c r="N38" i="44"/>
  <c r="N60" i="54"/>
  <c r="K60" i="54" s="1"/>
  <c r="E5" i="54"/>
  <c r="G5" i="53"/>
  <c r="N46" i="53"/>
  <c r="K46" i="53" s="1"/>
  <c r="N33" i="53"/>
  <c r="K33" i="53" s="1"/>
  <c r="N9" i="53"/>
  <c r="N20" i="53"/>
  <c r="K20" i="53" s="1"/>
  <c r="C5" i="76"/>
  <c r="N19" i="76"/>
  <c r="N8" i="76"/>
  <c r="N45" i="76"/>
  <c r="K45" i="76" s="1"/>
  <c r="N32" i="76"/>
  <c r="K34" i="125"/>
  <c r="L3" i="44"/>
  <c r="D34" i="125"/>
  <c r="E3" i="44"/>
  <c r="I99" i="125"/>
  <c r="J3" i="106"/>
  <c r="N41" i="97"/>
  <c r="K41" i="97" s="1"/>
  <c r="N15" i="97"/>
  <c r="K15" i="97" s="1"/>
  <c r="N27" i="97"/>
  <c r="K27" i="97" s="1"/>
  <c r="N47" i="40"/>
  <c r="K47" i="40" s="1"/>
  <c r="L5" i="40"/>
  <c r="N34" i="40"/>
  <c r="K34" i="40" s="1"/>
  <c r="N27" i="107"/>
  <c r="K27" i="107" s="1"/>
  <c r="N41" i="107"/>
  <c r="K41" i="107" s="1"/>
  <c r="N15" i="107"/>
  <c r="K15" i="107" s="1"/>
  <c r="O4" i="66"/>
  <c r="N13" i="66"/>
  <c r="N38" i="66"/>
  <c r="N25" i="66"/>
  <c r="N51" i="66"/>
  <c r="Y57" i="125"/>
  <c r="B57" i="125"/>
  <c r="C3" i="65"/>
  <c r="N60" i="80"/>
  <c r="K60" i="80" s="1"/>
  <c r="E5" i="80"/>
  <c r="N59" i="88"/>
  <c r="K59" i="88" s="1"/>
  <c r="D5" i="88"/>
  <c r="H5" i="78"/>
  <c r="N62" i="78"/>
  <c r="K62" i="78" s="1"/>
  <c r="E89" i="125"/>
  <c r="F3" i="96"/>
  <c r="Y89" i="125"/>
  <c r="B89" i="125"/>
  <c r="C3" i="96"/>
  <c r="N63" i="46"/>
  <c r="K63" i="46" s="1"/>
  <c r="I5" i="46"/>
  <c r="O4" i="94"/>
  <c r="N118" i="124"/>
  <c r="I5" i="98"/>
  <c r="N63" i="98"/>
  <c r="K63" i="98" s="1"/>
  <c r="N59" i="60"/>
  <c r="K59" i="60" s="1"/>
  <c r="D5" i="60"/>
  <c r="K14" i="91"/>
  <c r="N73" i="91"/>
  <c r="K73" i="91" s="1"/>
  <c r="O4" i="64"/>
  <c r="N13" i="64"/>
  <c r="N38" i="64"/>
  <c r="N25" i="64"/>
  <c r="N51" i="64"/>
  <c r="K40" i="41"/>
  <c r="N79" i="41"/>
  <c r="K79" i="41" s="1"/>
  <c r="D10" i="125"/>
  <c r="E3" i="21"/>
  <c r="K38" i="45"/>
  <c r="J96" i="125"/>
  <c r="K3" i="103"/>
  <c r="N9" i="54"/>
  <c r="G5" i="54"/>
  <c r="N20" i="54"/>
  <c r="K20" i="54" s="1"/>
  <c r="N46" i="54"/>
  <c r="K46" i="54" s="1"/>
  <c r="N33" i="54"/>
  <c r="K33" i="54" s="1"/>
  <c r="N59" i="75"/>
  <c r="K59" i="75" s="1"/>
  <c r="D5" i="75"/>
  <c r="J5" i="53"/>
  <c r="N64" i="53"/>
  <c r="K64" i="53" s="1"/>
  <c r="N47" i="27"/>
  <c r="K47" i="27" s="1"/>
  <c r="N34" i="27"/>
  <c r="K34" i="27" s="1"/>
  <c r="L5" i="27"/>
  <c r="E5" i="18"/>
  <c r="N60" i="18"/>
  <c r="K60" i="18" s="1"/>
  <c r="J28" i="125"/>
  <c r="K3" i="38"/>
  <c r="N65" i="80"/>
  <c r="K65" i="80" s="1"/>
  <c r="F5" i="80"/>
  <c r="J77" i="125"/>
  <c r="K3" i="85"/>
  <c r="G5" i="77"/>
  <c r="N9" i="77"/>
  <c r="N20" i="77"/>
  <c r="K20" i="77" s="1"/>
  <c r="N46" i="77"/>
  <c r="K46" i="77" s="1"/>
  <c r="N33" i="77"/>
  <c r="K33" i="77" s="1"/>
  <c r="N32" i="25"/>
  <c r="C5" i="25"/>
  <c r="N19" i="25"/>
  <c r="N8" i="25"/>
  <c r="N45" i="25"/>
  <c r="K45" i="25" s="1"/>
  <c r="O3" i="25"/>
  <c r="O5" i="25" s="1"/>
  <c r="K25" i="67"/>
  <c r="K29" i="67" s="1"/>
  <c r="K30" i="67" s="1"/>
  <c r="N29" i="67"/>
  <c r="N30" i="67" s="1"/>
  <c r="N41" i="25"/>
  <c r="K41" i="25" s="1"/>
  <c r="N15" i="25"/>
  <c r="K15" i="25" s="1"/>
  <c r="N27" i="25"/>
  <c r="K27" i="25" s="1"/>
  <c r="E5" i="48"/>
  <c r="N60" i="48"/>
  <c r="K60" i="48" s="1"/>
  <c r="N60" i="45"/>
  <c r="K60" i="45" s="1"/>
  <c r="E5" i="45"/>
  <c r="K14" i="51"/>
  <c r="N73" i="51"/>
  <c r="K73" i="51" s="1"/>
  <c r="D88" i="125"/>
  <c r="E3" i="95"/>
  <c r="N27" i="110"/>
  <c r="K27" i="110" s="1"/>
  <c r="N41" i="110"/>
  <c r="K41" i="110" s="1"/>
  <c r="N15" i="110"/>
  <c r="K15" i="110" s="1"/>
  <c r="D66" i="125"/>
  <c r="E3" i="74"/>
  <c r="I42" i="125"/>
  <c r="J3" i="51"/>
  <c r="J5" i="100"/>
  <c r="N64" i="100"/>
  <c r="K64" i="100" s="1"/>
  <c r="N8" i="105"/>
  <c r="N19" i="105"/>
  <c r="N32" i="105"/>
  <c r="O3" i="105"/>
  <c r="O5" i="105" s="1"/>
  <c r="N45" i="105"/>
  <c r="C5" i="105"/>
  <c r="N59" i="76"/>
  <c r="K59" i="76" s="1"/>
  <c r="D5" i="76"/>
  <c r="K14" i="28"/>
  <c r="N73" i="28"/>
  <c r="K73" i="28" s="1"/>
  <c r="K8" i="125"/>
  <c r="L3" i="19"/>
  <c r="N65" i="18"/>
  <c r="K65" i="18" s="1"/>
  <c r="F5" i="18"/>
  <c r="K13" i="87"/>
  <c r="N70" i="87"/>
  <c r="N66" i="31"/>
  <c r="K66" i="31" s="1"/>
  <c r="K5" i="31"/>
  <c r="B94" i="125"/>
  <c r="C3" i="101"/>
  <c r="N47" i="81"/>
  <c r="K47" i="81" s="1"/>
  <c r="N34" i="81"/>
  <c r="K34" i="81" s="1"/>
  <c r="L5" i="81"/>
  <c r="E38" i="125"/>
  <c r="F3" i="47"/>
  <c r="N60" i="28"/>
  <c r="K60" i="28" s="1"/>
  <c r="E5" i="28"/>
  <c r="K14" i="20"/>
  <c r="N73" i="20"/>
  <c r="K73" i="20" s="1"/>
  <c r="E20" i="125"/>
  <c r="F3" i="30"/>
  <c r="Y20" i="125"/>
  <c r="B20" i="125"/>
  <c r="C3" i="30"/>
  <c r="N15" i="23"/>
  <c r="K15" i="23" s="1"/>
  <c r="N27" i="23"/>
  <c r="K27" i="23" s="1"/>
  <c r="N41" i="23"/>
  <c r="K41" i="23" s="1"/>
  <c r="K14" i="58"/>
  <c r="N73" i="58"/>
  <c r="K73" i="58" s="1"/>
  <c r="I82" i="125"/>
  <c r="J3" i="89"/>
  <c r="N64" i="86"/>
  <c r="K64" i="86" s="1"/>
  <c r="J5" i="86"/>
  <c r="J5" i="25"/>
  <c r="N64" i="25"/>
  <c r="K64" i="25" s="1"/>
  <c r="K59" i="125"/>
  <c r="L3" i="67"/>
  <c r="N13" i="96"/>
  <c r="N51" i="96"/>
  <c r="N38" i="96"/>
  <c r="O4" i="96"/>
  <c r="N25" i="96"/>
  <c r="N8" i="32"/>
  <c r="N32" i="32"/>
  <c r="N19" i="32"/>
  <c r="C5" i="32"/>
  <c r="N45" i="32"/>
  <c r="K45" i="32" s="1"/>
  <c r="D47" i="125"/>
  <c r="E3" i="56"/>
  <c r="H11" i="125"/>
  <c r="I3" i="22"/>
  <c r="Y6" i="125"/>
  <c r="D6" i="125"/>
  <c r="Q105" i="125"/>
  <c r="Q107" i="125" s="1"/>
  <c r="E3" i="16"/>
  <c r="E3" i="17"/>
  <c r="G5" i="87"/>
  <c r="N9" i="87"/>
  <c r="N20" i="87"/>
  <c r="K20" i="87" s="1"/>
  <c r="N33" i="87"/>
  <c r="K33" i="87" s="1"/>
  <c r="N46" i="87"/>
  <c r="K46" i="87" s="1"/>
  <c r="G71" i="125"/>
  <c r="H3" i="79"/>
  <c r="L41" i="125"/>
  <c r="M3" i="50"/>
  <c r="O3" i="50" s="1"/>
  <c r="O4" i="32"/>
  <c r="K40" i="74"/>
  <c r="N79" i="74"/>
  <c r="K79" i="74" s="1"/>
  <c r="K40" i="64"/>
  <c r="N79" i="64"/>
  <c r="K79" i="64" s="1"/>
  <c r="N32" i="54"/>
  <c r="N8" i="54"/>
  <c r="O3" i="54"/>
  <c r="O5" i="54" s="1"/>
  <c r="C5" i="54"/>
  <c r="N45" i="54"/>
  <c r="N19" i="54"/>
  <c r="C5" i="100"/>
  <c r="N32" i="100"/>
  <c r="N45" i="100"/>
  <c r="K45" i="100" s="1"/>
  <c r="N8" i="100"/>
  <c r="N19" i="100"/>
  <c r="K40" i="68"/>
  <c r="N79" i="68"/>
  <c r="K79" i="68" s="1"/>
  <c r="N59" i="105"/>
  <c r="K59" i="105" s="1"/>
  <c r="D5" i="105"/>
  <c r="J5" i="84"/>
  <c r="N64" i="84"/>
  <c r="K64" i="84" s="1"/>
  <c r="Y32" i="125"/>
  <c r="B32" i="125"/>
  <c r="C3" i="42"/>
  <c r="K25" i="75"/>
  <c r="K29" i="75" s="1"/>
  <c r="K30" i="75" s="1"/>
  <c r="N29" i="75"/>
  <c r="N30" i="75" s="1"/>
  <c r="K5" i="70"/>
  <c r="N66" i="70"/>
  <c r="K66" i="70" s="1"/>
  <c r="E5" i="40"/>
  <c r="N60" i="40"/>
  <c r="K60" i="40" s="1"/>
  <c r="N47" i="31"/>
  <c r="K47" i="31" s="1"/>
  <c r="L5" i="31"/>
  <c r="N34" i="31"/>
  <c r="G5" i="81"/>
  <c r="N9" i="81"/>
  <c r="K9" i="81" s="1"/>
  <c r="N46" i="81"/>
  <c r="K46" i="81" s="1"/>
  <c r="N20" i="81"/>
  <c r="K20" i="81" s="1"/>
  <c r="N33" i="81"/>
  <c r="K33" i="81" s="1"/>
  <c r="N33" i="69"/>
  <c r="K33" i="69" s="1"/>
  <c r="N46" i="69"/>
  <c r="K46" i="69" s="1"/>
  <c r="N9" i="69"/>
  <c r="G5" i="69"/>
  <c r="N20" i="69"/>
  <c r="K20" i="69" s="1"/>
  <c r="N13" i="50"/>
  <c r="N70" i="50" s="1"/>
  <c r="N25" i="50"/>
  <c r="N51" i="50"/>
  <c r="N38" i="50"/>
  <c r="O4" i="50"/>
  <c r="N27" i="87"/>
  <c r="K27" i="87" s="1"/>
  <c r="N41" i="87"/>
  <c r="K41" i="87" s="1"/>
  <c r="N15" i="87"/>
  <c r="K15" i="87" s="1"/>
  <c r="Y25" i="125"/>
  <c r="B25" i="125"/>
  <c r="C3" i="35"/>
  <c r="F5" i="69"/>
  <c r="N65" i="69"/>
  <c r="K65" i="69" s="1"/>
  <c r="N25" i="58"/>
  <c r="N13" i="58"/>
  <c r="N38" i="58"/>
  <c r="N51" i="58"/>
  <c r="O4" i="58"/>
  <c r="K40" i="47"/>
  <c r="N79" i="47"/>
  <c r="K79" i="47" s="1"/>
  <c r="N59" i="63"/>
  <c r="K59" i="63" s="1"/>
  <c r="D5" i="63"/>
  <c r="N8" i="48"/>
  <c r="N32" i="48"/>
  <c r="N19" i="48"/>
  <c r="N45" i="48"/>
  <c r="K45" i="48" s="1"/>
  <c r="C5" i="48"/>
  <c r="N63" i="110"/>
  <c r="K63" i="110" s="1"/>
  <c r="I5" i="110"/>
  <c r="K40" i="48"/>
  <c r="N79" i="48"/>
  <c r="K79" i="48" s="1"/>
  <c r="J48" i="125"/>
  <c r="K3" i="57"/>
  <c r="N66" i="102"/>
  <c r="K66" i="102" s="1"/>
  <c r="K5" i="102"/>
  <c r="N63" i="100"/>
  <c r="K63" i="100" s="1"/>
  <c r="I5" i="100"/>
  <c r="H5" i="71"/>
  <c r="N62" i="71"/>
  <c r="K62" i="71" s="1"/>
  <c r="F5" i="27"/>
  <c r="N65" i="27"/>
  <c r="K65" i="27" s="1"/>
  <c r="J85" i="125"/>
  <c r="K3" i="92"/>
  <c r="N27" i="60"/>
  <c r="K27" i="60" s="1"/>
  <c r="N15" i="60"/>
  <c r="K15" i="60" s="1"/>
  <c r="N41" i="60"/>
  <c r="K41" i="60" s="1"/>
  <c r="I77" i="125"/>
  <c r="J3" i="85"/>
  <c r="B77" i="125"/>
  <c r="C3" i="85"/>
  <c r="K40" i="67"/>
  <c r="N79" i="67"/>
  <c r="K79" i="67" s="1"/>
  <c r="C5" i="46"/>
  <c r="N8" i="46"/>
  <c r="N32" i="46"/>
  <c r="N45" i="46"/>
  <c r="K45" i="46" s="1"/>
  <c r="N19" i="46"/>
  <c r="O3" i="46"/>
  <c r="K14" i="56"/>
  <c r="N73" i="56"/>
  <c r="K73" i="56" s="1"/>
  <c r="O3" i="98"/>
  <c r="O5" i="98" s="1"/>
  <c r="C5" i="98"/>
  <c r="N8" i="98"/>
  <c r="N45" i="98"/>
  <c r="K45" i="98" s="1"/>
  <c r="N19" i="98"/>
  <c r="N32" i="98"/>
  <c r="N62" i="60"/>
  <c r="K62" i="60" s="1"/>
  <c r="H5" i="60"/>
  <c r="L49" i="125"/>
  <c r="M3" i="58"/>
  <c r="K88" i="125"/>
  <c r="L3" i="95"/>
  <c r="J88" i="125"/>
  <c r="K3" i="95"/>
  <c r="F66" i="125"/>
  <c r="G3" i="74"/>
  <c r="K66" i="125"/>
  <c r="L3" i="74"/>
  <c r="H42" i="125"/>
  <c r="I3" i="51"/>
  <c r="L95" i="125"/>
  <c r="M3" i="102"/>
  <c r="K40" i="97"/>
  <c r="N79" i="97"/>
  <c r="K79" i="97" s="1"/>
  <c r="C8" i="125"/>
  <c r="D3" i="19"/>
  <c r="K13" i="55"/>
  <c r="N70" i="55"/>
  <c r="N16" i="55"/>
  <c r="N17" i="55" s="1"/>
  <c r="K38" i="87"/>
  <c r="F94" i="125"/>
  <c r="G3" i="101"/>
  <c r="H38" i="125"/>
  <c r="I3" i="47"/>
  <c r="C20" i="125"/>
  <c r="D3" i="30"/>
  <c r="I20" i="125"/>
  <c r="J3" i="30"/>
  <c r="K82" i="125"/>
  <c r="L3" i="89"/>
  <c r="H82" i="125"/>
  <c r="I3" i="89"/>
  <c r="N51" i="108"/>
  <c r="N38" i="108"/>
  <c r="N25" i="108"/>
  <c r="N13" i="108"/>
  <c r="O4" i="108"/>
  <c r="N59" i="77"/>
  <c r="K59" i="77" s="1"/>
  <c r="D5" i="77"/>
  <c r="G59" i="125"/>
  <c r="H3" i="67"/>
  <c r="N15" i="96"/>
  <c r="K15" i="96" s="1"/>
  <c r="N41" i="96"/>
  <c r="K41" i="96" s="1"/>
  <c r="N27" i="96"/>
  <c r="K27" i="96" s="1"/>
  <c r="L37" i="125"/>
  <c r="M3" i="46"/>
  <c r="J47" i="125"/>
  <c r="K3" i="56"/>
  <c r="K14" i="94"/>
  <c r="N73" i="94"/>
  <c r="K73" i="94" s="1"/>
  <c r="G11" i="125"/>
  <c r="H3" i="22"/>
  <c r="K6" i="125"/>
  <c r="X105" i="125"/>
  <c r="X107" i="125" s="1"/>
  <c r="L3" i="16"/>
  <c r="L3" i="17"/>
  <c r="C6" i="125"/>
  <c r="P105" i="125"/>
  <c r="P107" i="125" s="1"/>
  <c r="D3" i="16"/>
  <c r="D3" i="17"/>
  <c r="K40" i="25"/>
  <c r="N79" i="25"/>
  <c r="K79" i="25" s="1"/>
  <c r="N9" i="66"/>
  <c r="N20" i="66"/>
  <c r="K20" i="66" s="1"/>
  <c r="N33" i="66"/>
  <c r="K33" i="66" s="1"/>
  <c r="N46" i="66"/>
  <c r="K46" i="66" s="1"/>
  <c r="G5" i="66"/>
  <c r="K5" i="58"/>
  <c r="N66" i="58"/>
  <c r="K66" i="58" s="1"/>
  <c r="N9" i="88"/>
  <c r="N46" i="88"/>
  <c r="K46" i="88" s="1"/>
  <c r="G5" i="88"/>
  <c r="N20" i="88"/>
  <c r="K20" i="88" s="1"/>
  <c r="N33" i="88"/>
  <c r="K33" i="88" s="1"/>
  <c r="K14" i="59"/>
  <c r="N73" i="59"/>
  <c r="K73" i="59" s="1"/>
  <c r="N15" i="52"/>
  <c r="K15" i="52" s="1"/>
  <c r="N41" i="52"/>
  <c r="K41" i="52" s="1"/>
  <c r="N27" i="52"/>
  <c r="K27" i="52" s="1"/>
  <c r="B71" i="125"/>
  <c r="C3" i="79"/>
  <c r="N63" i="109"/>
  <c r="K63" i="109" s="1"/>
  <c r="I5" i="109"/>
  <c r="D5" i="107"/>
  <c r="N59" i="107"/>
  <c r="K59" i="107" s="1"/>
  <c r="N64" i="98"/>
  <c r="K64" i="98" s="1"/>
  <c r="J5" i="98"/>
  <c r="N34" i="60"/>
  <c r="L5" i="60"/>
  <c r="N47" i="60"/>
  <c r="K47" i="60" s="1"/>
  <c r="H5" i="73"/>
  <c r="N62" i="73"/>
  <c r="K62" i="73" s="1"/>
  <c r="N13" i="91"/>
  <c r="N38" i="91"/>
  <c r="N51" i="91"/>
  <c r="O4" i="91"/>
  <c r="N25" i="91"/>
  <c r="K25" i="32"/>
  <c r="K29" i="32" s="1"/>
  <c r="K30" i="32" s="1"/>
  <c r="N29" i="32"/>
  <c r="N30" i="32" s="1"/>
  <c r="N51" i="53"/>
  <c r="N13" i="53"/>
  <c r="N25" i="53"/>
  <c r="O4" i="53"/>
  <c r="N38" i="53"/>
  <c r="C5" i="71"/>
  <c r="N19" i="71"/>
  <c r="N8" i="71"/>
  <c r="O3" i="71"/>
  <c r="O5" i="71" s="1"/>
  <c r="N45" i="71"/>
  <c r="K45" i="71" s="1"/>
  <c r="N32" i="71"/>
  <c r="N60" i="76"/>
  <c r="K60" i="76" s="1"/>
  <c r="E5" i="76"/>
  <c r="K32" i="125"/>
  <c r="L3" i="42"/>
  <c r="N27" i="50"/>
  <c r="K27" i="50" s="1"/>
  <c r="N41" i="50"/>
  <c r="K41" i="50" s="1"/>
  <c r="N15" i="50"/>
  <c r="K15" i="50" s="1"/>
  <c r="K40" i="66"/>
  <c r="N79" i="66"/>
  <c r="K79" i="66" s="1"/>
  <c r="N46" i="93"/>
  <c r="K46" i="93" s="1"/>
  <c r="N20" i="93"/>
  <c r="K20" i="93" s="1"/>
  <c r="G5" i="93"/>
  <c r="N33" i="93"/>
  <c r="K33" i="93" s="1"/>
  <c r="N9" i="93"/>
  <c r="N64" i="33"/>
  <c r="K64" i="33" s="1"/>
  <c r="J5" i="33"/>
  <c r="E25" i="125"/>
  <c r="F3" i="35"/>
  <c r="H25" i="125"/>
  <c r="I3" i="35"/>
  <c r="N27" i="58"/>
  <c r="K27" i="58" s="1"/>
  <c r="N15" i="58"/>
  <c r="K15" i="58" s="1"/>
  <c r="N41" i="58"/>
  <c r="K41" i="58" s="1"/>
  <c r="Y48" i="125"/>
  <c r="B48" i="125"/>
  <c r="C3" i="57"/>
  <c r="K25" i="86"/>
  <c r="I85" i="125"/>
  <c r="J3" i="92"/>
  <c r="Y85" i="125"/>
  <c r="B85" i="125"/>
  <c r="C3" i="92"/>
  <c r="K14" i="108"/>
  <c r="N73" i="108"/>
  <c r="K73" i="108" s="1"/>
  <c r="D101" i="125"/>
  <c r="E3" i="108"/>
  <c r="N27" i="59"/>
  <c r="K27" i="59" s="1"/>
  <c r="N15" i="59"/>
  <c r="K15" i="59" s="1"/>
  <c r="N41" i="59"/>
  <c r="K41" i="59" s="1"/>
  <c r="N47" i="107"/>
  <c r="K47" i="107" s="1"/>
  <c r="L5" i="107"/>
  <c r="N34" i="107"/>
  <c r="K34" i="107" s="1"/>
  <c r="K40" i="26"/>
  <c r="N79" i="26"/>
  <c r="K79" i="26" s="1"/>
  <c r="N9" i="50"/>
  <c r="N46" i="50"/>
  <c r="K46" i="50" s="1"/>
  <c r="N33" i="50"/>
  <c r="K33" i="50" s="1"/>
  <c r="G5" i="50"/>
  <c r="N20" i="50"/>
  <c r="K20" i="50" s="1"/>
  <c r="L58" i="125"/>
  <c r="M3" i="66"/>
  <c r="K40" i="95"/>
  <c r="N79" i="95"/>
  <c r="K79" i="95" s="1"/>
  <c r="I84" i="125"/>
  <c r="J3" i="91"/>
  <c r="Y84" i="125"/>
  <c r="B84" i="125"/>
  <c r="C3" i="91"/>
  <c r="N66" i="100"/>
  <c r="K66" i="100" s="1"/>
  <c r="K5" i="100"/>
  <c r="N62" i="53"/>
  <c r="K62" i="53" s="1"/>
  <c r="H5" i="53"/>
  <c r="K5" i="27"/>
  <c r="N66" i="27"/>
  <c r="K66" i="27" s="1"/>
  <c r="N70" i="102"/>
  <c r="K13" i="102"/>
  <c r="I104" i="125"/>
  <c r="J3" i="111"/>
  <c r="K33" i="125"/>
  <c r="L3" i="43"/>
  <c r="I33" i="125"/>
  <c r="J3" i="43"/>
  <c r="K25" i="37"/>
  <c r="K29" i="37" s="1"/>
  <c r="K30" i="37" s="1"/>
  <c r="N29" i="37"/>
  <c r="N30" i="37" s="1"/>
  <c r="H5" i="63"/>
  <c r="N62" i="63"/>
  <c r="K62" i="63" s="1"/>
  <c r="N64" i="93"/>
  <c r="K64" i="93" s="1"/>
  <c r="J5" i="93"/>
  <c r="I90" i="125"/>
  <c r="J3" i="97"/>
  <c r="N15" i="63"/>
  <c r="K15" i="63" s="1"/>
  <c r="N27" i="63"/>
  <c r="K27" i="63" s="1"/>
  <c r="N41" i="63"/>
  <c r="K41" i="63" s="1"/>
  <c r="N15" i="33"/>
  <c r="K15" i="33" s="1"/>
  <c r="N27" i="33"/>
  <c r="K27" i="33" s="1"/>
  <c r="N41" i="33"/>
  <c r="K41" i="33" s="1"/>
  <c r="J40" i="125"/>
  <c r="K3" i="49"/>
  <c r="N63" i="87"/>
  <c r="K63" i="87" s="1"/>
  <c r="I5" i="87"/>
  <c r="N65" i="55"/>
  <c r="K65" i="55" s="1"/>
  <c r="F5" i="55"/>
  <c r="B26" i="125"/>
  <c r="C3" i="36"/>
  <c r="N65" i="25"/>
  <c r="K65" i="25" s="1"/>
  <c r="F5" i="25"/>
  <c r="F50" i="125"/>
  <c r="G3" i="59"/>
  <c r="C43" i="125"/>
  <c r="D3" i="52"/>
  <c r="N47" i="46"/>
  <c r="K47" i="46" s="1"/>
  <c r="N34" i="46"/>
  <c r="L5" i="46"/>
  <c r="H5" i="32"/>
  <c r="N62" i="32"/>
  <c r="K62" i="32" s="1"/>
  <c r="Y15" i="125"/>
  <c r="B15" i="125"/>
  <c r="C3" i="26"/>
  <c r="K15" i="125"/>
  <c r="L3" i="26"/>
  <c r="K40" i="80"/>
  <c r="N79" i="80"/>
  <c r="K79" i="80" s="1"/>
  <c r="N66" i="60"/>
  <c r="K66" i="60" s="1"/>
  <c r="K5" i="60"/>
  <c r="N62" i="34"/>
  <c r="K62" i="34" s="1"/>
  <c r="H5" i="34"/>
  <c r="N62" i="48"/>
  <c r="K62" i="48" s="1"/>
  <c r="H5" i="48"/>
  <c r="L29" i="125"/>
  <c r="M3" i="39"/>
  <c r="K14" i="46"/>
  <c r="N73" i="46"/>
  <c r="K73" i="46" s="1"/>
  <c r="N42" i="41"/>
  <c r="N43" i="41" s="1"/>
  <c r="K38" i="41"/>
  <c r="D56" i="125"/>
  <c r="E3" i="64"/>
  <c r="H56" i="125"/>
  <c r="I3" i="64"/>
  <c r="H5" i="54"/>
  <c r="N62" i="54"/>
  <c r="K62" i="54" s="1"/>
  <c r="N63" i="75"/>
  <c r="K63" i="75" s="1"/>
  <c r="I5" i="75"/>
  <c r="L44" i="125"/>
  <c r="M3" i="53"/>
  <c r="K40" i="100"/>
  <c r="N79" i="100"/>
  <c r="K79" i="100" s="1"/>
  <c r="C60" i="125"/>
  <c r="D3" i="68"/>
  <c r="K38" i="47"/>
  <c r="N42" i="47"/>
  <c r="N43" i="47" s="1"/>
  <c r="N63" i="63"/>
  <c r="K63" i="63" s="1"/>
  <c r="I5" i="63"/>
  <c r="N60" i="31"/>
  <c r="K60" i="31" s="1"/>
  <c r="E5" i="31"/>
  <c r="N63" i="81"/>
  <c r="K63" i="81" s="1"/>
  <c r="I5" i="81"/>
  <c r="L17" i="125"/>
  <c r="M3" i="28"/>
  <c r="O3" i="28" s="1"/>
  <c r="O5" i="28" s="1"/>
  <c r="D64" i="125"/>
  <c r="E3" i="72"/>
  <c r="H64" i="125"/>
  <c r="I3" i="72"/>
  <c r="E92" i="125"/>
  <c r="F3" i="99"/>
  <c r="N59" i="80"/>
  <c r="K59" i="80" s="1"/>
  <c r="D5" i="80"/>
  <c r="H54" i="125"/>
  <c r="I3" i="62"/>
  <c r="C54" i="125"/>
  <c r="D3" i="62"/>
  <c r="N60" i="77"/>
  <c r="K60" i="77" s="1"/>
  <c r="E5" i="77"/>
  <c r="K14" i="67"/>
  <c r="N73" i="67"/>
  <c r="K73" i="67" s="1"/>
  <c r="N63" i="50"/>
  <c r="K63" i="50" s="1"/>
  <c r="I5" i="50"/>
  <c r="N16" i="25"/>
  <c r="N17" i="25" s="1"/>
  <c r="K13" i="25"/>
  <c r="K16" i="25" s="1"/>
  <c r="K17" i="25" s="1"/>
  <c r="N70" i="25"/>
  <c r="C5" i="41"/>
  <c r="N45" i="41"/>
  <c r="K45" i="41" s="1"/>
  <c r="N19" i="41"/>
  <c r="N32" i="41"/>
  <c r="O3" i="41"/>
  <c r="O5" i="41" s="1"/>
  <c r="N8" i="41"/>
  <c r="N41" i="90"/>
  <c r="K41" i="90" s="1"/>
  <c r="N15" i="90"/>
  <c r="K15" i="90" s="1"/>
  <c r="N27" i="90"/>
  <c r="K27" i="90" s="1"/>
  <c r="K40" i="27"/>
  <c r="N79" i="27"/>
  <c r="K79" i="27" s="1"/>
  <c r="N25" i="42"/>
  <c r="N51" i="42"/>
  <c r="O4" i="42"/>
  <c r="N38" i="42"/>
  <c r="N13" i="42"/>
  <c r="N34" i="100"/>
  <c r="N47" i="100"/>
  <c r="K47" i="100" s="1"/>
  <c r="L5" i="100"/>
  <c r="N64" i="76"/>
  <c r="K64" i="76" s="1"/>
  <c r="J5" i="76"/>
  <c r="K14" i="54"/>
  <c r="N73" i="54"/>
  <c r="K73" i="54" s="1"/>
  <c r="N19" i="18"/>
  <c r="N32" i="18"/>
  <c r="C5" i="18"/>
  <c r="N45" i="18"/>
  <c r="K45" i="18" s="1"/>
  <c r="N8" i="18"/>
  <c r="O3" i="18"/>
  <c r="O5" i="18" s="1"/>
  <c r="N16" i="29"/>
  <c r="N17" i="29" s="1"/>
  <c r="K13" i="29"/>
  <c r="N70" i="29"/>
  <c r="H5" i="81"/>
  <c r="N62" i="81"/>
  <c r="K62" i="81" s="1"/>
  <c r="K5" i="69"/>
  <c r="N66" i="69"/>
  <c r="K66" i="69" s="1"/>
  <c r="K38" i="18"/>
  <c r="N42" i="18"/>
  <c r="N43" i="18" s="1"/>
  <c r="K25" i="33"/>
  <c r="K53" i="125"/>
  <c r="L3" i="61"/>
  <c r="F53" i="125"/>
  <c r="G3" i="61"/>
  <c r="K13" i="125"/>
  <c r="L3" i="24"/>
  <c r="N47" i="80"/>
  <c r="K47" i="80" s="1"/>
  <c r="N34" i="80"/>
  <c r="K34" i="80" s="1"/>
  <c r="L5" i="80"/>
  <c r="K14" i="85"/>
  <c r="N73" i="85"/>
  <c r="K73" i="85" s="1"/>
  <c r="J5" i="55"/>
  <c r="N64" i="55"/>
  <c r="K64" i="55" s="1"/>
  <c r="N47" i="78"/>
  <c r="K47" i="78" s="1"/>
  <c r="N34" i="78"/>
  <c r="L5" i="78"/>
  <c r="N66" i="46"/>
  <c r="K66" i="46" s="1"/>
  <c r="K5" i="46"/>
  <c r="K5" i="32"/>
  <c r="N66" i="32"/>
  <c r="K66" i="32" s="1"/>
  <c r="K87" i="125"/>
  <c r="L3" i="94"/>
  <c r="D87" i="125"/>
  <c r="E3" i="94"/>
  <c r="N8" i="23"/>
  <c r="N32" i="23"/>
  <c r="N45" i="23"/>
  <c r="K45" i="23" s="1"/>
  <c r="O3" i="23"/>
  <c r="N19" i="23"/>
  <c r="C5" i="23"/>
  <c r="N34" i="58"/>
  <c r="L5" i="58"/>
  <c r="N47" i="58"/>
  <c r="K47" i="58" s="1"/>
  <c r="N66" i="41"/>
  <c r="K66" i="41" s="1"/>
  <c r="K5" i="41"/>
  <c r="K5" i="39"/>
  <c r="N66" i="39"/>
  <c r="K66" i="39" s="1"/>
  <c r="N25" i="74"/>
  <c r="N13" i="74"/>
  <c r="N51" i="74"/>
  <c r="N38" i="74"/>
  <c r="O4" i="74"/>
  <c r="C97" i="125"/>
  <c r="D3" i="104"/>
  <c r="N63" i="102"/>
  <c r="K63" i="102" s="1"/>
  <c r="I5" i="102"/>
  <c r="K5" i="54"/>
  <c r="N66" i="54"/>
  <c r="K66" i="54" s="1"/>
  <c r="F5" i="105"/>
  <c r="N65" i="105"/>
  <c r="K65" i="105" s="1"/>
  <c r="L68" i="125"/>
  <c r="M3" i="76"/>
  <c r="B34" i="125"/>
  <c r="C3" i="44"/>
  <c r="K99" i="125"/>
  <c r="L3" i="106"/>
  <c r="F99" i="125"/>
  <c r="G3" i="106"/>
  <c r="N42" i="101"/>
  <c r="N43" i="101" s="1"/>
  <c r="K38" i="101"/>
  <c r="K14" i="55"/>
  <c r="N73" i="55"/>
  <c r="K73" i="55" s="1"/>
  <c r="N60" i="93"/>
  <c r="K60" i="93" s="1"/>
  <c r="E5" i="93"/>
  <c r="K40" i="70"/>
  <c r="N79" i="70"/>
  <c r="K79" i="70" s="1"/>
  <c r="H57" i="125"/>
  <c r="I3" i="65"/>
  <c r="N9" i="86"/>
  <c r="N33" i="86"/>
  <c r="K33" i="86" s="1"/>
  <c r="G5" i="86"/>
  <c r="N46" i="86"/>
  <c r="K46" i="86" s="1"/>
  <c r="N20" i="86"/>
  <c r="K20" i="86" s="1"/>
  <c r="L5" i="55"/>
  <c r="N34" i="55"/>
  <c r="N47" i="55"/>
  <c r="K47" i="55" s="1"/>
  <c r="N20" i="25"/>
  <c r="K20" i="25" s="1"/>
  <c r="G5" i="25"/>
  <c r="N33" i="25"/>
  <c r="K33" i="25" s="1"/>
  <c r="N9" i="25"/>
  <c r="N46" i="25"/>
  <c r="K46" i="25" s="1"/>
  <c r="G89" i="125"/>
  <c r="H3" i="96"/>
  <c r="N65" i="90"/>
  <c r="K65" i="90" s="1"/>
  <c r="F5" i="90"/>
  <c r="K40" i="56"/>
  <c r="N79" i="56"/>
  <c r="K79" i="56" s="1"/>
  <c r="N13" i="80"/>
  <c r="O4" i="80"/>
  <c r="N38" i="80"/>
  <c r="N51" i="80"/>
  <c r="N25" i="80"/>
  <c r="K5" i="23"/>
  <c r="N66" i="23"/>
  <c r="K66" i="23" s="1"/>
  <c r="N45" i="34"/>
  <c r="N19" i="34"/>
  <c r="N8" i="34"/>
  <c r="N32" i="34"/>
  <c r="C5" i="34"/>
  <c r="O3" i="34"/>
  <c r="F5" i="110"/>
  <c r="N65" i="110"/>
  <c r="K65" i="110" s="1"/>
  <c r="C10" i="125"/>
  <c r="D3" i="21"/>
  <c r="Y10" i="125"/>
  <c r="G10" i="125"/>
  <c r="H3" i="21"/>
  <c r="K40" i="110"/>
  <c r="N79" i="110"/>
  <c r="K79" i="110" s="1"/>
  <c r="N25" i="76"/>
  <c r="N13" i="76"/>
  <c r="N38" i="76"/>
  <c r="O4" i="76"/>
  <c r="N51" i="76"/>
  <c r="H96" i="125"/>
  <c r="I3" i="103"/>
  <c r="K14" i="106"/>
  <c r="N73" i="106"/>
  <c r="K73" i="106" s="1"/>
  <c r="N66" i="82"/>
  <c r="K66" i="82" s="1"/>
  <c r="K5" i="82"/>
  <c r="N20" i="18"/>
  <c r="K20" i="18" s="1"/>
  <c r="N9" i="18"/>
  <c r="G5" i="18"/>
  <c r="N33" i="18"/>
  <c r="K33" i="18" s="1"/>
  <c r="N46" i="18"/>
  <c r="K46" i="18" s="1"/>
  <c r="K40" i="30"/>
  <c r="N79" i="30"/>
  <c r="K79" i="30" s="1"/>
  <c r="H28" i="125"/>
  <c r="I3" i="38"/>
  <c r="I28" i="125"/>
  <c r="J3" i="38"/>
  <c r="N25" i="34"/>
  <c r="O4" i="34"/>
  <c r="N13" i="34"/>
  <c r="N51" i="34"/>
  <c r="N38" i="34"/>
  <c r="L72" i="125"/>
  <c r="M3" i="80"/>
  <c r="O3" i="80" s="1"/>
  <c r="E77" i="125"/>
  <c r="F3" i="85"/>
  <c r="H77" i="125"/>
  <c r="I3" i="85"/>
  <c r="N47" i="77"/>
  <c r="K47" i="77" s="1"/>
  <c r="L5" i="77"/>
  <c r="N34" i="77"/>
  <c r="K34" i="77" s="1"/>
  <c r="N20" i="29"/>
  <c r="K20" i="29" s="1"/>
  <c r="N33" i="29"/>
  <c r="K33" i="29" s="1"/>
  <c r="G5" i="29"/>
  <c r="N9" i="29"/>
  <c r="N46" i="29"/>
  <c r="K46" i="29" s="1"/>
  <c r="N16" i="56"/>
  <c r="N17" i="56" s="1"/>
  <c r="K13" i="56"/>
  <c r="K16" i="56" s="1"/>
  <c r="K17" i="56" s="1"/>
  <c r="N70" i="56"/>
  <c r="N65" i="107"/>
  <c r="K65" i="107" s="1"/>
  <c r="F5" i="107"/>
  <c r="N27" i="83"/>
  <c r="K27" i="83" s="1"/>
  <c r="N41" i="83"/>
  <c r="K41" i="83" s="1"/>
  <c r="N15" i="83"/>
  <c r="K15" i="83" s="1"/>
  <c r="N47" i="73"/>
  <c r="K47" i="73" s="1"/>
  <c r="N34" i="73"/>
  <c r="L5" i="73"/>
  <c r="I5" i="48"/>
  <c r="N63" i="48"/>
  <c r="K63" i="48" s="1"/>
  <c r="H5" i="110"/>
  <c r="N62" i="110"/>
  <c r="K62" i="110" s="1"/>
  <c r="G88" i="125"/>
  <c r="H3" i="95"/>
  <c r="B88" i="125"/>
  <c r="C3" i="95"/>
  <c r="B66" i="125"/>
  <c r="C3" i="74"/>
  <c r="C66" i="125"/>
  <c r="D3" i="74"/>
  <c r="E42" i="125"/>
  <c r="F3" i="51"/>
  <c r="N60" i="75"/>
  <c r="K60" i="75" s="1"/>
  <c r="E5" i="75"/>
  <c r="N64" i="105"/>
  <c r="K64" i="105" s="1"/>
  <c r="J5" i="105"/>
  <c r="H8" i="125"/>
  <c r="I3" i="19"/>
  <c r="J8" i="125"/>
  <c r="K3" i="19"/>
  <c r="N63" i="18"/>
  <c r="K63" i="18" s="1"/>
  <c r="I5" i="18"/>
  <c r="K25" i="55"/>
  <c r="N29" i="55"/>
  <c r="N30" i="55" s="1"/>
  <c r="H5" i="93"/>
  <c r="N62" i="93"/>
  <c r="K62" i="93" s="1"/>
  <c r="N51" i="30"/>
  <c r="N38" i="30"/>
  <c r="N25" i="30"/>
  <c r="N13" i="30"/>
  <c r="O4" i="30"/>
  <c r="G94" i="125"/>
  <c r="H3" i="101"/>
  <c r="N60" i="37"/>
  <c r="K60" i="37" s="1"/>
  <c r="E5" i="37"/>
  <c r="F38" i="125"/>
  <c r="G3" i="47"/>
  <c r="N25" i="89"/>
  <c r="N13" i="89"/>
  <c r="N51" i="89"/>
  <c r="O4" i="89"/>
  <c r="N38" i="89"/>
  <c r="K38" i="63"/>
  <c r="K25" i="93"/>
  <c r="K29" i="93" s="1"/>
  <c r="K30" i="93" s="1"/>
  <c r="N29" i="93"/>
  <c r="N30" i="93" s="1"/>
  <c r="K20" i="125"/>
  <c r="L3" i="30"/>
  <c r="C82" i="125"/>
  <c r="D3" i="89"/>
  <c r="Y82" i="125"/>
  <c r="F82" i="125"/>
  <c r="G3" i="89"/>
  <c r="E5" i="87"/>
  <c r="N60" i="87"/>
  <c r="K60" i="87" s="1"/>
  <c r="N41" i="108"/>
  <c r="K41" i="108" s="1"/>
  <c r="N27" i="108"/>
  <c r="K27" i="108" s="1"/>
  <c r="N15" i="108"/>
  <c r="K15" i="108" s="1"/>
  <c r="N21" i="25"/>
  <c r="K21" i="25" s="1"/>
  <c r="N10" i="25"/>
  <c r="M5" i="25"/>
  <c r="N35" i="25"/>
  <c r="K35" i="25" s="1"/>
  <c r="F59" i="125"/>
  <c r="G3" i="67"/>
  <c r="K13" i="79"/>
  <c r="N70" i="79"/>
  <c r="N9" i="90"/>
  <c r="G5" i="90"/>
  <c r="N33" i="90"/>
  <c r="K33" i="90" s="1"/>
  <c r="N46" i="90"/>
  <c r="K46" i="90" s="1"/>
  <c r="N20" i="90"/>
  <c r="K20" i="90" s="1"/>
  <c r="F47" i="125"/>
  <c r="G3" i="56"/>
  <c r="Y47" i="125"/>
  <c r="B47" i="125"/>
  <c r="C3" i="56"/>
  <c r="F11" i="125"/>
  <c r="G3" i="22"/>
  <c r="E11" i="125"/>
  <c r="F3" i="22"/>
  <c r="H6" i="125"/>
  <c r="U105" i="125"/>
  <c r="U107" i="125" s="1"/>
  <c r="I3" i="16"/>
  <c r="I3" i="17"/>
  <c r="I6" i="125"/>
  <c r="V105" i="125"/>
  <c r="V107" i="125" s="1"/>
  <c r="J3" i="16"/>
  <c r="J3" i="17"/>
  <c r="L5" i="83"/>
  <c r="N34" i="83"/>
  <c r="N47" i="83"/>
  <c r="K47" i="83" s="1"/>
  <c r="N34" i="87"/>
  <c r="L5" i="87"/>
  <c r="N47" i="87"/>
  <c r="K47" i="87" s="1"/>
  <c r="K14" i="36"/>
  <c r="N73" i="36"/>
  <c r="K73" i="36" s="1"/>
  <c r="N41" i="79"/>
  <c r="K41" i="79" s="1"/>
  <c r="N15" i="79"/>
  <c r="K15" i="79" s="1"/>
  <c r="N27" i="79"/>
  <c r="K27" i="79" s="1"/>
  <c r="K71" i="125"/>
  <c r="L3" i="79"/>
  <c r="N63" i="20"/>
  <c r="K63" i="20" s="1"/>
  <c r="I5" i="20"/>
  <c r="N27" i="91"/>
  <c r="K27" i="91" s="1"/>
  <c r="N41" i="91"/>
  <c r="K41" i="91" s="1"/>
  <c r="N15" i="91"/>
  <c r="K15" i="91" s="1"/>
  <c r="N47" i="39"/>
  <c r="K47" i="39" s="1"/>
  <c r="N34" i="39"/>
  <c r="K34" i="39" s="1"/>
  <c r="L5" i="39"/>
  <c r="K38" i="90"/>
  <c r="K40" i="103"/>
  <c r="N79" i="103"/>
  <c r="K79" i="103" s="1"/>
  <c r="N27" i="53"/>
  <c r="K27" i="53" s="1"/>
  <c r="N41" i="53"/>
  <c r="K41" i="53" s="1"/>
  <c r="N15" i="53"/>
  <c r="K15" i="53" s="1"/>
  <c r="N13" i="84"/>
  <c r="N51" i="84"/>
  <c r="N38" i="84"/>
  <c r="N25" i="84"/>
  <c r="O4" i="84"/>
  <c r="O4" i="106"/>
  <c r="L93" i="125"/>
  <c r="M3" i="100"/>
  <c r="O3" i="100" s="1"/>
  <c r="O5" i="100" s="1"/>
  <c r="N8" i="27"/>
  <c r="N45" i="27"/>
  <c r="N19" i="27"/>
  <c r="C5" i="27"/>
  <c r="O3" i="27"/>
  <c r="O5" i="27" s="1"/>
  <c r="N32" i="27"/>
  <c r="I32" i="125"/>
  <c r="J3" i="42"/>
  <c r="C32" i="125"/>
  <c r="D3" i="42"/>
  <c r="K40" i="75"/>
  <c r="N79" i="75"/>
  <c r="K79" i="75" s="1"/>
  <c r="N73" i="81"/>
  <c r="K73" i="81" s="1"/>
  <c r="K14" i="81"/>
  <c r="N9" i="63"/>
  <c r="K9" i="63" s="1"/>
  <c r="N20" i="63"/>
  <c r="K20" i="63" s="1"/>
  <c r="N33" i="63"/>
  <c r="K33" i="63" s="1"/>
  <c r="G5" i="63"/>
  <c r="N46" i="63"/>
  <c r="K46" i="63" s="1"/>
  <c r="K40" i="55"/>
  <c r="N79" i="55"/>
  <c r="K79" i="55" s="1"/>
  <c r="N47" i="33"/>
  <c r="K47" i="33" s="1"/>
  <c r="L5" i="33"/>
  <c r="N34" i="33"/>
  <c r="C5" i="37"/>
  <c r="N8" i="37"/>
  <c r="O3" i="37"/>
  <c r="O5" i="37" s="1"/>
  <c r="N32" i="37"/>
  <c r="N19" i="37"/>
  <c r="N45" i="37"/>
  <c r="K45" i="37" s="1"/>
  <c r="N63" i="69"/>
  <c r="K63" i="69" s="1"/>
  <c r="I5" i="69"/>
  <c r="K40" i="33"/>
  <c r="N79" i="33"/>
  <c r="K79" i="33" s="1"/>
  <c r="D25" i="125"/>
  <c r="E3" i="35"/>
  <c r="G25" i="125"/>
  <c r="H3" i="35"/>
  <c r="N32" i="69"/>
  <c r="C5" i="69"/>
  <c r="N45" i="69"/>
  <c r="N19" i="69"/>
  <c r="N8" i="69"/>
  <c r="O3" i="69"/>
  <c r="O5" i="69" s="1"/>
  <c r="N62" i="18"/>
  <c r="K62" i="18" s="1"/>
  <c r="H5" i="18"/>
  <c r="L39" i="125"/>
  <c r="M3" i="48"/>
  <c r="O3" i="48" s="1"/>
  <c r="O5" i="48" s="1"/>
  <c r="N25" i="57"/>
  <c r="N13" i="57"/>
  <c r="N51" i="57"/>
  <c r="O4" i="57"/>
  <c r="N38" i="57"/>
  <c r="I48" i="125"/>
  <c r="J3" i="57"/>
  <c r="H48" i="125"/>
  <c r="I3" i="57"/>
  <c r="O4" i="86"/>
  <c r="F5" i="100"/>
  <c r="N65" i="100"/>
  <c r="K65" i="100" s="1"/>
  <c r="N60" i="53"/>
  <c r="K60" i="53" s="1"/>
  <c r="E5" i="53"/>
  <c r="H5" i="82"/>
  <c r="N62" i="82"/>
  <c r="K62" i="82" s="1"/>
  <c r="K14" i="34"/>
  <c r="N73" i="34"/>
  <c r="K73" i="34" s="1"/>
  <c r="G85" i="125"/>
  <c r="H3" i="92"/>
  <c r="H85" i="125"/>
  <c r="I3" i="92"/>
  <c r="N16" i="18" l="1"/>
  <c r="N17" i="18" s="1"/>
  <c r="M3" i="101"/>
  <c r="K16" i="47"/>
  <c r="K17" i="47" s="1"/>
  <c r="N29" i="102"/>
  <c r="N30" i="102" s="1"/>
  <c r="K16" i="33"/>
  <c r="K17" i="33" s="1"/>
  <c r="N16" i="75"/>
  <c r="N17" i="75" s="1"/>
  <c r="N70" i="84"/>
  <c r="N80" i="84" s="1"/>
  <c r="N81" i="84" s="1"/>
  <c r="N70" i="16"/>
  <c r="N29" i="33"/>
  <c r="N30" i="33" s="1"/>
  <c r="O5" i="58"/>
  <c r="N70" i="49"/>
  <c r="K29" i="33"/>
  <c r="K30" i="33" s="1"/>
  <c r="K16" i="48"/>
  <c r="K17" i="48" s="1"/>
  <c r="N70" i="43"/>
  <c r="O5" i="50"/>
  <c r="O5" i="107"/>
  <c r="N70" i="81"/>
  <c r="N58" i="86"/>
  <c r="K58" i="86" s="1"/>
  <c r="N42" i="86"/>
  <c r="N43" i="86" s="1"/>
  <c r="K42" i="86"/>
  <c r="K43" i="86" s="1"/>
  <c r="K42" i="102"/>
  <c r="K43" i="102" s="1"/>
  <c r="N54" i="110"/>
  <c r="K54" i="110" s="1"/>
  <c r="N42" i="102"/>
  <c r="N43" i="102" s="1"/>
  <c r="K42" i="101"/>
  <c r="K43" i="101" s="1"/>
  <c r="N70" i="74"/>
  <c r="K42" i="78"/>
  <c r="K43" i="78" s="1"/>
  <c r="N70" i="80"/>
  <c r="N54" i="105"/>
  <c r="K54" i="105" s="1"/>
  <c r="K44" i="118"/>
  <c r="N44" i="118" s="1"/>
  <c r="N29" i="106"/>
  <c r="N30" i="106" s="1"/>
  <c r="K29" i="78"/>
  <c r="K30" i="78" s="1"/>
  <c r="N70" i="99"/>
  <c r="K70" i="99" s="1"/>
  <c r="K80" i="99" s="1"/>
  <c r="K81" i="99" s="1"/>
  <c r="K16" i="71"/>
  <c r="K17" i="71" s="1"/>
  <c r="K16" i="102"/>
  <c r="K17" i="102" s="1"/>
  <c r="N16" i="78"/>
  <c r="N17" i="78" s="1"/>
  <c r="K16" i="78"/>
  <c r="K17" i="78" s="1"/>
  <c r="K16" i="70"/>
  <c r="K17" i="70" s="1"/>
  <c r="N16" i="102"/>
  <c r="N17" i="102" s="1"/>
  <c r="N16" i="79"/>
  <c r="N17" i="79" s="1"/>
  <c r="N16" i="86"/>
  <c r="N17" i="86" s="1"/>
  <c r="K80" i="106"/>
  <c r="K81" i="106" s="1"/>
  <c r="N70" i="92"/>
  <c r="K70" i="92" s="1"/>
  <c r="K80" i="92" s="1"/>
  <c r="K81" i="92" s="1"/>
  <c r="N70" i="82"/>
  <c r="N70" i="73"/>
  <c r="N42" i="63"/>
  <c r="N43" i="63" s="1"/>
  <c r="K42" i="62"/>
  <c r="K43" i="62" s="1"/>
  <c r="K29" i="55"/>
  <c r="K30" i="55" s="1"/>
  <c r="N29" i="40"/>
  <c r="N30" i="40" s="1"/>
  <c r="N29" i="48"/>
  <c r="N30" i="48" s="1"/>
  <c r="N54" i="52"/>
  <c r="K29" i="48"/>
  <c r="K30" i="48" s="1"/>
  <c r="N70" i="35"/>
  <c r="N80" i="35" s="1"/>
  <c r="N81" i="35" s="1"/>
  <c r="N58" i="45"/>
  <c r="K58" i="45" s="1"/>
  <c r="K16" i="32"/>
  <c r="K17" i="32" s="1"/>
  <c r="N16" i="32"/>
  <c r="N17" i="32" s="1"/>
  <c r="N54" i="48"/>
  <c r="N70" i="64"/>
  <c r="N80" i="64" s="1"/>
  <c r="N81" i="64" s="1"/>
  <c r="N54" i="54"/>
  <c r="K54" i="54" s="1"/>
  <c r="N70" i="28"/>
  <c r="K42" i="18"/>
  <c r="K43" i="18" s="1"/>
  <c r="N42" i="26"/>
  <c r="N43" i="26" s="1"/>
  <c r="N70" i="24"/>
  <c r="K16" i="22"/>
  <c r="K17" i="22" s="1"/>
  <c r="N16" i="22"/>
  <c r="N17" i="22" s="1"/>
  <c r="K16" i="29"/>
  <c r="K17" i="29" s="1"/>
  <c r="N58" i="81"/>
  <c r="K58" i="81" s="1"/>
  <c r="N70" i="30"/>
  <c r="K70" i="30" s="1"/>
  <c r="K80" i="30" s="1"/>
  <c r="K81" i="30" s="1"/>
  <c r="N54" i="25"/>
  <c r="K54" i="25" s="1"/>
  <c r="K55" i="25" s="1"/>
  <c r="K56" i="25" s="1"/>
  <c r="N58" i="76"/>
  <c r="K58" i="76" s="1"/>
  <c r="K42" i="26"/>
  <c r="K43" i="26" s="1"/>
  <c r="N29" i="98"/>
  <c r="N30" i="98" s="1"/>
  <c r="K42" i="106"/>
  <c r="K43" i="106" s="1"/>
  <c r="N42" i="90"/>
  <c r="N43" i="90" s="1"/>
  <c r="N70" i="57"/>
  <c r="K70" i="57" s="1"/>
  <c r="K80" i="57" s="1"/>
  <c r="K81" i="57" s="1"/>
  <c r="N54" i="90"/>
  <c r="K54" i="90" s="1"/>
  <c r="K55" i="90" s="1"/>
  <c r="K56" i="90" s="1"/>
  <c r="N70" i="108"/>
  <c r="K70" i="108" s="1"/>
  <c r="K80" i="108" s="1"/>
  <c r="K81" i="108" s="1"/>
  <c r="N42" i="87"/>
  <c r="N43" i="87" s="1"/>
  <c r="N70" i="23"/>
  <c r="K70" i="23" s="1"/>
  <c r="K80" i="23" s="1"/>
  <c r="K81" i="23" s="1"/>
  <c r="N70" i="107"/>
  <c r="K70" i="107" s="1"/>
  <c r="K80" i="107" s="1"/>
  <c r="K81" i="107" s="1"/>
  <c r="N58" i="50"/>
  <c r="K58" i="50" s="1"/>
  <c r="N70" i="51"/>
  <c r="K70" i="51" s="1"/>
  <c r="K80" i="51" s="1"/>
  <c r="K81" i="51" s="1"/>
  <c r="N16" i="83"/>
  <c r="N17" i="83" s="1"/>
  <c r="O5" i="84"/>
  <c r="N54" i="75"/>
  <c r="N67" i="37"/>
  <c r="K67" i="37" s="1"/>
  <c r="N54" i="86"/>
  <c r="O5" i="34"/>
  <c r="N29" i="86"/>
  <c r="N30" i="86" s="1"/>
  <c r="O5" i="46"/>
  <c r="N67" i="40"/>
  <c r="K67" i="40" s="1"/>
  <c r="N16" i="45"/>
  <c r="N17" i="45" s="1"/>
  <c r="N67" i="84"/>
  <c r="K67" i="84" s="1"/>
  <c r="K16" i="26"/>
  <c r="K17" i="26" s="1"/>
  <c r="N54" i="73"/>
  <c r="K54" i="73" s="1"/>
  <c r="N70" i="77"/>
  <c r="N80" i="77" s="1"/>
  <c r="N81" i="77" s="1"/>
  <c r="N42" i="75"/>
  <c r="N43" i="75" s="1"/>
  <c r="N67" i="90"/>
  <c r="K67" i="90" s="1"/>
  <c r="N54" i="39"/>
  <c r="K54" i="39" s="1"/>
  <c r="K92" i="118"/>
  <c r="N92" i="118" s="1"/>
  <c r="N88" i="124" s="1"/>
  <c r="N70" i="100"/>
  <c r="N80" i="100" s="1"/>
  <c r="N81" i="100" s="1"/>
  <c r="N61" i="63"/>
  <c r="K61" i="63" s="1"/>
  <c r="K16" i="79"/>
  <c r="K17" i="79" s="1"/>
  <c r="N70" i="89"/>
  <c r="K70" i="89" s="1"/>
  <c r="K80" i="89" s="1"/>
  <c r="K81" i="89" s="1"/>
  <c r="K29" i="86"/>
  <c r="K30" i="86" s="1"/>
  <c r="N54" i="43"/>
  <c r="K54" i="43" s="1"/>
  <c r="O5" i="70"/>
  <c r="N54" i="81"/>
  <c r="K54" i="81" s="1"/>
  <c r="N54" i="95"/>
  <c r="K54" i="95" s="1"/>
  <c r="N54" i="24"/>
  <c r="K54" i="24" s="1"/>
  <c r="N70" i="17"/>
  <c r="K70" i="17" s="1"/>
  <c r="K16" i="18"/>
  <c r="K17" i="18" s="1"/>
  <c r="O5" i="60"/>
  <c r="N54" i="64"/>
  <c r="K54" i="64" s="1"/>
  <c r="N29" i="18"/>
  <c r="N30" i="18" s="1"/>
  <c r="N70" i="68"/>
  <c r="K70" i="68" s="1"/>
  <c r="K80" i="68" s="1"/>
  <c r="K81" i="68" s="1"/>
  <c r="N61" i="60"/>
  <c r="K61" i="60" s="1"/>
  <c r="N42" i="48"/>
  <c r="N43" i="48" s="1"/>
  <c r="N54" i="99"/>
  <c r="K54" i="99" s="1"/>
  <c r="K42" i="90"/>
  <c r="K43" i="90" s="1"/>
  <c r="N70" i="58"/>
  <c r="K70" i="58" s="1"/>
  <c r="K80" i="58" s="1"/>
  <c r="K81" i="58" s="1"/>
  <c r="N54" i="107"/>
  <c r="K54" i="107" s="1"/>
  <c r="N54" i="97"/>
  <c r="K54" i="97" s="1"/>
  <c r="N42" i="109"/>
  <c r="N43" i="109" s="1"/>
  <c r="N61" i="84"/>
  <c r="K61" i="84" s="1"/>
  <c r="N54" i="36"/>
  <c r="K54" i="36" s="1"/>
  <c r="N16" i="101"/>
  <c r="N17" i="101" s="1"/>
  <c r="N54" i="67"/>
  <c r="K54" i="67" s="1"/>
  <c r="K55" i="67" s="1"/>
  <c r="K56" i="67" s="1"/>
  <c r="N61" i="73"/>
  <c r="K61" i="73" s="1"/>
  <c r="N54" i="68"/>
  <c r="K54" i="68" s="1"/>
  <c r="N42" i="55"/>
  <c r="N43" i="55" s="1"/>
  <c r="I105" i="125"/>
  <c r="I107" i="125" s="1"/>
  <c r="N67" i="77"/>
  <c r="K67" i="77" s="1"/>
  <c r="O5" i="80"/>
  <c r="K16" i="87"/>
  <c r="K17" i="87" s="1"/>
  <c r="N70" i="44"/>
  <c r="N80" i="44" s="1"/>
  <c r="N81" i="44" s="1"/>
  <c r="N70" i="65"/>
  <c r="K70" i="65" s="1"/>
  <c r="K80" i="65" s="1"/>
  <c r="K81" i="65" s="1"/>
  <c r="N70" i="54"/>
  <c r="K70" i="54" s="1"/>
  <c r="K80" i="54" s="1"/>
  <c r="K81" i="54" s="1"/>
  <c r="K29" i="102"/>
  <c r="K30" i="102" s="1"/>
  <c r="N70" i="19"/>
  <c r="N80" i="19" s="1"/>
  <c r="N81" i="19" s="1"/>
  <c r="N54" i="102"/>
  <c r="K54" i="102" s="1"/>
  <c r="K55" i="102" s="1"/>
  <c r="K56" i="102" s="1"/>
  <c r="N67" i="110"/>
  <c r="K67" i="110" s="1"/>
  <c r="N54" i="32"/>
  <c r="K54" i="32" s="1"/>
  <c r="K55" i="32" s="1"/>
  <c r="K56" i="32" s="1"/>
  <c r="N80" i="107"/>
  <c r="N81" i="107" s="1"/>
  <c r="K70" i="80"/>
  <c r="K80" i="80" s="1"/>
  <c r="K81" i="80" s="1"/>
  <c r="N80" i="80"/>
  <c r="N81" i="80" s="1"/>
  <c r="N80" i="92"/>
  <c r="N81" i="92" s="1"/>
  <c r="K70" i="100"/>
  <c r="K80" i="100" s="1"/>
  <c r="K81" i="100" s="1"/>
  <c r="K70" i="35"/>
  <c r="K80" i="35" s="1"/>
  <c r="K81" i="35" s="1"/>
  <c r="K8" i="69"/>
  <c r="N58" i="69"/>
  <c r="K70" i="84"/>
  <c r="K80" i="84" s="1"/>
  <c r="K81" i="84" s="1"/>
  <c r="N63" i="85"/>
  <c r="K63" i="85" s="1"/>
  <c r="I5" i="85"/>
  <c r="N59" i="30"/>
  <c r="K59" i="30" s="1"/>
  <c r="D5" i="30"/>
  <c r="K9" i="110"/>
  <c r="N61" i="110"/>
  <c r="K61" i="110" s="1"/>
  <c r="K70" i="78"/>
  <c r="N80" i="78"/>
  <c r="N81" i="78" s="1"/>
  <c r="N58" i="53"/>
  <c r="K8" i="53"/>
  <c r="N33" i="42"/>
  <c r="K33" i="42" s="1"/>
  <c r="N20" i="42"/>
  <c r="K20" i="42" s="1"/>
  <c r="N46" i="42"/>
  <c r="K46" i="42" s="1"/>
  <c r="N9" i="42"/>
  <c r="K9" i="42" s="1"/>
  <c r="G5" i="42"/>
  <c r="K19" i="37"/>
  <c r="N60" i="35"/>
  <c r="K60" i="35" s="1"/>
  <c r="E5" i="35"/>
  <c r="K32" i="37"/>
  <c r="L5" i="79"/>
  <c r="N47" i="79"/>
  <c r="K47" i="79" s="1"/>
  <c r="N34" i="79"/>
  <c r="K34" i="79" s="1"/>
  <c r="N46" i="22"/>
  <c r="K46" i="22" s="1"/>
  <c r="N20" i="22"/>
  <c r="K20" i="22" s="1"/>
  <c r="G5" i="22"/>
  <c r="N33" i="22"/>
  <c r="K33" i="22" s="1"/>
  <c r="N9" i="22"/>
  <c r="K9" i="22" s="1"/>
  <c r="L5" i="30"/>
  <c r="N34" i="30"/>
  <c r="K34" i="30" s="1"/>
  <c r="N47" i="30"/>
  <c r="K47" i="30" s="1"/>
  <c r="N62" i="101"/>
  <c r="K62" i="101" s="1"/>
  <c r="H5" i="101"/>
  <c r="I5" i="19"/>
  <c r="N63" i="19"/>
  <c r="K63" i="19" s="1"/>
  <c r="D5" i="74"/>
  <c r="N59" i="74"/>
  <c r="K59" i="74" s="1"/>
  <c r="N42" i="34"/>
  <c r="N43" i="34" s="1"/>
  <c r="K38" i="34"/>
  <c r="K42" i="34" s="1"/>
  <c r="K43" i="34" s="1"/>
  <c r="L10" i="125"/>
  <c r="M3" i="21"/>
  <c r="K32" i="34"/>
  <c r="K51" i="80"/>
  <c r="N62" i="96"/>
  <c r="K62" i="96" s="1"/>
  <c r="H5" i="96"/>
  <c r="K34" i="55"/>
  <c r="N67" i="55"/>
  <c r="K67" i="55" s="1"/>
  <c r="O5" i="23"/>
  <c r="N59" i="62"/>
  <c r="K59" i="62" s="1"/>
  <c r="D5" i="62"/>
  <c r="N63" i="72"/>
  <c r="K63" i="72" s="1"/>
  <c r="I5" i="72"/>
  <c r="I5" i="64"/>
  <c r="N63" i="64"/>
  <c r="K63" i="64" s="1"/>
  <c r="N10" i="39"/>
  <c r="K10" i="39" s="1"/>
  <c r="N35" i="39"/>
  <c r="K35" i="39" s="1"/>
  <c r="N21" i="39"/>
  <c r="K21" i="39" s="1"/>
  <c r="M5" i="39"/>
  <c r="K5" i="49"/>
  <c r="N66" i="49"/>
  <c r="K66" i="49" s="1"/>
  <c r="M5" i="66"/>
  <c r="N35" i="66"/>
  <c r="K35" i="66" s="1"/>
  <c r="N10" i="66"/>
  <c r="K10" i="66" s="1"/>
  <c r="N21" i="66"/>
  <c r="K21" i="66" s="1"/>
  <c r="J5" i="92"/>
  <c r="N64" i="92"/>
  <c r="K64" i="92" s="1"/>
  <c r="N54" i="50"/>
  <c r="K54" i="50" s="1"/>
  <c r="K32" i="71"/>
  <c r="K34" i="60"/>
  <c r="N67" i="60"/>
  <c r="K67" i="60" s="1"/>
  <c r="C105" i="125"/>
  <c r="C107" i="125" s="1"/>
  <c r="K25" i="108"/>
  <c r="K29" i="108" s="1"/>
  <c r="K30" i="108" s="1"/>
  <c r="N29" i="108"/>
  <c r="N30" i="108" s="1"/>
  <c r="K42" i="87"/>
  <c r="K43" i="87" s="1"/>
  <c r="N10" i="102"/>
  <c r="K10" i="102" s="1"/>
  <c r="N21" i="102"/>
  <c r="K21" i="102" s="1"/>
  <c r="N35" i="102"/>
  <c r="K35" i="102" s="1"/>
  <c r="M5" i="102"/>
  <c r="K5" i="95"/>
  <c r="N66" i="95"/>
  <c r="K66" i="95" s="1"/>
  <c r="K32" i="98"/>
  <c r="N45" i="85"/>
  <c r="N19" i="85"/>
  <c r="N32" i="85"/>
  <c r="N8" i="85"/>
  <c r="C5" i="85"/>
  <c r="K5" i="92"/>
  <c r="N66" i="92"/>
  <c r="K66" i="92" s="1"/>
  <c r="K32" i="100"/>
  <c r="K32" i="54"/>
  <c r="H5" i="79"/>
  <c r="N62" i="79"/>
  <c r="K62" i="79" s="1"/>
  <c r="E5" i="16"/>
  <c r="N60" i="16"/>
  <c r="K60" i="16" s="1"/>
  <c r="K5" i="103"/>
  <c r="N66" i="103"/>
  <c r="K66" i="103" s="1"/>
  <c r="K51" i="66"/>
  <c r="K25" i="44"/>
  <c r="K29" i="44" s="1"/>
  <c r="K30" i="44" s="1"/>
  <c r="N29" i="44"/>
  <c r="N30" i="44" s="1"/>
  <c r="N87" i="124"/>
  <c r="K70" i="33"/>
  <c r="K80" i="33" s="1"/>
  <c r="K81" i="33" s="1"/>
  <c r="N80" i="33"/>
  <c r="N81" i="33" s="1"/>
  <c r="K13" i="65"/>
  <c r="K16" i="65" s="1"/>
  <c r="K17" i="65" s="1"/>
  <c r="N16" i="65"/>
  <c r="N17" i="65" s="1"/>
  <c r="K32" i="80"/>
  <c r="K32" i="28"/>
  <c r="K19" i="53"/>
  <c r="K13" i="61"/>
  <c r="K16" i="61" s="1"/>
  <c r="K17" i="61" s="1"/>
  <c r="N16" i="61"/>
  <c r="N17" i="61" s="1"/>
  <c r="L43" i="125"/>
  <c r="M3" i="52"/>
  <c r="N60" i="42"/>
  <c r="K60" i="42" s="1"/>
  <c r="E5" i="42"/>
  <c r="N67" i="66"/>
  <c r="K67" i="66" s="1"/>
  <c r="J5" i="67"/>
  <c r="N64" i="67"/>
  <c r="K64" i="67" s="1"/>
  <c r="N80" i="93"/>
  <c r="N81" i="93" s="1"/>
  <c r="K70" i="93"/>
  <c r="K80" i="93" s="1"/>
  <c r="K81" i="93" s="1"/>
  <c r="E5" i="101"/>
  <c r="N60" i="101"/>
  <c r="K60" i="101" s="1"/>
  <c r="N65" i="19"/>
  <c r="K65" i="19" s="1"/>
  <c r="F5" i="19"/>
  <c r="O3" i="102"/>
  <c r="O5" i="102" s="1"/>
  <c r="H5" i="74"/>
  <c r="N62" i="74"/>
  <c r="K62" i="74" s="1"/>
  <c r="K8" i="58"/>
  <c r="N58" i="58"/>
  <c r="N10" i="55"/>
  <c r="K10" i="55" s="1"/>
  <c r="N35" i="55"/>
  <c r="K35" i="55" s="1"/>
  <c r="M5" i="55"/>
  <c r="N21" i="55"/>
  <c r="K21" i="55" s="1"/>
  <c r="N60" i="65"/>
  <c r="K60" i="65" s="1"/>
  <c r="E5" i="65"/>
  <c r="L5" i="104"/>
  <c r="N47" i="104"/>
  <c r="K47" i="104" s="1"/>
  <c r="N34" i="104"/>
  <c r="K34" i="104" s="1"/>
  <c r="K32" i="81"/>
  <c r="K9" i="23"/>
  <c r="N61" i="23"/>
  <c r="K61" i="23" s="1"/>
  <c r="N54" i="49"/>
  <c r="K54" i="49" s="1"/>
  <c r="F5" i="64"/>
  <c r="N65" i="64"/>
  <c r="K65" i="64" s="1"/>
  <c r="N67" i="50"/>
  <c r="K67" i="50" s="1"/>
  <c r="F5" i="52"/>
  <c r="N65" i="52"/>
  <c r="K65" i="52" s="1"/>
  <c r="L26" i="125"/>
  <c r="M3" i="36"/>
  <c r="K45" i="55"/>
  <c r="N47" i="92"/>
  <c r="K47" i="92" s="1"/>
  <c r="N34" i="92"/>
  <c r="K34" i="92" s="1"/>
  <c r="L5" i="92"/>
  <c r="K9" i="40"/>
  <c r="N61" i="40"/>
  <c r="K61" i="40" s="1"/>
  <c r="K16" i="75"/>
  <c r="K17" i="75" s="1"/>
  <c r="O5" i="86"/>
  <c r="N63" i="56"/>
  <c r="K63" i="56" s="1"/>
  <c r="I5" i="56"/>
  <c r="K32" i="78"/>
  <c r="N63" i="74"/>
  <c r="K63" i="74" s="1"/>
  <c r="I5" i="74"/>
  <c r="L5" i="85"/>
  <c r="N47" i="85"/>
  <c r="K47" i="85" s="1"/>
  <c r="N34" i="85"/>
  <c r="K34" i="85" s="1"/>
  <c r="K9" i="100"/>
  <c r="N61" i="100"/>
  <c r="K61" i="100" s="1"/>
  <c r="N29" i="46"/>
  <c r="N30" i="46" s="1"/>
  <c r="K25" i="46"/>
  <c r="K29" i="46" s="1"/>
  <c r="K30" i="46" s="1"/>
  <c r="K32" i="83"/>
  <c r="K5" i="106"/>
  <c r="N66" i="106"/>
  <c r="K66" i="106" s="1"/>
  <c r="K51" i="111"/>
  <c r="K51" i="27"/>
  <c r="N35" i="75"/>
  <c r="K35" i="75" s="1"/>
  <c r="N10" i="75"/>
  <c r="K10" i="75" s="1"/>
  <c r="M5" i="75"/>
  <c r="N21" i="75"/>
  <c r="K21" i="75" s="1"/>
  <c r="N42" i="52"/>
  <c r="N43" i="52" s="1"/>
  <c r="N42" i="104"/>
  <c r="N43" i="104" s="1"/>
  <c r="K38" i="104"/>
  <c r="K42" i="104" s="1"/>
  <c r="K43" i="104" s="1"/>
  <c r="N54" i="45"/>
  <c r="N42" i="106"/>
  <c r="N43" i="106" s="1"/>
  <c r="K29" i="90"/>
  <c r="K30" i="90" s="1"/>
  <c r="K23" i="118"/>
  <c r="N23" i="118" s="1"/>
  <c r="N42" i="79"/>
  <c r="N43" i="79" s="1"/>
  <c r="K9" i="55"/>
  <c r="N61" i="55"/>
  <c r="K61" i="55" s="1"/>
  <c r="N42" i="98"/>
  <c r="N43" i="98" s="1"/>
  <c r="K42" i="67"/>
  <c r="K43" i="67" s="1"/>
  <c r="N54" i="20"/>
  <c r="K54" i="20" s="1"/>
  <c r="F5" i="104"/>
  <c r="N65" i="104"/>
  <c r="K65" i="104" s="1"/>
  <c r="K51" i="31"/>
  <c r="N35" i="88"/>
  <c r="K35" i="88" s="1"/>
  <c r="N21" i="88"/>
  <c r="K21" i="88" s="1"/>
  <c r="N10" i="88"/>
  <c r="K10" i="88" s="1"/>
  <c r="M5" i="88"/>
  <c r="K70" i="81"/>
  <c r="K80" i="81" s="1"/>
  <c r="K81" i="81" s="1"/>
  <c r="N80" i="81"/>
  <c r="N81" i="81" s="1"/>
  <c r="N67" i="76"/>
  <c r="K67" i="76" s="1"/>
  <c r="N54" i="109"/>
  <c r="N9" i="79"/>
  <c r="K9" i="79" s="1"/>
  <c r="N46" i="79"/>
  <c r="K46" i="79" s="1"/>
  <c r="N20" i="79"/>
  <c r="K20" i="79" s="1"/>
  <c r="N33" i="79"/>
  <c r="K33" i="79" s="1"/>
  <c r="G5" i="79"/>
  <c r="K51" i="36"/>
  <c r="K55" i="36" s="1"/>
  <c r="K56" i="36" s="1"/>
  <c r="N55" i="36"/>
  <c r="N56" i="36" s="1"/>
  <c r="K29" i="63"/>
  <c r="K30" i="63" s="1"/>
  <c r="K16" i="41"/>
  <c r="K17" i="41" s="1"/>
  <c r="K38" i="95"/>
  <c r="K42" i="95" s="1"/>
  <c r="K43" i="95" s="1"/>
  <c r="N42" i="95"/>
  <c r="N43" i="95" s="1"/>
  <c r="K25" i="88"/>
  <c r="K29" i="88" s="1"/>
  <c r="K30" i="88" s="1"/>
  <c r="N29" i="88"/>
  <c r="N30" i="88" s="1"/>
  <c r="K51" i="69"/>
  <c r="N10" i="90"/>
  <c r="K10" i="90" s="1"/>
  <c r="M5" i="90"/>
  <c r="N21" i="90"/>
  <c r="K21" i="90" s="1"/>
  <c r="N35" i="90"/>
  <c r="K35" i="90" s="1"/>
  <c r="K51" i="20"/>
  <c r="N55" i="20"/>
  <c r="N56" i="20" s="1"/>
  <c r="K16" i="101"/>
  <c r="K17" i="101" s="1"/>
  <c r="N54" i="103"/>
  <c r="K54" i="103" s="1"/>
  <c r="G5" i="62"/>
  <c r="N9" i="62"/>
  <c r="K9" i="62" s="1"/>
  <c r="N46" i="62"/>
  <c r="K46" i="62" s="1"/>
  <c r="N20" i="62"/>
  <c r="K20" i="62" s="1"/>
  <c r="N33" i="62"/>
  <c r="K33" i="62" s="1"/>
  <c r="K19" i="84"/>
  <c r="N45" i="64"/>
  <c r="N19" i="64"/>
  <c r="C5" i="64"/>
  <c r="N8" i="64"/>
  <c r="N32" i="64"/>
  <c r="K25" i="21"/>
  <c r="K29" i="21" s="1"/>
  <c r="K30" i="21" s="1"/>
  <c r="N29" i="21"/>
  <c r="N30" i="21" s="1"/>
  <c r="K38" i="72"/>
  <c r="K42" i="72" s="1"/>
  <c r="K43" i="72" s="1"/>
  <c r="N42" i="72"/>
  <c r="N43" i="72" s="1"/>
  <c r="N16" i="38"/>
  <c r="N17" i="38" s="1"/>
  <c r="K13" i="38"/>
  <c r="K16" i="38" s="1"/>
  <c r="K17" i="38" s="1"/>
  <c r="K9" i="82"/>
  <c r="N61" i="82"/>
  <c r="K61" i="82" s="1"/>
  <c r="N42" i="60"/>
  <c r="N43" i="60" s="1"/>
  <c r="N62" i="57"/>
  <c r="K62" i="57" s="1"/>
  <c r="H5" i="57"/>
  <c r="I5" i="42"/>
  <c r="N63" i="42"/>
  <c r="K63" i="42" s="1"/>
  <c r="N54" i="84"/>
  <c r="K54" i="84" s="1"/>
  <c r="N8" i="17"/>
  <c r="N32" i="17"/>
  <c r="N19" i="17"/>
  <c r="N45" i="17"/>
  <c r="C5" i="17"/>
  <c r="H5" i="85"/>
  <c r="N62" i="85"/>
  <c r="K62" i="85" s="1"/>
  <c r="H5" i="103"/>
  <c r="N62" i="103"/>
  <c r="K62" i="103" s="1"/>
  <c r="N54" i="22"/>
  <c r="N64" i="65"/>
  <c r="K64" i="65" s="1"/>
  <c r="J5" i="65"/>
  <c r="N63" i="104"/>
  <c r="K63" i="104" s="1"/>
  <c r="I5" i="104"/>
  <c r="K51" i="103"/>
  <c r="K51" i="39"/>
  <c r="K55" i="39" s="1"/>
  <c r="K56" i="39" s="1"/>
  <c r="N55" i="39"/>
  <c r="N56" i="39" s="1"/>
  <c r="N63" i="97"/>
  <c r="K63" i="97" s="1"/>
  <c r="I5" i="97"/>
  <c r="K5" i="43"/>
  <c r="N66" i="43"/>
  <c r="K66" i="43" s="1"/>
  <c r="N59" i="91"/>
  <c r="K59" i="91" s="1"/>
  <c r="D5" i="91"/>
  <c r="K68" i="118"/>
  <c r="N68" i="118" s="1"/>
  <c r="K5" i="108"/>
  <c r="N66" i="108"/>
  <c r="K66" i="108" s="1"/>
  <c r="K29" i="25"/>
  <c r="K30" i="25" s="1"/>
  <c r="N55" i="102"/>
  <c r="N56" i="102" s="1"/>
  <c r="K51" i="85"/>
  <c r="K32" i="39"/>
  <c r="K36" i="39" s="1"/>
  <c r="K37" i="39" s="1"/>
  <c r="K25" i="73"/>
  <c r="K29" i="73" s="1"/>
  <c r="K30" i="73" s="1"/>
  <c r="N29" i="73"/>
  <c r="N30" i="73" s="1"/>
  <c r="N64" i="52"/>
  <c r="K64" i="52" s="1"/>
  <c r="J5" i="52"/>
  <c r="N80" i="106"/>
  <c r="N81" i="106" s="1"/>
  <c r="J5" i="104"/>
  <c r="N64" i="104"/>
  <c r="K64" i="104" s="1"/>
  <c r="N62" i="52"/>
  <c r="K62" i="52" s="1"/>
  <c r="H5" i="52"/>
  <c r="K32" i="109"/>
  <c r="K36" i="109" s="1"/>
  <c r="K37" i="109" s="1"/>
  <c r="K44" i="109" s="1"/>
  <c r="N36" i="109"/>
  <c r="N37" i="109" s="1"/>
  <c r="N44" i="109" s="1"/>
  <c r="K8" i="77"/>
  <c r="N67" i="28"/>
  <c r="K67" i="28" s="1"/>
  <c r="K34" i="28"/>
  <c r="K32" i="63"/>
  <c r="N59" i="72"/>
  <c r="K59" i="72" s="1"/>
  <c r="D5" i="72"/>
  <c r="N47" i="68"/>
  <c r="K47" i="68" s="1"/>
  <c r="L5" i="68"/>
  <c r="N34" i="68"/>
  <c r="K34" i="68" s="1"/>
  <c r="K9" i="29"/>
  <c r="N61" i="29"/>
  <c r="K61" i="29" s="1"/>
  <c r="K8" i="34"/>
  <c r="N80" i="74"/>
  <c r="N81" i="74" s="1"/>
  <c r="K70" i="74"/>
  <c r="K80" i="74" s="1"/>
  <c r="K81" i="74" s="1"/>
  <c r="N58" i="41"/>
  <c r="K8" i="41"/>
  <c r="K25" i="53"/>
  <c r="K29" i="53" s="1"/>
  <c r="K30" i="53" s="1"/>
  <c r="N29" i="53"/>
  <c r="N30" i="53" s="1"/>
  <c r="K19" i="98"/>
  <c r="K70" i="49"/>
  <c r="K80" i="49" s="1"/>
  <c r="K81" i="49" s="1"/>
  <c r="N80" i="49"/>
  <c r="N81" i="49" s="1"/>
  <c r="K51" i="104"/>
  <c r="H5" i="26"/>
  <c r="N62" i="26"/>
  <c r="K62" i="26" s="1"/>
  <c r="N65" i="59"/>
  <c r="K65" i="59" s="1"/>
  <c r="F5" i="59"/>
  <c r="N60" i="111"/>
  <c r="K60" i="111" s="1"/>
  <c r="E5" i="111"/>
  <c r="K34" i="75"/>
  <c r="N67" i="75"/>
  <c r="K67" i="75" s="1"/>
  <c r="N64" i="35"/>
  <c r="K64" i="35" s="1"/>
  <c r="J5" i="35"/>
  <c r="K9" i="27"/>
  <c r="N61" i="27"/>
  <c r="K61" i="27" s="1"/>
  <c r="K45" i="118"/>
  <c r="N45" i="118" s="1"/>
  <c r="K5" i="67"/>
  <c r="N66" i="67"/>
  <c r="K66" i="67" s="1"/>
  <c r="K5" i="101"/>
  <c r="N66" i="101"/>
  <c r="K66" i="101" s="1"/>
  <c r="N55" i="75"/>
  <c r="N56" i="75" s="1"/>
  <c r="K54" i="75"/>
  <c r="K55" i="75" s="1"/>
  <c r="K56" i="75" s="1"/>
  <c r="K5" i="51"/>
  <c r="N66" i="51"/>
  <c r="K66" i="51" s="1"/>
  <c r="K42" i="56"/>
  <c r="K43" i="56" s="1"/>
  <c r="N65" i="103"/>
  <c r="K65" i="103" s="1"/>
  <c r="F5" i="103"/>
  <c r="K70" i="28"/>
  <c r="K80" i="28" s="1"/>
  <c r="K81" i="28" s="1"/>
  <c r="N80" i="28"/>
  <c r="N81" i="28" s="1"/>
  <c r="L99" i="125"/>
  <c r="M3" i="106"/>
  <c r="O3" i="106" s="1"/>
  <c r="O5" i="106" s="1"/>
  <c r="K70" i="26"/>
  <c r="K80" i="26" s="1"/>
  <c r="K81" i="26" s="1"/>
  <c r="N80" i="26"/>
  <c r="N81" i="26" s="1"/>
  <c r="N63" i="24"/>
  <c r="K63" i="24" s="1"/>
  <c r="I5" i="24"/>
  <c r="N9" i="72"/>
  <c r="K9" i="72" s="1"/>
  <c r="N46" i="72"/>
  <c r="K46" i="72" s="1"/>
  <c r="N20" i="72"/>
  <c r="K20" i="72" s="1"/>
  <c r="N33" i="72"/>
  <c r="K33" i="72" s="1"/>
  <c r="G5" i="72"/>
  <c r="K32" i="29"/>
  <c r="N16" i="36"/>
  <c r="N17" i="36" s="1"/>
  <c r="K13" i="36"/>
  <c r="K16" i="36" s="1"/>
  <c r="K17" i="36" s="1"/>
  <c r="K70" i="98"/>
  <c r="K80" i="98" s="1"/>
  <c r="K81" i="98" s="1"/>
  <c r="N80" i="98"/>
  <c r="N81" i="98" s="1"/>
  <c r="K19" i="40"/>
  <c r="K25" i="95"/>
  <c r="K29" i="95" s="1"/>
  <c r="K30" i="95" s="1"/>
  <c r="N29" i="95"/>
  <c r="N30" i="95" s="1"/>
  <c r="K13" i="69"/>
  <c r="K16" i="69" s="1"/>
  <c r="K17" i="69" s="1"/>
  <c r="N16" i="69"/>
  <c r="N17" i="69" s="1"/>
  <c r="N64" i="103"/>
  <c r="K64" i="103" s="1"/>
  <c r="J5" i="103"/>
  <c r="N42" i="20"/>
  <c r="N43" i="20" s="1"/>
  <c r="K38" i="20"/>
  <c r="K42" i="20" s="1"/>
  <c r="K43" i="20" s="1"/>
  <c r="N35" i="93"/>
  <c r="K35" i="93" s="1"/>
  <c r="N21" i="93"/>
  <c r="K21" i="93" s="1"/>
  <c r="N10" i="93"/>
  <c r="K10" i="93" s="1"/>
  <c r="M5" i="93"/>
  <c r="N46" i="104"/>
  <c r="K46" i="104" s="1"/>
  <c r="N33" i="104"/>
  <c r="K33" i="104" s="1"/>
  <c r="N20" i="104"/>
  <c r="K20" i="104" s="1"/>
  <c r="G5" i="104"/>
  <c r="N9" i="104"/>
  <c r="K9" i="104" s="1"/>
  <c r="K51" i="17"/>
  <c r="N66" i="24"/>
  <c r="K66" i="24" s="1"/>
  <c r="K5" i="24"/>
  <c r="K70" i="18"/>
  <c r="K80" i="18" s="1"/>
  <c r="K81" i="18" s="1"/>
  <c r="N80" i="18"/>
  <c r="N81" i="18" s="1"/>
  <c r="J5" i="72"/>
  <c r="N64" i="72"/>
  <c r="K64" i="72" s="1"/>
  <c r="K9" i="33"/>
  <c r="N61" i="33"/>
  <c r="K61" i="33" s="1"/>
  <c r="N45" i="68"/>
  <c r="N8" i="68"/>
  <c r="C5" i="68"/>
  <c r="N32" i="68"/>
  <c r="N19" i="68"/>
  <c r="N42" i="21"/>
  <c r="N43" i="21" s="1"/>
  <c r="K38" i="21"/>
  <c r="K42" i="21" s="1"/>
  <c r="K43" i="21" s="1"/>
  <c r="K32" i="90"/>
  <c r="I5" i="59"/>
  <c r="N63" i="59"/>
  <c r="K63" i="59" s="1"/>
  <c r="N64" i="49"/>
  <c r="K64" i="49" s="1"/>
  <c r="J5" i="49"/>
  <c r="N46" i="97"/>
  <c r="K46" i="97" s="1"/>
  <c r="N20" i="97"/>
  <c r="K20" i="97" s="1"/>
  <c r="N33" i="97"/>
  <c r="K33" i="97" s="1"/>
  <c r="N9" i="97"/>
  <c r="K9" i="97" s="1"/>
  <c r="G5" i="97"/>
  <c r="K51" i="72"/>
  <c r="K51" i="38"/>
  <c r="L101" i="125"/>
  <c r="M3" i="108"/>
  <c r="O3" i="108" s="1"/>
  <c r="O5" i="108" s="1"/>
  <c r="K42" i="60"/>
  <c r="K43" i="60" s="1"/>
  <c r="K70" i="24"/>
  <c r="K80" i="24" s="1"/>
  <c r="K81" i="24" s="1"/>
  <c r="N80" i="24"/>
  <c r="N81" i="24" s="1"/>
  <c r="N8" i="16"/>
  <c r="N45" i="16"/>
  <c r="N19" i="16"/>
  <c r="N32" i="16"/>
  <c r="N58" i="16" s="1"/>
  <c r="C5" i="16"/>
  <c r="N64" i="56"/>
  <c r="K64" i="56" s="1"/>
  <c r="J5" i="56"/>
  <c r="N35" i="77"/>
  <c r="K35" i="77" s="1"/>
  <c r="M5" i="77"/>
  <c r="N21" i="77"/>
  <c r="K21" i="77" s="1"/>
  <c r="N10" i="77"/>
  <c r="K10" i="77" s="1"/>
  <c r="K70" i="82"/>
  <c r="K80" i="82" s="1"/>
  <c r="K81" i="82" s="1"/>
  <c r="N80" i="82"/>
  <c r="N81" i="82" s="1"/>
  <c r="N64" i="95"/>
  <c r="K64" i="95" s="1"/>
  <c r="J5" i="95"/>
  <c r="K13" i="105"/>
  <c r="K16" i="105" s="1"/>
  <c r="K17" i="105" s="1"/>
  <c r="N16" i="105"/>
  <c r="N17" i="105" s="1"/>
  <c r="N64" i="44"/>
  <c r="K64" i="44" s="1"/>
  <c r="J5" i="44"/>
  <c r="K70" i="16"/>
  <c r="I5" i="61"/>
  <c r="N63" i="61"/>
  <c r="K63" i="61" s="1"/>
  <c r="H5" i="72"/>
  <c r="N62" i="72"/>
  <c r="K62" i="72" s="1"/>
  <c r="F5" i="68"/>
  <c r="N65" i="68"/>
  <c r="K65" i="68" s="1"/>
  <c r="H5" i="64"/>
  <c r="N62" i="64"/>
  <c r="K62" i="64" s="1"/>
  <c r="K13" i="39"/>
  <c r="K16" i="39" s="1"/>
  <c r="K17" i="39" s="1"/>
  <c r="N16" i="39"/>
  <c r="N17" i="39" s="1"/>
  <c r="M5" i="98"/>
  <c r="N35" i="98"/>
  <c r="K35" i="98" s="1"/>
  <c r="N21" i="98"/>
  <c r="K21" i="98" s="1"/>
  <c r="N10" i="98"/>
  <c r="K10" i="98" s="1"/>
  <c r="C5" i="52"/>
  <c r="O3" i="52"/>
  <c r="O5" i="52" s="1"/>
  <c r="N32" i="52"/>
  <c r="N8" i="52"/>
  <c r="N45" i="52"/>
  <c r="N19" i="52"/>
  <c r="C5" i="49"/>
  <c r="N8" i="49"/>
  <c r="N45" i="49"/>
  <c r="N19" i="49"/>
  <c r="N32" i="49"/>
  <c r="K19" i="60"/>
  <c r="N63" i="96"/>
  <c r="K63" i="96" s="1"/>
  <c r="I5" i="96"/>
  <c r="K29" i="22"/>
  <c r="K30" i="22" s="1"/>
  <c r="K13" i="85"/>
  <c r="K16" i="85" s="1"/>
  <c r="K17" i="85" s="1"/>
  <c r="N16" i="85"/>
  <c r="N17" i="85" s="1"/>
  <c r="N63" i="111"/>
  <c r="K63" i="111" s="1"/>
  <c r="I5" i="111"/>
  <c r="N45" i="103"/>
  <c r="N32" i="103"/>
  <c r="C5" i="103"/>
  <c r="N8" i="103"/>
  <c r="N19" i="103"/>
  <c r="M5" i="81"/>
  <c r="N10" i="81"/>
  <c r="K10" i="81" s="1"/>
  <c r="N21" i="81"/>
  <c r="K21" i="81" s="1"/>
  <c r="N35" i="81"/>
  <c r="K35" i="81" s="1"/>
  <c r="K19" i="33"/>
  <c r="K19" i="39"/>
  <c r="N23" i="39"/>
  <c r="N24" i="39" s="1"/>
  <c r="N59" i="59"/>
  <c r="K59" i="59" s="1"/>
  <c r="D5" i="59"/>
  <c r="N65" i="49"/>
  <c r="K65" i="49" s="1"/>
  <c r="F5" i="49"/>
  <c r="N59" i="94"/>
  <c r="K59" i="94" s="1"/>
  <c r="D5" i="94"/>
  <c r="K5" i="64"/>
  <c r="N66" i="64"/>
  <c r="K66" i="64" s="1"/>
  <c r="K70" i="41"/>
  <c r="K80" i="41" s="1"/>
  <c r="K81" i="41" s="1"/>
  <c r="N80" i="41"/>
  <c r="N81" i="41" s="1"/>
  <c r="D5" i="49"/>
  <c r="N59" i="49"/>
  <c r="K59" i="49" s="1"/>
  <c r="N42" i="100"/>
  <c r="N43" i="100" s="1"/>
  <c r="K38" i="100"/>
  <c r="K42" i="100" s="1"/>
  <c r="K43" i="100" s="1"/>
  <c r="N55" i="32"/>
  <c r="N56" i="32" s="1"/>
  <c r="N35" i="70"/>
  <c r="K35" i="70" s="1"/>
  <c r="N21" i="70"/>
  <c r="K21" i="70" s="1"/>
  <c r="M5" i="70"/>
  <c r="N10" i="70"/>
  <c r="K10" i="70" s="1"/>
  <c r="N16" i="59"/>
  <c r="N17" i="59" s="1"/>
  <c r="K13" i="59"/>
  <c r="K16" i="59" s="1"/>
  <c r="K17" i="59" s="1"/>
  <c r="K32" i="77"/>
  <c r="K51" i="89"/>
  <c r="K8" i="18"/>
  <c r="N58" i="18"/>
  <c r="K70" i="102"/>
  <c r="K80" i="102" s="1"/>
  <c r="K81" i="102" s="1"/>
  <c r="N80" i="102"/>
  <c r="N81" i="102" s="1"/>
  <c r="K9" i="93"/>
  <c r="N61" i="93"/>
  <c r="K61" i="93" s="1"/>
  <c r="N66" i="56"/>
  <c r="K66" i="56" s="1"/>
  <c r="K5" i="56"/>
  <c r="K19" i="46"/>
  <c r="J5" i="51"/>
  <c r="N64" i="51"/>
  <c r="K64" i="51" s="1"/>
  <c r="K9" i="77"/>
  <c r="N61" i="77"/>
  <c r="K61" i="77" s="1"/>
  <c r="K25" i="66"/>
  <c r="K29" i="66" s="1"/>
  <c r="K30" i="66" s="1"/>
  <c r="N29" i="66"/>
  <c r="N30" i="66" s="1"/>
  <c r="H5" i="94"/>
  <c r="N62" i="94"/>
  <c r="K62" i="94" s="1"/>
  <c r="D5" i="92"/>
  <c r="N59" i="92"/>
  <c r="K59" i="92" s="1"/>
  <c r="E105" i="125"/>
  <c r="E107" i="125" s="1"/>
  <c r="N62" i="44"/>
  <c r="K62" i="44" s="1"/>
  <c r="H5" i="44"/>
  <c r="N62" i="99"/>
  <c r="K62" i="99" s="1"/>
  <c r="H5" i="99"/>
  <c r="K19" i="55"/>
  <c r="K23" i="55" s="1"/>
  <c r="K24" i="55" s="1"/>
  <c r="K31" i="55" s="1"/>
  <c r="G5" i="35"/>
  <c r="N9" i="35"/>
  <c r="K9" i="35" s="1"/>
  <c r="N20" i="35"/>
  <c r="K20" i="35" s="1"/>
  <c r="N46" i="35"/>
  <c r="K46" i="35" s="1"/>
  <c r="N33" i="35"/>
  <c r="K33" i="35" s="1"/>
  <c r="G5" i="17"/>
  <c r="N9" i="17"/>
  <c r="K9" i="17" s="1"/>
  <c r="N33" i="17"/>
  <c r="K33" i="17" s="1"/>
  <c r="N46" i="17"/>
  <c r="K46" i="17" s="1"/>
  <c r="N20" i="17"/>
  <c r="K20" i="17" s="1"/>
  <c r="D5" i="101"/>
  <c r="N59" i="101"/>
  <c r="K59" i="101" s="1"/>
  <c r="K19" i="83"/>
  <c r="K8" i="82"/>
  <c r="N35" i="78"/>
  <c r="K35" i="78" s="1"/>
  <c r="M5" i="78"/>
  <c r="N10" i="78"/>
  <c r="K10" i="78" s="1"/>
  <c r="N21" i="78"/>
  <c r="K21" i="78" s="1"/>
  <c r="N63" i="57"/>
  <c r="K63" i="57" s="1"/>
  <c r="I5" i="57"/>
  <c r="K13" i="57"/>
  <c r="K16" i="57" s="1"/>
  <c r="K17" i="57" s="1"/>
  <c r="N16" i="57"/>
  <c r="N17" i="57" s="1"/>
  <c r="K19" i="69"/>
  <c r="K8" i="37"/>
  <c r="N58" i="37"/>
  <c r="K19" i="27"/>
  <c r="K25" i="84"/>
  <c r="K29" i="84" s="1"/>
  <c r="K30" i="84" s="1"/>
  <c r="N29" i="84"/>
  <c r="N30" i="84" s="1"/>
  <c r="N54" i="91"/>
  <c r="K54" i="91" s="1"/>
  <c r="N54" i="79"/>
  <c r="K34" i="87"/>
  <c r="N67" i="87"/>
  <c r="K67" i="87" s="1"/>
  <c r="I5" i="17"/>
  <c r="N63" i="17"/>
  <c r="K63" i="17" s="1"/>
  <c r="N19" i="56"/>
  <c r="N32" i="56"/>
  <c r="C5" i="56"/>
  <c r="N8" i="56"/>
  <c r="N45" i="56"/>
  <c r="K13" i="89"/>
  <c r="K16" i="89" s="1"/>
  <c r="K17" i="89" s="1"/>
  <c r="N16" i="89"/>
  <c r="N17" i="89" s="1"/>
  <c r="C5" i="74"/>
  <c r="N32" i="74"/>
  <c r="N45" i="74"/>
  <c r="N8" i="74"/>
  <c r="N19" i="74"/>
  <c r="N16" i="34"/>
  <c r="N17" i="34" s="1"/>
  <c r="K13" i="34"/>
  <c r="K16" i="34" s="1"/>
  <c r="K17" i="34" s="1"/>
  <c r="N16" i="76"/>
  <c r="N17" i="76" s="1"/>
  <c r="K13" i="76"/>
  <c r="K16" i="76" s="1"/>
  <c r="K17" i="76" s="1"/>
  <c r="K19" i="34"/>
  <c r="K32" i="23"/>
  <c r="K25" i="42"/>
  <c r="K29" i="42" s="1"/>
  <c r="K30" i="42" s="1"/>
  <c r="N29" i="42"/>
  <c r="N30" i="42" s="1"/>
  <c r="I5" i="62"/>
  <c r="N63" i="62"/>
  <c r="K63" i="62" s="1"/>
  <c r="N60" i="72"/>
  <c r="K60" i="72" s="1"/>
  <c r="E5" i="72"/>
  <c r="N21" i="53"/>
  <c r="K21" i="53" s="1"/>
  <c r="N35" i="53"/>
  <c r="K35" i="53" s="1"/>
  <c r="N10" i="53"/>
  <c r="K10" i="53" s="1"/>
  <c r="M5" i="53"/>
  <c r="N60" i="64"/>
  <c r="K60" i="64" s="1"/>
  <c r="E5" i="64"/>
  <c r="N47" i="26"/>
  <c r="K47" i="26" s="1"/>
  <c r="L5" i="26"/>
  <c r="N34" i="26"/>
  <c r="K34" i="26" s="1"/>
  <c r="K34" i="46"/>
  <c r="N67" i="46"/>
  <c r="K67" i="46" s="1"/>
  <c r="N8" i="36"/>
  <c r="C5" i="36"/>
  <c r="N32" i="36"/>
  <c r="N45" i="36"/>
  <c r="O3" i="36"/>
  <c r="O5" i="36" s="1"/>
  <c r="N19" i="36"/>
  <c r="N54" i="33"/>
  <c r="N64" i="97"/>
  <c r="K64" i="97" s="1"/>
  <c r="J5" i="97"/>
  <c r="N64" i="43"/>
  <c r="K64" i="43" s="1"/>
  <c r="J5" i="43"/>
  <c r="K13" i="53"/>
  <c r="K16" i="53" s="1"/>
  <c r="K17" i="53" s="1"/>
  <c r="N16" i="53"/>
  <c r="N17" i="53" s="1"/>
  <c r="K38" i="91"/>
  <c r="K42" i="91" s="1"/>
  <c r="K43" i="91" s="1"/>
  <c r="N42" i="91"/>
  <c r="N43" i="91" s="1"/>
  <c r="K9" i="66"/>
  <c r="N61" i="66"/>
  <c r="K61" i="66" s="1"/>
  <c r="L5" i="16"/>
  <c r="N47" i="16"/>
  <c r="K47" i="16" s="1"/>
  <c r="N34" i="16"/>
  <c r="K34" i="16" s="1"/>
  <c r="K51" i="108"/>
  <c r="K70" i="55"/>
  <c r="K80" i="55" s="1"/>
  <c r="K81" i="55" s="1"/>
  <c r="N80" i="55"/>
  <c r="N81" i="55" s="1"/>
  <c r="N63" i="51"/>
  <c r="K63" i="51" s="1"/>
  <c r="I5" i="51"/>
  <c r="N47" i="95"/>
  <c r="K47" i="95" s="1"/>
  <c r="L5" i="95"/>
  <c r="N34" i="95"/>
  <c r="K34" i="95" s="1"/>
  <c r="N64" i="85"/>
  <c r="K64" i="85" s="1"/>
  <c r="J5" i="85"/>
  <c r="N66" i="57"/>
  <c r="K66" i="57" s="1"/>
  <c r="K5" i="57"/>
  <c r="K19" i="48"/>
  <c r="C5" i="35"/>
  <c r="N8" i="35"/>
  <c r="N45" i="35"/>
  <c r="N19" i="35"/>
  <c r="N32" i="35"/>
  <c r="K34" i="31"/>
  <c r="N67" i="31"/>
  <c r="K67" i="31" s="1"/>
  <c r="D105" i="125"/>
  <c r="D107" i="125" s="1"/>
  <c r="O5" i="32"/>
  <c r="K51" i="96"/>
  <c r="N64" i="89"/>
  <c r="K64" i="89" s="1"/>
  <c r="J5" i="89"/>
  <c r="N19" i="30"/>
  <c r="C5" i="30"/>
  <c r="N8" i="30"/>
  <c r="N32" i="30"/>
  <c r="N45" i="30"/>
  <c r="C5" i="101"/>
  <c r="N19" i="101"/>
  <c r="N32" i="101"/>
  <c r="N45" i="101"/>
  <c r="N8" i="101"/>
  <c r="O3" i="101"/>
  <c r="O5" i="101" s="1"/>
  <c r="K45" i="105"/>
  <c r="K8" i="25"/>
  <c r="N11" i="25"/>
  <c r="N12" i="25" s="1"/>
  <c r="N18" i="25" s="1"/>
  <c r="N42" i="45"/>
  <c r="N43" i="45" s="1"/>
  <c r="N29" i="64"/>
  <c r="N30" i="64" s="1"/>
  <c r="K25" i="64"/>
  <c r="K29" i="64" s="1"/>
  <c r="K30" i="64" s="1"/>
  <c r="K38" i="66"/>
  <c r="K42" i="66" s="1"/>
  <c r="K43" i="66" s="1"/>
  <c r="N42" i="66"/>
  <c r="N43" i="66" s="1"/>
  <c r="N35" i="20"/>
  <c r="K35" i="20" s="1"/>
  <c r="N21" i="20"/>
  <c r="K21" i="20" s="1"/>
  <c r="M5" i="20"/>
  <c r="N10" i="20"/>
  <c r="K10" i="20" s="1"/>
  <c r="N61" i="46"/>
  <c r="K61" i="46" s="1"/>
  <c r="N60" i="62"/>
  <c r="K60" i="62" s="1"/>
  <c r="E5" i="62"/>
  <c r="N58" i="80"/>
  <c r="K8" i="80"/>
  <c r="K25" i="99"/>
  <c r="K29" i="99" s="1"/>
  <c r="K30" i="99" s="1"/>
  <c r="N29" i="99"/>
  <c r="N30" i="99" s="1"/>
  <c r="K8" i="93"/>
  <c r="N11" i="93"/>
  <c r="N12" i="93" s="1"/>
  <c r="N18" i="93" s="1"/>
  <c r="N58" i="93"/>
  <c r="N60" i="68"/>
  <c r="K60" i="68" s="1"/>
  <c r="E5" i="68"/>
  <c r="N58" i="75"/>
  <c r="K8" i="75"/>
  <c r="K11" i="75" s="1"/>
  <c r="K12" i="75" s="1"/>
  <c r="N47" i="64"/>
  <c r="K47" i="64" s="1"/>
  <c r="N34" i="64"/>
  <c r="K34" i="64" s="1"/>
  <c r="L5" i="64"/>
  <c r="K38" i="61"/>
  <c r="K42" i="61" s="1"/>
  <c r="K43" i="61" s="1"/>
  <c r="N42" i="61"/>
  <c r="N43" i="61" s="1"/>
  <c r="N46" i="26"/>
  <c r="K46" i="26" s="1"/>
  <c r="G5" i="26"/>
  <c r="N20" i="26"/>
  <c r="K20" i="26" s="1"/>
  <c r="N9" i="26"/>
  <c r="K9" i="26" s="1"/>
  <c r="N33" i="26"/>
  <c r="K33" i="26" s="1"/>
  <c r="N61" i="58"/>
  <c r="K61" i="58" s="1"/>
  <c r="J5" i="22"/>
  <c r="N64" i="22"/>
  <c r="K64" i="22" s="1"/>
  <c r="D5" i="67"/>
  <c r="N59" i="67"/>
  <c r="K59" i="67" s="1"/>
  <c r="K13" i="23"/>
  <c r="K16" i="23" s="1"/>
  <c r="K17" i="23" s="1"/>
  <c r="N16" i="23"/>
  <c r="N17" i="23" s="1"/>
  <c r="N47" i="101"/>
  <c r="K47" i="101" s="1"/>
  <c r="L5" i="101"/>
  <c r="N34" i="101"/>
  <c r="K34" i="101" s="1"/>
  <c r="K19" i="102"/>
  <c r="K23" i="102" s="1"/>
  <c r="K24" i="102" s="1"/>
  <c r="N23" i="102"/>
  <c r="N24" i="102" s="1"/>
  <c r="N31" i="102" s="1"/>
  <c r="L66" i="125"/>
  <c r="M3" i="74"/>
  <c r="O3" i="74" s="1"/>
  <c r="O5" i="74" s="1"/>
  <c r="K45" i="58"/>
  <c r="K34" i="32"/>
  <c r="N67" i="32"/>
  <c r="K67" i="32" s="1"/>
  <c r="N59" i="85"/>
  <c r="K59" i="85" s="1"/>
  <c r="D5" i="85"/>
  <c r="K32" i="31"/>
  <c r="K16" i="94"/>
  <c r="K17" i="94" s="1"/>
  <c r="N54" i="98"/>
  <c r="K51" i="107"/>
  <c r="K55" i="107" s="1"/>
  <c r="K56" i="107" s="1"/>
  <c r="N55" i="107"/>
  <c r="N56" i="107" s="1"/>
  <c r="K8" i="70"/>
  <c r="N58" i="70"/>
  <c r="K51" i="97"/>
  <c r="K55" i="97" s="1"/>
  <c r="K56" i="97" s="1"/>
  <c r="N55" i="97"/>
  <c r="N56" i="97" s="1"/>
  <c r="N54" i="27"/>
  <c r="K54" i="27" s="1"/>
  <c r="F5" i="24"/>
  <c r="N65" i="24"/>
  <c r="K65" i="24" s="1"/>
  <c r="O3" i="81"/>
  <c r="O5" i="81" s="1"/>
  <c r="N16" i="43"/>
  <c r="N17" i="43" s="1"/>
  <c r="K13" i="43"/>
  <c r="K16" i="43" s="1"/>
  <c r="K17" i="43" s="1"/>
  <c r="K34" i="48"/>
  <c r="N67" i="48"/>
  <c r="K67" i="48" s="1"/>
  <c r="N54" i="104"/>
  <c r="K54" i="104" s="1"/>
  <c r="N8" i="59"/>
  <c r="N19" i="59"/>
  <c r="N32" i="59"/>
  <c r="C5" i="59"/>
  <c r="N45" i="59"/>
  <c r="N63" i="108"/>
  <c r="K63" i="108" s="1"/>
  <c r="I5" i="108"/>
  <c r="K9" i="45"/>
  <c r="N61" i="45"/>
  <c r="K61" i="45" s="1"/>
  <c r="K32" i="86"/>
  <c r="G5" i="16"/>
  <c r="N46" i="16"/>
  <c r="K46" i="16" s="1"/>
  <c r="N33" i="16"/>
  <c r="K33" i="16" s="1"/>
  <c r="N20" i="16"/>
  <c r="K20" i="16" s="1"/>
  <c r="N9" i="16"/>
  <c r="K9" i="16" s="1"/>
  <c r="K29" i="98"/>
  <c r="K30" i="98" s="1"/>
  <c r="K16" i="63"/>
  <c r="K17" i="63" s="1"/>
  <c r="N33" i="95"/>
  <c r="K33" i="95" s="1"/>
  <c r="N9" i="95"/>
  <c r="K9" i="95" s="1"/>
  <c r="G5" i="95"/>
  <c r="N46" i="95"/>
  <c r="K46" i="95" s="1"/>
  <c r="N20" i="95"/>
  <c r="K20" i="95" s="1"/>
  <c r="N59" i="103"/>
  <c r="K59" i="103" s="1"/>
  <c r="D5" i="103"/>
  <c r="K51" i="51"/>
  <c r="K42" i="94"/>
  <c r="K43" i="94" s="1"/>
  <c r="K8" i="83"/>
  <c r="N58" i="83"/>
  <c r="N59" i="44"/>
  <c r="K59" i="44" s="1"/>
  <c r="D5" i="44"/>
  <c r="K19" i="107"/>
  <c r="K38" i="54"/>
  <c r="K42" i="54" s="1"/>
  <c r="K43" i="54" s="1"/>
  <c r="N42" i="54"/>
  <c r="N43" i="54" s="1"/>
  <c r="K16" i="83"/>
  <c r="K17" i="83" s="1"/>
  <c r="K19" i="87"/>
  <c r="K13" i="104"/>
  <c r="K16" i="104" s="1"/>
  <c r="K17" i="104" s="1"/>
  <c r="N16" i="104"/>
  <c r="N17" i="104" s="1"/>
  <c r="G5" i="91"/>
  <c r="N9" i="91"/>
  <c r="K9" i="91" s="1"/>
  <c r="N46" i="91"/>
  <c r="K46" i="91" s="1"/>
  <c r="N20" i="91"/>
  <c r="K20" i="91" s="1"/>
  <c r="N33" i="91"/>
  <c r="K33" i="91" s="1"/>
  <c r="K70" i="22"/>
  <c r="K80" i="22" s="1"/>
  <c r="K81" i="22" s="1"/>
  <c r="N80" i="22"/>
  <c r="N81" i="22" s="1"/>
  <c r="E5" i="92"/>
  <c r="N60" i="92"/>
  <c r="K60" i="92" s="1"/>
  <c r="K16" i="45"/>
  <c r="K17" i="45" s="1"/>
  <c r="K42" i="75"/>
  <c r="K43" i="75" s="1"/>
  <c r="N61" i="75"/>
  <c r="K61" i="75" s="1"/>
  <c r="N67" i="23"/>
  <c r="K67" i="23" s="1"/>
  <c r="K9" i="20"/>
  <c r="N61" i="20"/>
  <c r="K61" i="20" s="1"/>
  <c r="K69" i="118"/>
  <c r="N69" i="118" s="1"/>
  <c r="N33" i="30"/>
  <c r="K33" i="30" s="1"/>
  <c r="N9" i="30"/>
  <c r="K9" i="30" s="1"/>
  <c r="N46" i="30"/>
  <c r="K46" i="30" s="1"/>
  <c r="N20" i="30"/>
  <c r="K20" i="30" s="1"/>
  <c r="G5" i="30"/>
  <c r="N47" i="96"/>
  <c r="K47" i="96" s="1"/>
  <c r="N34" i="96"/>
  <c r="K34" i="96" s="1"/>
  <c r="L5" i="96"/>
  <c r="K25" i="28"/>
  <c r="K29" i="28" s="1"/>
  <c r="K30" i="28" s="1"/>
  <c r="N29" i="28"/>
  <c r="N30" i="28" s="1"/>
  <c r="N65" i="44"/>
  <c r="K65" i="44" s="1"/>
  <c r="F5" i="44"/>
  <c r="N16" i="31"/>
  <c r="N17" i="31" s="1"/>
  <c r="K13" i="31"/>
  <c r="K16" i="31" s="1"/>
  <c r="K17" i="31" s="1"/>
  <c r="K42" i="29"/>
  <c r="K43" i="29" s="1"/>
  <c r="N65" i="62"/>
  <c r="K65" i="62" s="1"/>
  <c r="F5" i="62"/>
  <c r="K51" i="81"/>
  <c r="K55" i="81" s="1"/>
  <c r="K56" i="81" s="1"/>
  <c r="N55" i="81"/>
  <c r="N56" i="81" s="1"/>
  <c r="N34" i="35"/>
  <c r="K34" i="35" s="1"/>
  <c r="N47" i="35"/>
  <c r="K47" i="35" s="1"/>
  <c r="L5" i="35"/>
  <c r="N63" i="79"/>
  <c r="K63" i="79" s="1"/>
  <c r="I5" i="79"/>
  <c r="N16" i="98"/>
  <c r="N17" i="98" s="1"/>
  <c r="K45" i="40"/>
  <c r="K13" i="95"/>
  <c r="K16" i="95" s="1"/>
  <c r="K17" i="95" s="1"/>
  <c r="N16" i="95"/>
  <c r="N17" i="95" s="1"/>
  <c r="N46" i="85"/>
  <c r="K46" i="85" s="1"/>
  <c r="N9" i="85"/>
  <c r="K9" i="85" s="1"/>
  <c r="N20" i="85"/>
  <c r="K20" i="85" s="1"/>
  <c r="N33" i="85"/>
  <c r="K33" i="85" s="1"/>
  <c r="G5" i="85"/>
  <c r="K9" i="70"/>
  <c r="N61" i="70"/>
  <c r="K61" i="70" s="1"/>
  <c r="N58" i="110"/>
  <c r="K8" i="110"/>
  <c r="N10" i="34"/>
  <c r="K10" i="34" s="1"/>
  <c r="N35" i="34"/>
  <c r="K35" i="34" s="1"/>
  <c r="N21" i="34"/>
  <c r="K21" i="34" s="1"/>
  <c r="M5" i="34"/>
  <c r="E5" i="96"/>
  <c r="N60" i="96"/>
  <c r="K60" i="96" s="1"/>
  <c r="K25" i="20"/>
  <c r="K29" i="20" s="1"/>
  <c r="K30" i="20" s="1"/>
  <c r="N29" i="20"/>
  <c r="N30" i="20" s="1"/>
  <c r="N21" i="23"/>
  <c r="K21" i="23" s="1"/>
  <c r="N35" i="23"/>
  <c r="K35" i="23" s="1"/>
  <c r="M5" i="23"/>
  <c r="N10" i="23"/>
  <c r="K10" i="23" s="1"/>
  <c r="L56" i="125"/>
  <c r="M3" i="64"/>
  <c r="K51" i="21"/>
  <c r="K13" i="72"/>
  <c r="K16" i="72" s="1"/>
  <c r="K17" i="72" s="1"/>
  <c r="N16" i="72"/>
  <c r="N17" i="72" s="1"/>
  <c r="K38" i="38"/>
  <c r="K42" i="38" s="1"/>
  <c r="K43" i="38" s="1"/>
  <c r="N42" i="38"/>
  <c r="N43" i="38" s="1"/>
  <c r="N79" i="16"/>
  <c r="K79" i="16" s="1"/>
  <c r="L5" i="108"/>
  <c r="N47" i="108"/>
  <c r="K47" i="108" s="1"/>
  <c r="N34" i="108"/>
  <c r="K34" i="108" s="1"/>
  <c r="N67" i="108"/>
  <c r="K67" i="108" s="1"/>
  <c r="N33" i="57"/>
  <c r="K33" i="57" s="1"/>
  <c r="N46" i="57"/>
  <c r="K46" i="57" s="1"/>
  <c r="N20" i="57"/>
  <c r="K20" i="57" s="1"/>
  <c r="G5" i="57"/>
  <c r="N9" i="57"/>
  <c r="K9" i="57" s="1"/>
  <c r="K5" i="42"/>
  <c r="N66" i="42"/>
  <c r="K66" i="42" s="1"/>
  <c r="K32" i="73"/>
  <c r="N63" i="30"/>
  <c r="K63" i="30" s="1"/>
  <c r="I5" i="30"/>
  <c r="D5" i="47"/>
  <c r="N59" i="47"/>
  <c r="K59" i="47" s="1"/>
  <c r="N19" i="19"/>
  <c r="N32" i="19"/>
  <c r="C5" i="19"/>
  <c r="N8" i="19"/>
  <c r="N45" i="19"/>
  <c r="N54" i="76"/>
  <c r="K54" i="76" s="1"/>
  <c r="K51" i="105"/>
  <c r="N55" i="105"/>
  <c r="N56" i="105" s="1"/>
  <c r="N21" i="63"/>
  <c r="K21" i="63" s="1"/>
  <c r="M5" i="63"/>
  <c r="N10" i="63"/>
  <c r="K10" i="63" s="1"/>
  <c r="N35" i="63"/>
  <c r="K35" i="63" s="1"/>
  <c r="N54" i="74"/>
  <c r="K54" i="74" s="1"/>
  <c r="K32" i="88"/>
  <c r="K25" i="39"/>
  <c r="K29" i="39" s="1"/>
  <c r="K30" i="39" s="1"/>
  <c r="N29" i="39"/>
  <c r="N30" i="39" s="1"/>
  <c r="H5" i="97"/>
  <c r="N62" i="97"/>
  <c r="K62" i="97" s="1"/>
  <c r="H5" i="111"/>
  <c r="N62" i="111"/>
  <c r="K62" i="111" s="1"/>
  <c r="K9" i="48"/>
  <c r="N61" i="48"/>
  <c r="K61" i="48" s="1"/>
  <c r="K32" i="60"/>
  <c r="N64" i="108"/>
  <c r="K64" i="108" s="1"/>
  <c r="J5" i="108"/>
  <c r="N29" i="22"/>
  <c r="N30" i="22" s="1"/>
  <c r="O3" i="66"/>
  <c r="O5" i="66" s="1"/>
  <c r="C5" i="43"/>
  <c r="N19" i="43"/>
  <c r="N8" i="43"/>
  <c r="N32" i="43"/>
  <c r="N45" i="43"/>
  <c r="K80" i="78"/>
  <c r="K81" i="78" s="1"/>
  <c r="K42" i="48"/>
  <c r="K43" i="48" s="1"/>
  <c r="C5" i="38"/>
  <c r="N19" i="38"/>
  <c r="N8" i="38"/>
  <c r="N45" i="38"/>
  <c r="N32" i="38"/>
  <c r="K29" i="18"/>
  <c r="K30" i="18" s="1"/>
  <c r="N16" i="41"/>
  <c r="N17" i="41" s="1"/>
  <c r="H5" i="59"/>
  <c r="N62" i="59"/>
  <c r="K62" i="59" s="1"/>
  <c r="N62" i="106"/>
  <c r="K62" i="106" s="1"/>
  <c r="H5" i="106"/>
  <c r="N60" i="26"/>
  <c r="K60" i="26" s="1"/>
  <c r="E5" i="26"/>
  <c r="N61" i="83"/>
  <c r="K61" i="83" s="1"/>
  <c r="K51" i="100"/>
  <c r="N29" i="59"/>
  <c r="N30" i="59" s="1"/>
  <c r="K25" i="59"/>
  <c r="K29" i="59" s="1"/>
  <c r="K30" i="59" s="1"/>
  <c r="N65" i="108"/>
  <c r="K65" i="108" s="1"/>
  <c r="F5" i="108"/>
  <c r="N60" i="43"/>
  <c r="K60" i="43" s="1"/>
  <c r="E5" i="43"/>
  <c r="N10" i="101"/>
  <c r="K10" i="101" s="1"/>
  <c r="N35" i="101"/>
  <c r="K35" i="101" s="1"/>
  <c r="M5" i="101"/>
  <c r="N21" i="101"/>
  <c r="K21" i="101" s="1"/>
  <c r="O3" i="63"/>
  <c r="O5" i="63" s="1"/>
  <c r="N54" i="71"/>
  <c r="N47" i="62"/>
  <c r="K47" i="62" s="1"/>
  <c r="N34" i="62"/>
  <c r="K34" i="62" s="1"/>
  <c r="L5" i="62"/>
  <c r="K42" i="40"/>
  <c r="K43" i="40" s="1"/>
  <c r="K16" i="109"/>
  <c r="K17" i="109" s="1"/>
  <c r="K51" i="34"/>
  <c r="K38" i="76"/>
  <c r="K42" i="76" s="1"/>
  <c r="K43" i="76" s="1"/>
  <c r="N42" i="76"/>
  <c r="N43" i="76" s="1"/>
  <c r="N60" i="108"/>
  <c r="K60" i="108" s="1"/>
  <c r="E5" i="108"/>
  <c r="K51" i="91"/>
  <c r="N55" i="91"/>
  <c r="N56" i="91" s="1"/>
  <c r="K38" i="96"/>
  <c r="K42" i="96" s="1"/>
  <c r="K43" i="96" s="1"/>
  <c r="N42" i="96"/>
  <c r="N43" i="96" s="1"/>
  <c r="N55" i="25"/>
  <c r="N56" i="25" s="1"/>
  <c r="N64" i="106"/>
  <c r="K64" i="106" s="1"/>
  <c r="J5" i="106"/>
  <c r="K19" i="93"/>
  <c r="K51" i="61"/>
  <c r="F5" i="21"/>
  <c r="N65" i="21"/>
  <c r="K65" i="21" s="1"/>
  <c r="K19" i="70"/>
  <c r="K23" i="70" s="1"/>
  <c r="K24" i="70" s="1"/>
  <c r="N23" i="70"/>
  <c r="N24" i="70" s="1"/>
  <c r="K13" i="97"/>
  <c r="K16" i="97" s="1"/>
  <c r="K17" i="97" s="1"/>
  <c r="N16" i="97"/>
  <c r="N17" i="97" s="1"/>
  <c r="N42" i="51"/>
  <c r="N43" i="51" s="1"/>
  <c r="K38" i="51"/>
  <c r="K42" i="51" s="1"/>
  <c r="K43" i="51" s="1"/>
  <c r="K38" i="111"/>
  <c r="K42" i="111" s="1"/>
  <c r="K43" i="111" s="1"/>
  <c r="N42" i="111"/>
  <c r="N43" i="111" s="1"/>
  <c r="L53" i="125"/>
  <c r="M3" i="61"/>
  <c r="K25" i="54"/>
  <c r="K29" i="54" s="1"/>
  <c r="K30" i="54" s="1"/>
  <c r="N29" i="54"/>
  <c r="N30" i="54" s="1"/>
  <c r="F5" i="72"/>
  <c r="N65" i="72"/>
  <c r="K65" i="72" s="1"/>
  <c r="K25" i="57"/>
  <c r="K29" i="57" s="1"/>
  <c r="K30" i="57" s="1"/>
  <c r="N29" i="57"/>
  <c r="N30" i="57" s="1"/>
  <c r="K45" i="69"/>
  <c r="N59" i="42"/>
  <c r="K59" i="42" s="1"/>
  <c r="D5" i="42"/>
  <c r="K45" i="27"/>
  <c r="K38" i="84"/>
  <c r="K42" i="84" s="1"/>
  <c r="K43" i="84" s="1"/>
  <c r="N42" i="84"/>
  <c r="N43" i="84" s="1"/>
  <c r="N63" i="16"/>
  <c r="K63" i="16" s="1"/>
  <c r="I5" i="16"/>
  <c r="K9" i="90"/>
  <c r="N61" i="90"/>
  <c r="K61" i="90" s="1"/>
  <c r="K10" i="25"/>
  <c r="N48" i="25"/>
  <c r="K48" i="25" s="1"/>
  <c r="K49" i="25" s="1"/>
  <c r="K50" i="25" s="1"/>
  <c r="N9" i="89"/>
  <c r="K9" i="89" s="1"/>
  <c r="N20" i="89"/>
  <c r="K20" i="89" s="1"/>
  <c r="N33" i="89"/>
  <c r="K33" i="89" s="1"/>
  <c r="N46" i="89"/>
  <c r="K46" i="89" s="1"/>
  <c r="G5" i="89"/>
  <c r="K25" i="89"/>
  <c r="K29" i="89" s="1"/>
  <c r="K30" i="89" s="1"/>
  <c r="N29" i="89"/>
  <c r="N30" i="89" s="1"/>
  <c r="F5" i="85"/>
  <c r="N65" i="85"/>
  <c r="K65" i="85" s="1"/>
  <c r="K25" i="76"/>
  <c r="K29" i="76" s="1"/>
  <c r="K30" i="76" s="1"/>
  <c r="N29" i="76"/>
  <c r="N30" i="76" s="1"/>
  <c r="K45" i="34"/>
  <c r="N16" i="80"/>
  <c r="N17" i="80" s="1"/>
  <c r="K13" i="80"/>
  <c r="K16" i="80" s="1"/>
  <c r="K17" i="80" s="1"/>
  <c r="N61" i="25"/>
  <c r="K61" i="25" s="1"/>
  <c r="K9" i="25"/>
  <c r="N47" i="106"/>
  <c r="K47" i="106" s="1"/>
  <c r="L5" i="106"/>
  <c r="N34" i="106"/>
  <c r="K34" i="106" s="1"/>
  <c r="N42" i="74"/>
  <c r="N43" i="74" s="1"/>
  <c r="K38" i="74"/>
  <c r="K42" i="74" s="1"/>
  <c r="K43" i="74" s="1"/>
  <c r="N58" i="23"/>
  <c r="K8" i="23"/>
  <c r="N67" i="80"/>
  <c r="K67" i="80" s="1"/>
  <c r="N47" i="61"/>
  <c r="K47" i="61" s="1"/>
  <c r="N34" i="61"/>
  <c r="K34" i="61" s="1"/>
  <c r="L5" i="61"/>
  <c r="K32" i="41"/>
  <c r="L84" i="125"/>
  <c r="M3" i="91"/>
  <c r="N63" i="35"/>
  <c r="K63" i="35" s="1"/>
  <c r="I5" i="35"/>
  <c r="N58" i="71"/>
  <c r="K8" i="71"/>
  <c r="K51" i="53"/>
  <c r="K13" i="91"/>
  <c r="K16" i="91" s="1"/>
  <c r="K17" i="91" s="1"/>
  <c r="N16" i="91"/>
  <c r="N17" i="91" s="1"/>
  <c r="K9" i="88"/>
  <c r="N61" i="88"/>
  <c r="K61" i="88" s="1"/>
  <c r="N35" i="46"/>
  <c r="K35" i="46" s="1"/>
  <c r="M5" i="46"/>
  <c r="N10" i="46"/>
  <c r="K10" i="46" s="1"/>
  <c r="N21" i="46"/>
  <c r="K21" i="46" s="1"/>
  <c r="N63" i="89"/>
  <c r="K63" i="89" s="1"/>
  <c r="I5" i="89"/>
  <c r="N63" i="47"/>
  <c r="K63" i="47" s="1"/>
  <c r="I5" i="47"/>
  <c r="K16" i="55"/>
  <c r="K17" i="55" s="1"/>
  <c r="N58" i="98"/>
  <c r="K8" i="98"/>
  <c r="K32" i="46"/>
  <c r="K38" i="50"/>
  <c r="K42" i="50" s="1"/>
  <c r="K43" i="50" s="1"/>
  <c r="N42" i="50"/>
  <c r="N43" i="50" s="1"/>
  <c r="K19" i="54"/>
  <c r="L6" i="125"/>
  <c r="Y105" i="125"/>
  <c r="Y107" i="125" s="1"/>
  <c r="M3" i="16"/>
  <c r="M3" i="17"/>
  <c r="O3" i="17" s="1"/>
  <c r="O5" i="17" s="1"/>
  <c r="K19" i="32"/>
  <c r="K13" i="96"/>
  <c r="K16" i="96" s="1"/>
  <c r="K17" i="96" s="1"/>
  <c r="N16" i="96"/>
  <c r="N17" i="96" s="1"/>
  <c r="N34" i="19"/>
  <c r="K34" i="19" s="1"/>
  <c r="L5" i="19"/>
  <c r="N47" i="19"/>
  <c r="K47" i="19" s="1"/>
  <c r="N60" i="74"/>
  <c r="K60" i="74" s="1"/>
  <c r="E5" i="74"/>
  <c r="K19" i="25"/>
  <c r="K23" i="25" s="1"/>
  <c r="K24" i="25" s="1"/>
  <c r="N23" i="25"/>
  <c r="N24" i="25" s="1"/>
  <c r="N66" i="85"/>
  <c r="K66" i="85" s="1"/>
  <c r="K5" i="85"/>
  <c r="N67" i="27"/>
  <c r="K67" i="27" s="1"/>
  <c r="N42" i="64"/>
  <c r="N43" i="64" s="1"/>
  <c r="K38" i="64"/>
  <c r="K42" i="64" s="1"/>
  <c r="K43" i="64" s="1"/>
  <c r="L89" i="125"/>
  <c r="M3" i="96"/>
  <c r="K13" i="66"/>
  <c r="K16" i="66" s="1"/>
  <c r="K17" i="66" s="1"/>
  <c r="N16" i="66"/>
  <c r="N17" i="66" s="1"/>
  <c r="N60" i="44"/>
  <c r="K60" i="44" s="1"/>
  <c r="E5" i="44"/>
  <c r="K8" i="76"/>
  <c r="N8" i="104"/>
  <c r="N32" i="104"/>
  <c r="C5" i="104"/>
  <c r="N19" i="104"/>
  <c r="N45" i="104"/>
  <c r="N21" i="107"/>
  <c r="K21" i="107" s="1"/>
  <c r="N35" i="107"/>
  <c r="K35" i="107" s="1"/>
  <c r="M5" i="107"/>
  <c r="N10" i="107"/>
  <c r="K10" i="107" s="1"/>
  <c r="E5" i="24"/>
  <c r="N60" i="24"/>
  <c r="K60" i="24" s="1"/>
  <c r="O3" i="93"/>
  <c r="O5" i="93" s="1"/>
  <c r="K45" i="75"/>
  <c r="K25" i="61"/>
  <c r="K29" i="61" s="1"/>
  <c r="K30" i="61" s="1"/>
  <c r="N29" i="61"/>
  <c r="N30" i="61" s="1"/>
  <c r="K5" i="59"/>
  <c r="N66" i="59"/>
  <c r="K66" i="59" s="1"/>
  <c r="K5" i="97"/>
  <c r="N66" i="97"/>
  <c r="K66" i="97" s="1"/>
  <c r="K51" i="23"/>
  <c r="K8" i="102"/>
  <c r="N11" i="102"/>
  <c r="N12" i="102" s="1"/>
  <c r="N18" i="102" s="1"/>
  <c r="N58" i="102"/>
  <c r="F5" i="95"/>
  <c r="N65" i="95"/>
  <c r="K65" i="95" s="1"/>
  <c r="K8" i="31"/>
  <c r="N58" i="31"/>
  <c r="N54" i="51"/>
  <c r="K54" i="51" s="1"/>
  <c r="N16" i="94"/>
  <c r="N17" i="94" s="1"/>
  <c r="K25" i="107"/>
  <c r="K29" i="107" s="1"/>
  <c r="K30" i="107" s="1"/>
  <c r="N29" i="107"/>
  <c r="N30" i="107" s="1"/>
  <c r="N36" i="70"/>
  <c r="N37" i="70" s="1"/>
  <c r="K32" i="70"/>
  <c r="K38" i="97"/>
  <c r="K42" i="97" s="1"/>
  <c r="K43" i="97" s="1"/>
  <c r="N42" i="97"/>
  <c r="N43" i="97" s="1"/>
  <c r="L34" i="125"/>
  <c r="M3" i="44"/>
  <c r="O3" i="44" s="1"/>
  <c r="O5" i="44" s="1"/>
  <c r="K51" i="43"/>
  <c r="N42" i="25"/>
  <c r="N43" i="25" s="1"/>
  <c r="N29" i="52"/>
  <c r="N30" i="52" s="1"/>
  <c r="N45" i="72"/>
  <c r="N8" i="72"/>
  <c r="N32" i="72"/>
  <c r="N19" i="72"/>
  <c r="C5" i="72"/>
  <c r="N20" i="49"/>
  <c r="K20" i="49" s="1"/>
  <c r="N46" i="49"/>
  <c r="K46" i="49" s="1"/>
  <c r="G5" i="49"/>
  <c r="N9" i="49"/>
  <c r="K9" i="49" s="1"/>
  <c r="N33" i="49"/>
  <c r="K33" i="49" s="1"/>
  <c r="H5" i="43"/>
  <c r="N62" i="43"/>
  <c r="K62" i="43" s="1"/>
  <c r="N29" i="60"/>
  <c r="N30" i="60" s="1"/>
  <c r="K34" i="70"/>
  <c r="N67" i="70"/>
  <c r="K67" i="70" s="1"/>
  <c r="O3" i="78"/>
  <c r="O5" i="78" s="1"/>
  <c r="N60" i="30"/>
  <c r="K60" i="30" s="1"/>
  <c r="E5" i="30"/>
  <c r="N16" i="63"/>
  <c r="N17" i="63" s="1"/>
  <c r="N29" i="87"/>
  <c r="N30" i="87" s="1"/>
  <c r="D5" i="51"/>
  <c r="N59" i="51"/>
  <c r="K59" i="51" s="1"/>
  <c r="K38" i="46"/>
  <c r="K42" i="46" s="1"/>
  <c r="K43" i="46" s="1"/>
  <c r="N42" i="46"/>
  <c r="N43" i="46" s="1"/>
  <c r="N42" i="94"/>
  <c r="N43" i="94" s="1"/>
  <c r="K25" i="111"/>
  <c r="K29" i="111" s="1"/>
  <c r="K30" i="111" s="1"/>
  <c r="N29" i="111"/>
  <c r="N30" i="111" s="1"/>
  <c r="N60" i="104"/>
  <c r="K60" i="104" s="1"/>
  <c r="E5" i="104"/>
  <c r="K32" i="107"/>
  <c r="N36" i="107"/>
  <c r="N37" i="107" s="1"/>
  <c r="K51" i="54"/>
  <c r="K55" i="54" s="1"/>
  <c r="K56" i="54" s="1"/>
  <c r="N55" i="54"/>
  <c r="N56" i="54" s="1"/>
  <c r="N42" i="78"/>
  <c r="N43" i="78" s="1"/>
  <c r="N16" i="40"/>
  <c r="N17" i="40" s="1"/>
  <c r="K38" i="49"/>
  <c r="K42" i="49" s="1"/>
  <c r="K43" i="49" s="1"/>
  <c r="N42" i="49"/>
  <c r="N43" i="49" s="1"/>
  <c r="N9" i="36"/>
  <c r="K9" i="36" s="1"/>
  <c r="G5" i="36"/>
  <c r="N46" i="36"/>
  <c r="K46" i="36" s="1"/>
  <c r="N33" i="36"/>
  <c r="K33" i="36" s="1"/>
  <c r="N20" i="36"/>
  <c r="K20" i="36" s="1"/>
  <c r="N54" i="19"/>
  <c r="K54" i="19" s="1"/>
  <c r="K13" i="77"/>
  <c r="K16" i="77" s="1"/>
  <c r="K17" i="77" s="1"/>
  <c r="N16" i="77"/>
  <c r="N17" i="77" s="1"/>
  <c r="N59" i="108"/>
  <c r="K59" i="108" s="1"/>
  <c r="D5" i="108"/>
  <c r="K29" i="45"/>
  <c r="K30" i="45" s="1"/>
  <c r="H5" i="42"/>
  <c r="N62" i="42"/>
  <c r="K62" i="42" s="1"/>
  <c r="N62" i="17"/>
  <c r="K62" i="17" s="1"/>
  <c r="H5" i="17"/>
  <c r="L5" i="22"/>
  <c r="N47" i="22"/>
  <c r="K47" i="22" s="1"/>
  <c r="N34" i="22"/>
  <c r="K34" i="22" s="1"/>
  <c r="N20" i="19"/>
  <c r="K20" i="19" s="1"/>
  <c r="N33" i="19"/>
  <c r="K33" i="19" s="1"/>
  <c r="N46" i="19"/>
  <c r="K46" i="19" s="1"/>
  <c r="N9" i="19"/>
  <c r="K9" i="19" s="1"/>
  <c r="G5" i="19"/>
  <c r="K5" i="74"/>
  <c r="N66" i="74"/>
  <c r="K66" i="74" s="1"/>
  <c r="E5" i="85"/>
  <c r="N60" i="85"/>
  <c r="K60" i="85" s="1"/>
  <c r="L96" i="125"/>
  <c r="M3" i="103"/>
  <c r="N42" i="28"/>
  <c r="N43" i="28" s="1"/>
  <c r="K38" i="28"/>
  <c r="K42" i="28" s="1"/>
  <c r="K43" i="28" s="1"/>
  <c r="K5" i="94"/>
  <c r="N66" i="94"/>
  <c r="K66" i="94" s="1"/>
  <c r="H5" i="24"/>
  <c r="N62" i="24"/>
  <c r="K62" i="24" s="1"/>
  <c r="K25" i="31"/>
  <c r="K29" i="31" s="1"/>
  <c r="K30" i="31" s="1"/>
  <c r="N29" i="31"/>
  <c r="N30" i="31" s="1"/>
  <c r="N16" i="52"/>
  <c r="N17" i="52" s="1"/>
  <c r="K25" i="81"/>
  <c r="K29" i="81" s="1"/>
  <c r="K30" i="81" s="1"/>
  <c r="N29" i="81"/>
  <c r="N30" i="81" s="1"/>
  <c r="N65" i="57"/>
  <c r="K65" i="57" s="1"/>
  <c r="F5" i="57"/>
  <c r="K54" i="48"/>
  <c r="K55" i="48" s="1"/>
  <c r="K56" i="48" s="1"/>
  <c r="N55" i="48"/>
  <c r="N56" i="48" s="1"/>
  <c r="K5" i="17"/>
  <c r="N66" i="17"/>
  <c r="K66" i="17" s="1"/>
  <c r="N19" i="22"/>
  <c r="N45" i="22"/>
  <c r="N8" i="22"/>
  <c r="N32" i="22"/>
  <c r="C5" i="22"/>
  <c r="N29" i="79"/>
  <c r="N30" i="79" s="1"/>
  <c r="K8" i="29"/>
  <c r="N58" i="29"/>
  <c r="N8" i="47"/>
  <c r="C5" i="47"/>
  <c r="N32" i="47"/>
  <c r="N45" i="47"/>
  <c r="N19" i="47"/>
  <c r="N65" i="74"/>
  <c r="K65" i="74" s="1"/>
  <c r="F5" i="74"/>
  <c r="N21" i="110"/>
  <c r="K21" i="110" s="1"/>
  <c r="M5" i="110"/>
  <c r="N10" i="110"/>
  <c r="K10" i="110" s="1"/>
  <c r="N35" i="110"/>
  <c r="K35" i="110" s="1"/>
  <c r="N70" i="88"/>
  <c r="K29" i="56"/>
  <c r="K30" i="56" s="1"/>
  <c r="K55" i="105"/>
  <c r="K56" i="105" s="1"/>
  <c r="O3" i="110"/>
  <c r="O5" i="110" s="1"/>
  <c r="N9" i="65"/>
  <c r="K9" i="65" s="1"/>
  <c r="N46" i="65"/>
  <c r="K46" i="65" s="1"/>
  <c r="N20" i="65"/>
  <c r="K20" i="65" s="1"/>
  <c r="N33" i="65"/>
  <c r="K33" i="65" s="1"/>
  <c r="G5" i="65"/>
  <c r="K34" i="63"/>
  <c r="N67" i="63"/>
  <c r="K67" i="63" s="1"/>
  <c r="K68" i="63" s="1"/>
  <c r="K69" i="63" s="1"/>
  <c r="K42" i="71"/>
  <c r="K43" i="71" s="1"/>
  <c r="N65" i="94"/>
  <c r="K65" i="94" s="1"/>
  <c r="F5" i="94"/>
  <c r="N60" i="61"/>
  <c r="K60" i="61" s="1"/>
  <c r="E5" i="61"/>
  <c r="K34" i="86"/>
  <c r="N67" i="86"/>
  <c r="K67" i="86" s="1"/>
  <c r="K13" i="35"/>
  <c r="K16" i="35" s="1"/>
  <c r="K17" i="35" s="1"/>
  <c r="N16" i="35"/>
  <c r="N17" i="35" s="1"/>
  <c r="L60" i="125"/>
  <c r="M3" i="68"/>
  <c r="O3" i="68" s="1"/>
  <c r="O5" i="68" s="1"/>
  <c r="K25" i="68"/>
  <c r="K29" i="68" s="1"/>
  <c r="K30" i="68" s="1"/>
  <c r="N29" i="68"/>
  <c r="N30" i="68" s="1"/>
  <c r="N16" i="21"/>
  <c r="N17" i="21" s="1"/>
  <c r="K13" i="21"/>
  <c r="K16" i="21" s="1"/>
  <c r="K17" i="21" s="1"/>
  <c r="N64" i="26"/>
  <c r="K64" i="26" s="1"/>
  <c r="J5" i="26"/>
  <c r="K19" i="90"/>
  <c r="K5" i="36"/>
  <c r="N66" i="36"/>
  <c r="K66" i="36" s="1"/>
  <c r="L90" i="125"/>
  <c r="M3" i="97"/>
  <c r="N29" i="72"/>
  <c r="N30" i="72" s="1"/>
  <c r="K25" i="72"/>
  <c r="K29" i="72" s="1"/>
  <c r="K30" i="72" s="1"/>
  <c r="K25" i="38"/>
  <c r="K29" i="38" s="1"/>
  <c r="K30" i="38" s="1"/>
  <c r="N29" i="38"/>
  <c r="N30" i="38" s="1"/>
  <c r="K34" i="53"/>
  <c r="N67" i="53"/>
  <c r="K67" i="53" s="1"/>
  <c r="N62" i="91"/>
  <c r="K62" i="91" s="1"/>
  <c r="H5" i="91"/>
  <c r="K25" i="24"/>
  <c r="K29" i="24" s="1"/>
  <c r="K30" i="24" s="1"/>
  <c r="N29" i="24"/>
  <c r="N30" i="24" s="1"/>
  <c r="K8" i="73"/>
  <c r="N58" i="73"/>
  <c r="B105" i="125"/>
  <c r="B107" i="125" s="1"/>
  <c r="H5" i="56"/>
  <c r="N62" i="56"/>
  <c r="K62" i="56" s="1"/>
  <c r="K54" i="86"/>
  <c r="K55" i="86" s="1"/>
  <c r="K56" i="86" s="1"/>
  <c r="N55" i="86"/>
  <c r="N56" i="86" s="1"/>
  <c r="K51" i="82"/>
  <c r="K38" i="105"/>
  <c r="K42" i="105" s="1"/>
  <c r="K43" i="105" s="1"/>
  <c r="N42" i="105"/>
  <c r="N43" i="105" s="1"/>
  <c r="N42" i="16"/>
  <c r="N43" i="16" s="1"/>
  <c r="K38" i="16"/>
  <c r="K42" i="16" s="1"/>
  <c r="K43" i="16" s="1"/>
  <c r="N29" i="29"/>
  <c r="N30" i="29" s="1"/>
  <c r="N35" i="105"/>
  <c r="K35" i="105" s="1"/>
  <c r="N21" i="105"/>
  <c r="K21" i="105" s="1"/>
  <c r="N10" i="105"/>
  <c r="K10" i="105" s="1"/>
  <c r="M5" i="105"/>
  <c r="N70" i="103"/>
  <c r="K19" i="45"/>
  <c r="K8" i="88"/>
  <c r="N11" i="88"/>
  <c r="N12" i="88" s="1"/>
  <c r="N58" i="88"/>
  <c r="K5" i="72"/>
  <c r="N66" i="72"/>
  <c r="K66" i="72" s="1"/>
  <c r="N29" i="109"/>
  <c r="N30" i="109" s="1"/>
  <c r="N46" i="64"/>
  <c r="K46" i="64" s="1"/>
  <c r="N9" i="64"/>
  <c r="K9" i="64" s="1"/>
  <c r="N33" i="64"/>
  <c r="K33" i="64" s="1"/>
  <c r="G5" i="64"/>
  <c r="N20" i="64"/>
  <c r="K20" i="64" s="1"/>
  <c r="N29" i="41"/>
  <c r="N30" i="41" s="1"/>
  <c r="N60" i="59"/>
  <c r="K60" i="59" s="1"/>
  <c r="E5" i="59"/>
  <c r="L40" i="125"/>
  <c r="M3" i="49"/>
  <c r="O3" i="49" s="1"/>
  <c r="O5" i="49" s="1"/>
  <c r="J5" i="96"/>
  <c r="N64" i="96"/>
  <c r="K64" i="96" s="1"/>
  <c r="N21" i="79"/>
  <c r="K21" i="79" s="1"/>
  <c r="N35" i="79"/>
  <c r="K35" i="79" s="1"/>
  <c r="N10" i="79"/>
  <c r="K10" i="79" s="1"/>
  <c r="M5" i="79"/>
  <c r="K8" i="66"/>
  <c r="N11" i="66"/>
  <c r="N12" i="66" s="1"/>
  <c r="N58" i="66"/>
  <c r="K70" i="37"/>
  <c r="K80" i="37" s="1"/>
  <c r="K81" i="37" s="1"/>
  <c r="N80" i="37"/>
  <c r="N81" i="37" s="1"/>
  <c r="K51" i="19"/>
  <c r="N63" i="91"/>
  <c r="K63" i="91" s="1"/>
  <c r="I5" i="91"/>
  <c r="H5" i="108"/>
  <c r="N62" i="108"/>
  <c r="K62" i="108" s="1"/>
  <c r="N58" i="39"/>
  <c r="K8" i="39"/>
  <c r="N11" i="39"/>
  <c r="N12" i="39" s="1"/>
  <c r="J5" i="59"/>
  <c r="N64" i="59"/>
  <c r="K64" i="59" s="1"/>
  <c r="K70" i="73"/>
  <c r="K80" i="73" s="1"/>
  <c r="K81" i="73" s="1"/>
  <c r="N80" i="73"/>
  <c r="N81" i="73" s="1"/>
  <c r="C5" i="24"/>
  <c r="N8" i="24"/>
  <c r="N32" i="24"/>
  <c r="N45" i="24"/>
  <c r="N19" i="24"/>
  <c r="N16" i="100"/>
  <c r="N17" i="100" s="1"/>
  <c r="K13" i="100"/>
  <c r="K16" i="100" s="1"/>
  <c r="K17" i="100" s="1"/>
  <c r="C5" i="111"/>
  <c r="N45" i="111"/>
  <c r="N19" i="111"/>
  <c r="N32" i="111"/>
  <c r="N8" i="111"/>
  <c r="N21" i="54"/>
  <c r="K21" i="54" s="1"/>
  <c r="M5" i="54"/>
  <c r="N35" i="54"/>
  <c r="K35" i="54" s="1"/>
  <c r="N10" i="54"/>
  <c r="K10" i="54" s="1"/>
  <c r="N58" i="77"/>
  <c r="N42" i="40"/>
  <c r="N43" i="40" s="1"/>
  <c r="N16" i="109"/>
  <c r="N17" i="109" s="1"/>
  <c r="N113" i="124"/>
  <c r="K51" i="57"/>
  <c r="K38" i="80"/>
  <c r="K42" i="80" s="1"/>
  <c r="K43" i="80" s="1"/>
  <c r="N42" i="80"/>
  <c r="N43" i="80" s="1"/>
  <c r="L5" i="52"/>
  <c r="N47" i="52"/>
  <c r="K47" i="52" s="1"/>
  <c r="N34" i="52"/>
  <c r="K34" i="52" s="1"/>
  <c r="K70" i="94"/>
  <c r="K80" i="94" s="1"/>
  <c r="K81" i="94" s="1"/>
  <c r="N80" i="94"/>
  <c r="N81" i="94" s="1"/>
  <c r="K38" i="107"/>
  <c r="K42" i="107" s="1"/>
  <c r="K43" i="107" s="1"/>
  <c r="N42" i="107"/>
  <c r="N43" i="107" s="1"/>
  <c r="K70" i="43"/>
  <c r="K80" i="43" s="1"/>
  <c r="K81" i="43" s="1"/>
  <c r="N80" i="43"/>
  <c r="N81" i="43" s="1"/>
  <c r="N63" i="67"/>
  <c r="K63" i="67" s="1"/>
  <c r="I5" i="67"/>
  <c r="K13" i="46"/>
  <c r="K16" i="46" s="1"/>
  <c r="K17" i="46" s="1"/>
  <c r="N16" i="46"/>
  <c r="N17" i="46" s="1"/>
  <c r="N16" i="27"/>
  <c r="N17" i="27" s="1"/>
  <c r="K13" i="27"/>
  <c r="K16" i="27" s="1"/>
  <c r="K17" i="27" s="1"/>
  <c r="K8" i="20"/>
  <c r="N58" i="20"/>
  <c r="K32" i="87"/>
  <c r="N64" i="57"/>
  <c r="K64" i="57" s="1"/>
  <c r="J5" i="57"/>
  <c r="N10" i="48"/>
  <c r="K10" i="48" s="1"/>
  <c r="N21" i="48"/>
  <c r="K21" i="48" s="1"/>
  <c r="N35" i="48"/>
  <c r="K35" i="48" s="1"/>
  <c r="M5" i="48"/>
  <c r="K34" i="33"/>
  <c r="N67" i="33"/>
  <c r="K67" i="33" s="1"/>
  <c r="K8" i="27"/>
  <c r="N58" i="27"/>
  <c r="K51" i="84"/>
  <c r="K34" i="83"/>
  <c r="N67" i="83"/>
  <c r="K67" i="83" s="1"/>
  <c r="L47" i="125"/>
  <c r="M3" i="56"/>
  <c r="K70" i="79"/>
  <c r="K80" i="79" s="1"/>
  <c r="K81" i="79" s="1"/>
  <c r="N80" i="79"/>
  <c r="N81" i="79" s="1"/>
  <c r="K42" i="63"/>
  <c r="K43" i="63" s="1"/>
  <c r="N20" i="47"/>
  <c r="K20" i="47" s="1"/>
  <c r="G5" i="47"/>
  <c r="N33" i="47"/>
  <c r="K33" i="47" s="1"/>
  <c r="N9" i="47"/>
  <c r="K9" i="47" s="1"/>
  <c r="N46" i="47"/>
  <c r="K46" i="47" s="1"/>
  <c r="N16" i="30"/>
  <c r="N17" i="30" s="1"/>
  <c r="K13" i="30"/>
  <c r="K16" i="30" s="1"/>
  <c r="K17" i="30" s="1"/>
  <c r="N8" i="95"/>
  <c r="N45" i="95"/>
  <c r="C5" i="95"/>
  <c r="N19" i="95"/>
  <c r="N32" i="95"/>
  <c r="N29" i="34"/>
  <c r="N30" i="34" s="1"/>
  <c r="K25" i="34"/>
  <c r="K29" i="34" s="1"/>
  <c r="K30" i="34" s="1"/>
  <c r="I5" i="103"/>
  <c r="N63" i="103"/>
  <c r="K63" i="103" s="1"/>
  <c r="K51" i="74"/>
  <c r="K55" i="74" s="1"/>
  <c r="K56" i="74" s="1"/>
  <c r="N55" i="74"/>
  <c r="N56" i="74" s="1"/>
  <c r="E5" i="94"/>
  <c r="N60" i="94"/>
  <c r="K60" i="94" s="1"/>
  <c r="K32" i="18"/>
  <c r="K34" i="100"/>
  <c r="N67" i="100"/>
  <c r="K67" i="100" s="1"/>
  <c r="K19" i="41"/>
  <c r="N35" i="28"/>
  <c r="K35" i="28" s="1"/>
  <c r="N10" i="28"/>
  <c r="K10" i="28" s="1"/>
  <c r="N21" i="28"/>
  <c r="K21" i="28" s="1"/>
  <c r="M5" i="28"/>
  <c r="K42" i="41"/>
  <c r="K43" i="41" s="1"/>
  <c r="N19" i="26"/>
  <c r="N32" i="26"/>
  <c r="N8" i="26"/>
  <c r="C5" i="26"/>
  <c r="N45" i="26"/>
  <c r="D5" i="52"/>
  <c r="N59" i="52"/>
  <c r="K59" i="52" s="1"/>
  <c r="L5" i="43"/>
  <c r="N47" i="43"/>
  <c r="K47" i="43" s="1"/>
  <c r="N34" i="43"/>
  <c r="K34" i="43" s="1"/>
  <c r="N64" i="91"/>
  <c r="K64" i="91" s="1"/>
  <c r="J5" i="91"/>
  <c r="N8" i="57"/>
  <c r="N19" i="57"/>
  <c r="C5" i="57"/>
  <c r="N45" i="57"/>
  <c r="N32" i="57"/>
  <c r="N47" i="42"/>
  <c r="K47" i="42" s="1"/>
  <c r="L5" i="42"/>
  <c r="N34" i="42"/>
  <c r="K34" i="42" s="1"/>
  <c r="K19" i="71"/>
  <c r="K105" i="125"/>
  <c r="K107" i="125" s="1"/>
  <c r="N59" i="19"/>
  <c r="K59" i="19" s="1"/>
  <c r="D5" i="19"/>
  <c r="N47" i="74"/>
  <c r="K47" i="74" s="1"/>
  <c r="N34" i="74"/>
  <c r="K34" i="74" s="1"/>
  <c r="L5" i="74"/>
  <c r="N35" i="58"/>
  <c r="K35" i="58" s="1"/>
  <c r="N21" i="58"/>
  <c r="K21" i="58" s="1"/>
  <c r="N10" i="58"/>
  <c r="K10" i="58" s="1"/>
  <c r="M5" i="58"/>
  <c r="K8" i="46"/>
  <c r="K11" i="46" s="1"/>
  <c r="K12" i="46" s="1"/>
  <c r="N11" i="46"/>
  <c r="N12" i="46" s="1"/>
  <c r="N58" i="46"/>
  <c r="N54" i="60"/>
  <c r="K32" i="48"/>
  <c r="K51" i="58"/>
  <c r="L25" i="125"/>
  <c r="M3" i="35"/>
  <c r="O3" i="35" s="1"/>
  <c r="O5" i="35" s="1"/>
  <c r="K51" i="50"/>
  <c r="K55" i="50" s="1"/>
  <c r="K56" i="50" s="1"/>
  <c r="N55" i="50"/>
  <c r="N56" i="50" s="1"/>
  <c r="N61" i="81"/>
  <c r="K61" i="81" s="1"/>
  <c r="C5" i="42"/>
  <c r="N8" i="42"/>
  <c r="N32" i="42"/>
  <c r="N45" i="42"/>
  <c r="N19" i="42"/>
  <c r="K45" i="54"/>
  <c r="N63" i="22"/>
  <c r="K63" i="22" s="1"/>
  <c r="I5" i="22"/>
  <c r="K32" i="32"/>
  <c r="N47" i="67"/>
  <c r="K47" i="67" s="1"/>
  <c r="L5" i="67"/>
  <c r="N34" i="67"/>
  <c r="K34" i="67" s="1"/>
  <c r="L20" i="125"/>
  <c r="M3" i="30"/>
  <c r="O3" i="30" s="1"/>
  <c r="O5" i="30" s="1"/>
  <c r="N65" i="47"/>
  <c r="K65" i="47" s="1"/>
  <c r="F5" i="47"/>
  <c r="K32" i="105"/>
  <c r="K36" i="105" s="1"/>
  <c r="K37" i="105" s="1"/>
  <c r="E5" i="21"/>
  <c r="N60" i="21"/>
  <c r="K60" i="21" s="1"/>
  <c r="K13" i="64"/>
  <c r="K16" i="64" s="1"/>
  <c r="K17" i="64" s="1"/>
  <c r="N16" i="64"/>
  <c r="N17" i="64" s="1"/>
  <c r="F5" i="96"/>
  <c r="N65" i="96"/>
  <c r="K65" i="96" s="1"/>
  <c r="N8" i="65"/>
  <c r="N19" i="65"/>
  <c r="N32" i="65"/>
  <c r="N45" i="65"/>
  <c r="C5" i="65"/>
  <c r="K19" i="76"/>
  <c r="N73" i="17"/>
  <c r="K73" i="17" s="1"/>
  <c r="K25" i="65"/>
  <c r="K29" i="65" s="1"/>
  <c r="K30" i="65" s="1"/>
  <c r="N29" i="65"/>
  <c r="N30" i="65" s="1"/>
  <c r="N54" i="94"/>
  <c r="L54" i="125"/>
  <c r="M3" i="62"/>
  <c r="O3" i="62" s="1"/>
  <c r="O5" i="62" s="1"/>
  <c r="K8" i="28"/>
  <c r="N58" i="28"/>
  <c r="K38" i="99"/>
  <c r="K42" i="99" s="1"/>
  <c r="K43" i="99" s="1"/>
  <c r="N42" i="99"/>
  <c r="N43" i="99" s="1"/>
  <c r="O3" i="53"/>
  <c r="O5" i="53" s="1"/>
  <c r="N54" i="40"/>
  <c r="K34" i="82"/>
  <c r="N67" i="82"/>
  <c r="K67" i="82" s="1"/>
  <c r="N59" i="79"/>
  <c r="K59" i="79" s="1"/>
  <c r="D5" i="79"/>
  <c r="F5" i="56"/>
  <c r="N65" i="56"/>
  <c r="K65" i="56" s="1"/>
  <c r="K38" i="23"/>
  <c r="K42" i="23" s="1"/>
  <c r="K43" i="23" s="1"/>
  <c r="N42" i="23"/>
  <c r="N43" i="23" s="1"/>
  <c r="E5" i="47"/>
  <c r="N60" i="47"/>
  <c r="K60" i="47" s="1"/>
  <c r="N54" i="106"/>
  <c r="K32" i="102"/>
  <c r="L77" i="125"/>
  <c r="M3" i="85"/>
  <c r="N34" i="103"/>
  <c r="K34" i="103" s="1"/>
  <c r="L5" i="103"/>
  <c r="N47" i="103"/>
  <c r="K47" i="103" s="1"/>
  <c r="K13" i="107"/>
  <c r="K16" i="107" s="1"/>
  <c r="K17" i="107" s="1"/>
  <c r="N16" i="107"/>
  <c r="N17" i="107" s="1"/>
  <c r="K25" i="97"/>
  <c r="K29" i="97" s="1"/>
  <c r="K30" i="97" s="1"/>
  <c r="N29" i="97"/>
  <c r="N30" i="97" s="1"/>
  <c r="K5" i="44"/>
  <c r="N66" i="44"/>
  <c r="K66" i="44" s="1"/>
  <c r="N32" i="61"/>
  <c r="N8" i="61"/>
  <c r="C5" i="61"/>
  <c r="N45" i="61"/>
  <c r="N19" i="61"/>
  <c r="K19" i="81"/>
  <c r="N23" i="81"/>
  <c r="N24" i="81" s="1"/>
  <c r="N31" i="81" s="1"/>
  <c r="K38" i="43"/>
  <c r="K42" i="43" s="1"/>
  <c r="K43" i="43" s="1"/>
  <c r="N42" i="43"/>
  <c r="N43" i="43" s="1"/>
  <c r="K42" i="25"/>
  <c r="K43" i="25" s="1"/>
  <c r="K29" i="52"/>
  <c r="K30" i="52" s="1"/>
  <c r="N65" i="26"/>
  <c r="K65" i="26" s="1"/>
  <c r="F5" i="26"/>
  <c r="F5" i="36"/>
  <c r="N65" i="36"/>
  <c r="K65" i="36" s="1"/>
  <c r="N29" i="92"/>
  <c r="N30" i="92" s="1"/>
  <c r="K25" i="92"/>
  <c r="K29" i="92" s="1"/>
  <c r="K30" i="92" s="1"/>
  <c r="K29" i="60"/>
  <c r="K30" i="60" s="1"/>
  <c r="N34" i="57"/>
  <c r="K34" i="57" s="1"/>
  <c r="N47" i="57"/>
  <c r="K47" i="57" s="1"/>
  <c r="L5" i="57"/>
  <c r="N66" i="79"/>
  <c r="K66" i="79" s="1"/>
  <c r="K5" i="79"/>
  <c r="K19" i="86"/>
  <c r="F105" i="125"/>
  <c r="F107" i="125" s="1"/>
  <c r="K9" i="80"/>
  <c r="N61" i="80"/>
  <c r="K61" i="80" s="1"/>
  <c r="K29" i="87"/>
  <c r="K30" i="87" s="1"/>
  <c r="K34" i="41"/>
  <c r="N67" i="41"/>
  <c r="K67" i="41" s="1"/>
  <c r="K9" i="71"/>
  <c r="N61" i="71"/>
  <c r="K61" i="71" s="1"/>
  <c r="K25" i="51"/>
  <c r="K29" i="51" s="1"/>
  <c r="K30" i="51" s="1"/>
  <c r="N29" i="51"/>
  <c r="N30" i="51" s="1"/>
  <c r="N59" i="65"/>
  <c r="K59" i="65" s="1"/>
  <c r="D5" i="65"/>
  <c r="N58" i="82"/>
  <c r="K13" i="111"/>
  <c r="K16" i="111" s="1"/>
  <c r="K17" i="111" s="1"/>
  <c r="N16" i="111"/>
  <c r="N17" i="111" s="1"/>
  <c r="K19" i="20"/>
  <c r="N19" i="94"/>
  <c r="C5" i="94"/>
  <c r="N8" i="94"/>
  <c r="N45" i="94"/>
  <c r="N32" i="94"/>
  <c r="K8" i="107"/>
  <c r="N54" i="31"/>
  <c r="K54" i="31" s="1"/>
  <c r="K9" i="102"/>
  <c r="N61" i="102"/>
  <c r="K61" i="102" s="1"/>
  <c r="K8" i="87"/>
  <c r="N58" i="87"/>
  <c r="K70" i="40"/>
  <c r="K80" i="40" s="1"/>
  <c r="K81" i="40" s="1"/>
  <c r="N80" i="40"/>
  <c r="N81" i="40" s="1"/>
  <c r="K13" i="49"/>
  <c r="K16" i="49" s="1"/>
  <c r="K17" i="49" s="1"/>
  <c r="N16" i="49"/>
  <c r="N17" i="49" s="1"/>
  <c r="K25" i="104"/>
  <c r="K29" i="104" s="1"/>
  <c r="K30" i="104" s="1"/>
  <c r="N29" i="104"/>
  <c r="N30" i="104" s="1"/>
  <c r="K51" i="77"/>
  <c r="K70" i="86"/>
  <c r="K80" i="86" s="1"/>
  <c r="K81" i="86" s="1"/>
  <c r="N80" i="86"/>
  <c r="N81" i="86" s="1"/>
  <c r="E5" i="57"/>
  <c r="N60" i="57"/>
  <c r="K60" i="57" s="1"/>
  <c r="N62" i="16"/>
  <c r="K62" i="16" s="1"/>
  <c r="H5" i="16"/>
  <c r="M5" i="83"/>
  <c r="N21" i="83"/>
  <c r="K21" i="83" s="1"/>
  <c r="N10" i="83"/>
  <c r="K10" i="83" s="1"/>
  <c r="N35" i="83"/>
  <c r="K35" i="83" s="1"/>
  <c r="K5" i="21"/>
  <c r="N66" i="21"/>
  <c r="K66" i="21" s="1"/>
  <c r="F5" i="65"/>
  <c r="N65" i="65"/>
  <c r="K65" i="65" s="1"/>
  <c r="K51" i="28"/>
  <c r="K38" i="31"/>
  <c r="K42" i="31" s="1"/>
  <c r="K43" i="31" s="1"/>
  <c r="N42" i="31"/>
  <c r="N43" i="31" s="1"/>
  <c r="K70" i="52"/>
  <c r="K80" i="52" s="1"/>
  <c r="K81" i="52" s="1"/>
  <c r="N80" i="52"/>
  <c r="N81" i="52" s="1"/>
  <c r="N32" i="99"/>
  <c r="N45" i="99"/>
  <c r="N8" i="99"/>
  <c r="C5" i="99"/>
  <c r="N19" i="99"/>
  <c r="N54" i="35"/>
  <c r="K54" i="35" s="1"/>
  <c r="K38" i="81"/>
  <c r="K42" i="81" s="1"/>
  <c r="K43" i="81" s="1"/>
  <c r="N42" i="81"/>
  <c r="N43" i="81" s="1"/>
  <c r="N9" i="92"/>
  <c r="K9" i="92" s="1"/>
  <c r="N46" i="92"/>
  <c r="K46" i="92" s="1"/>
  <c r="G5" i="92"/>
  <c r="N33" i="92"/>
  <c r="K33" i="92" s="1"/>
  <c r="N20" i="92"/>
  <c r="K20" i="92" s="1"/>
  <c r="N54" i="29"/>
  <c r="N35" i="27"/>
  <c r="K35" i="27" s="1"/>
  <c r="M5" i="27"/>
  <c r="N10" i="27"/>
  <c r="K10" i="27" s="1"/>
  <c r="N21" i="27"/>
  <c r="K21" i="27" s="1"/>
  <c r="N80" i="62"/>
  <c r="N81" i="62" s="1"/>
  <c r="K70" i="62"/>
  <c r="K80" i="62" s="1"/>
  <c r="K81" i="62" s="1"/>
  <c r="N66" i="16"/>
  <c r="K66" i="16" s="1"/>
  <c r="K5" i="16"/>
  <c r="K29" i="79"/>
  <c r="K30" i="79" s="1"/>
  <c r="K19" i="29"/>
  <c r="H5" i="30"/>
  <c r="N62" i="30"/>
  <c r="K62" i="30" s="1"/>
  <c r="N29" i="56"/>
  <c r="N30" i="56" s="1"/>
  <c r="N70" i="69"/>
  <c r="N9" i="38"/>
  <c r="K9" i="38" s="1"/>
  <c r="N46" i="38"/>
  <c r="K46" i="38" s="1"/>
  <c r="G5" i="38"/>
  <c r="N20" i="38"/>
  <c r="K20" i="38" s="1"/>
  <c r="N33" i="38"/>
  <c r="K33" i="38" s="1"/>
  <c r="K19" i="110"/>
  <c r="K23" i="110" s="1"/>
  <c r="K24" i="110" s="1"/>
  <c r="N23" i="110"/>
  <c r="N24" i="110" s="1"/>
  <c r="K34" i="25"/>
  <c r="N67" i="25"/>
  <c r="K67" i="25" s="1"/>
  <c r="K13" i="20"/>
  <c r="K16" i="20" s="1"/>
  <c r="K17" i="20" s="1"/>
  <c r="N16" i="20"/>
  <c r="N17" i="20" s="1"/>
  <c r="N59" i="106"/>
  <c r="K59" i="106" s="1"/>
  <c r="D5" i="106"/>
  <c r="N35" i="18"/>
  <c r="K35" i="18" s="1"/>
  <c r="N10" i="18"/>
  <c r="K10" i="18" s="1"/>
  <c r="N21" i="18"/>
  <c r="K21" i="18" s="1"/>
  <c r="M5" i="18"/>
  <c r="N42" i="83"/>
  <c r="N43" i="83" s="1"/>
  <c r="K38" i="35"/>
  <c r="K42" i="35" s="1"/>
  <c r="K43" i="35" s="1"/>
  <c r="N42" i="35"/>
  <c r="N43" i="35" s="1"/>
  <c r="N42" i="68"/>
  <c r="N43" i="68" s="1"/>
  <c r="K38" i="68"/>
  <c r="K42" i="68" s="1"/>
  <c r="K43" i="68" s="1"/>
  <c r="O3" i="90"/>
  <c r="O5" i="90" s="1"/>
  <c r="N59" i="97"/>
  <c r="K59" i="97" s="1"/>
  <c r="D5" i="97"/>
  <c r="N65" i="43"/>
  <c r="K65" i="43" s="1"/>
  <c r="F5" i="43"/>
  <c r="N54" i="57"/>
  <c r="K54" i="57" s="1"/>
  <c r="D5" i="35"/>
  <c r="N59" i="35"/>
  <c r="K59" i="35" s="1"/>
  <c r="K10" i="109"/>
  <c r="N48" i="109"/>
  <c r="N35" i="71"/>
  <c r="K35" i="71" s="1"/>
  <c r="M5" i="71"/>
  <c r="N21" i="71"/>
  <c r="K21" i="71" s="1"/>
  <c r="N10" i="71"/>
  <c r="K10" i="71" s="1"/>
  <c r="N16" i="90"/>
  <c r="N17" i="90" s="1"/>
  <c r="N16" i="24"/>
  <c r="N17" i="24" s="1"/>
  <c r="K13" i="24"/>
  <c r="K16" i="24" s="1"/>
  <c r="K17" i="24" s="1"/>
  <c r="N60" i="22"/>
  <c r="K60" i="22" s="1"/>
  <c r="E5" i="22"/>
  <c r="N63" i="101"/>
  <c r="K63" i="101" s="1"/>
  <c r="I5" i="101"/>
  <c r="L8" i="125"/>
  <c r="M3" i="19"/>
  <c r="O3" i="19" s="1"/>
  <c r="O5" i="19" s="1"/>
  <c r="K38" i="82"/>
  <c r="K42" i="82" s="1"/>
  <c r="K43" i="82" s="1"/>
  <c r="N42" i="82"/>
  <c r="N43" i="82" s="1"/>
  <c r="N67" i="88"/>
  <c r="K67" i="88" s="1"/>
  <c r="N54" i="34"/>
  <c r="K54" i="34" s="1"/>
  <c r="H5" i="38"/>
  <c r="N62" i="38"/>
  <c r="K62" i="38" s="1"/>
  <c r="N9" i="21"/>
  <c r="K9" i="21" s="1"/>
  <c r="G5" i="21"/>
  <c r="N46" i="21"/>
  <c r="K46" i="21" s="1"/>
  <c r="N33" i="21"/>
  <c r="K33" i="21" s="1"/>
  <c r="N20" i="21"/>
  <c r="K20" i="21" s="1"/>
  <c r="N54" i="80"/>
  <c r="K54" i="80" s="1"/>
  <c r="K29" i="70"/>
  <c r="K30" i="70" s="1"/>
  <c r="K51" i="16"/>
  <c r="K29" i="29"/>
  <c r="K30" i="29" s="1"/>
  <c r="O3" i="88"/>
  <c r="O5" i="88" s="1"/>
  <c r="K29" i="109"/>
  <c r="K30" i="109" s="1"/>
  <c r="K29" i="41"/>
  <c r="K30" i="41" s="1"/>
  <c r="N47" i="49"/>
  <c r="K47" i="49" s="1"/>
  <c r="N34" i="49"/>
  <c r="K34" i="49" s="1"/>
  <c r="L5" i="49"/>
  <c r="K42" i="37"/>
  <c r="K43" i="37" s="1"/>
  <c r="K32" i="66"/>
  <c r="K36" i="66" s="1"/>
  <c r="K37" i="66" s="1"/>
  <c r="K16" i="37"/>
  <c r="K17" i="37" s="1"/>
  <c r="L33" i="125"/>
  <c r="M3" i="43"/>
  <c r="O3" i="43" s="1"/>
  <c r="O5" i="43" s="1"/>
  <c r="K13" i="19"/>
  <c r="K16" i="19" s="1"/>
  <c r="K17" i="19" s="1"/>
  <c r="N16" i="19"/>
  <c r="N17" i="19" s="1"/>
  <c r="N42" i="73"/>
  <c r="N43" i="73" s="1"/>
  <c r="K38" i="73"/>
  <c r="K42" i="73" s="1"/>
  <c r="K43" i="73" s="1"/>
  <c r="L28" i="125"/>
  <c r="M3" i="38"/>
  <c r="O3" i="38" s="1"/>
  <c r="O5" i="38" s="1"/>
  <c r="N54" i="61"/>
  <c r="K54" i="61" s="1"/>
  <c r="L50" i="125"/>
  <c r="M3" i="59"/>
  <c r="O3" i="59" s="1"/>
  <c r="O5" i="59" s="1"/>
  <c r="N80" i="83"/>
  <c r="N81" i="83" s="1"/>
  <c r="N46" i="44"/>
  <c r="K46" i="44" s="1"/>
  <c r="N20" i="44"/>
  <c r="K20" i="44" s="1"/>
  <c r="N33" i="44"/>
  <c r="K33" i="44" s="1"/>
  <c r="N9" i="44"/>
  <c r="K9" i="44" s="1"/>
  <c r="G5" i="44"/>
  <c r="N54" i="26"/>
  <c r="K19" i="109"/>
  <c r="K23" i="109" s="1"/>
  <c r="K24" i="109" s="1"/>
  <c r="N23" i="109"/>
  <c r="N24" i="109" s="1"/>
  <c r="O3" i="77"/>
  <c r="O5" i="77" s="1"/>
  <c r="K9" i="31"/>
  <c r="N61" i="31"/>
  <c r="K61" i="31" s="1"/>
  <c r="K19" i="63"/>
  <c r="K23" i="63" s="1"/>
  <c r="K24" i="63" s="1"/>
  <c r="N23" i="63"/>
  <c r="N24" i="63" s="1"/>
  <c r="K5" i="62"/>
  <c r="N66" i="62"/>
  <c r="K66" i="62" s="1"/>
  <c r="K70" i="109"/>
  <c r="K80" i="109" s="1"/>
  <c r="K81" i="109" s="1"/>
  <c r="N80" i="109"/>
  <c r="N81" i="109" s="1"/>
  <c r="N60" i="91"/>
  <c r="K60" i="91" s="1"/>
  <c r="E5" i="91"/>
  <c r="D5" i="21"/>
  <c r="N59" i="21"/>
  <c r="K59" i="21" s="1"/>
  <c r="K51" i="42"/>
  <c r="K54" i="52"/>
  <c r="K55" i="52" s="1"/>
  <c r="K56" i="52" s="1"/>
  <c r="N55" i="52"/>
  <c r="N56" i="52" s="1"/>
  <c r="N47" i="17"/>
  <c r="K47" i="17" s="1"/>
  <c r="L5" i="17"/>
  <c r="N34" i="17"/>
  <c r="K34" i="17" s="1"/>
  <c r="K38" i="108"/>
  <c r="K42" i="108" s="1"/>
  <c r="K43" i="108" s="1"/>
  <c r="N42" i="108"/>
  <c r="N43" i="108" s="1"/>
  <c r="N8" i="96"/>
  <c r="N45" i="96"/>
  <c r="N19" i="96"/>
  <c r="O3" i="96"/>
  <c r="O5" i="96" s="1"/>
  <c r="C5" i="96"/>
  <c r="N32" i="96"/>
  <c r="N66" i="35"/>
  <c r="K66" i="35" s="1"/>
  <c r="K5" i="35"/>
  <c r="I5" i="92"/>
  <c r="N63" i="92"/>
  <c r="K63" i="92" s="1"/>
  <c r="K32" i="69"/>
  <c r="N64" i="42"/>
  <c r="K64" i="42" s="1"/>
  <c r="J5" i="42"/>
  <c r="N35" i="100"/>
  <c r="K35" i="100" s="1"/>
  <c r="M5" i="100"/>
  <c r="N21" i="100"/>
  <c r="K21" i="100" s="1"/>
  <c r="N10" i="100"/>
  <c r="K10" i="100" s="1"/>
  <c r="K13" i="84"/>
  <c r="K16" i="84" s="1"/>
  <c r="K17" i="84" s="1"/>
  <c r="N16" i="84"/>
  <c r="N17" i="84" s="1"/>
  <c r="H105" i="125"/>
  <c r="H107" i="125" s="1"/>
  <c r="N46" i="56"/>
  <c r="K46" i="56" s="1"/>
  <c r="N20" i="56"/>
  <c r="K20" i="56" s="1"/>
  <c r="N33" i="56"/>
  <c r="K33" i="56" s="1"/>
  <c r="G5" i="56"/>
  <c r="N9" i="56"/>
  <c r="K9" i="56" s="1"/>
  <c r="N54" i="108"/>
  <c r="K54" i="108" s="1"/>
  <c r="L82" i="125"/>
  <c r="M3" i="89"/>
  <c r="K25" i="30"/>
  <c r="K29" i="30" s="1"/>
  <c r="K30" i="30" s="1"/>
  <c r="N29" i="30"/>
  <c r="N30" i="30" s="1"/>
  <c r="K34" i="73"/>
  <c r="N67" i="73"/>
  <c r="K67" i="73" s="1"/>
  <c r="K70" i="56"/>
  <c r="K80" i="56" s="1"/>
  <c r="K81" i="56" s="1"/>
  <c r="N80" i="56"/>
  <c r="N81" i="56" s="1"/>
  <c r="M5" i="80"/>
  <c r="N21" i="80"/>
  <c r="K21" i="80" s="1"/>
  <c r="N10" i="80"/>
  <c r="K10" i="80" s="1"/>
  <c r="N35" i="80"/>
  <c r="K35" i="80" s="1"/>
  <c r="N64" i="38"/>
  <c r="K64" i="38" s="1"/>
  <c r="J5" i="38"/>
  <c r="N58" i="34"/>
  <c r="N8" i="44"/>
  <c r="N32" i="44"/>
  <c r="C5" i="44"/>
  <c r="N45" i="44"/>
  <c r="N19" i="44"/>
  <c r="N16" i="74"/>
  <c r="N17" i="74" s="1"/>
  <c r="K13" i="74"/>
  <c r="K16" i="74" s="1"/>
  <c r="K17" i="74" s="1"/>
  <c r="K34" i="58"/>
  <c r="N67" i="58"/>
  <c r="K67" i="58" s="1"/>
  <c r="K34" i="78"/>
  <c r="N67" i="78"/>
  <c r="K67" i="78" s="1"/>
  <c r="K70" i="29"/>
  <c r="K80" i="29" s="1"/>
  <c r="K81" i="29" s="1"/>
  <c r="N80" i="29"/>
  <c r="N81" i="29" s="1"/>
  <c r="K19" i="18"/>
  <c r="N70" i="42"/>
  <c r="N55" i="90"/>
  <c r="N56" i="90" s="1"/>
  <c r="K42" i="47"/>
  <c r="K43" i="47" s="1"/>
  <c r="N54" i="59"/>
  <c r="K54" i="59" s="1"/>
  <c r="N32" i="92"/>
  <c r="N8" i="92"/>
  <c r="N19" i="92"/>
  <c r="C5" i="92"/>
  <c r="N45" i="92"/>
  <c r="N65" i="35"/>
  <c r="K65" i="35" s="1"/>
  <c r="F5" i="35"/>
  <c r="D5" i="17"/>
  <c r="N59" i="17"/>
  <c r="K59" i="17" s="1"/>
  <c r="H5" i="22"/>
  <c r="N62" i="22"/>
  <c r="K62" i="22" s="1"/>
  <c r="N54" i="96"/>
  <c r="K54" i="96" s="1"/>
  <c r="L5" i="89"/>
  <c r="N47" i="89"/>
  <c r="K47" i="89" s="1"/>
  <c r="N34" i="89"/>
  <c r="K34" i="89" s="1"/>
  <c r="N9" i="101"/>
  <c r="K9" i="101" s="1"/>
  <c r="N46" i="101"/>
  <c r="K46" i="101" s="1"/>
  <c r="N20" i="101"/>
  <c r="K20" i="101" s="1"/>
  <c r="N33" i="101"/>
  <c r="K33" i="101" s="1"/>
  <c r="G5" i="101"/>
  <c r="N11" i="48"/>
  <c r="N12" i="48" s="1"/>
  <c r="N18" i="48" s="1"/>
  <c r="K8" i="48"/>
  <c r="N58" i="48"/>
  <c r="K38" i="58"/>
  <c r="K42" i="58" s="1"/>
  <c r="K43" i="58" s="1"/>
  <c r="N42" i="58"/>
  <c r="N43" i="58" s="1"/>
  <c r="N54" i="87"/>
  <c r="K25" i="50"/>
  <c r="K29" i="50" s="1"/>
  <c r="K30" i="50" s="1"/>
  <c r="N29" i="50"/>
  <c r="N30" i="50" s="1"/>
  <c r="K19" i="100"/>
  <c r="K9" i="87"/>
  <c r="N61" i="87"/>
  <c r="K61" i="87" s="1"/>
  <c r="K8" i="32"/>
  <c r="N58" i="32"/>
  <c r="F5" i="30"/>
  <c r="N65" i="30"/>
  <c r="K65" i="30" s="1"/>
  <c r="K19" i="105"/>
  <c r="K32" i="25"/>
  <c r="N36" i="25"/>
  <c r="N37" i="25" s="1"/>
  <c r="N44" i="25" s="1"/>
  <c r="L118" i="124"/>
  <c r="L118" i="127" s="1"/>
  <c r="K118" i="124"/>
  <c r="K118" i="127" s="1"/>
  <c r="J118" i="124"/>
  <c r="N34" i="44"/>
  <c r="K34" i="44" s="1"/>
  <c r="L5" i="44"/>
  <c r="N47" i="44"/>
  <c r="K47" i="44" s="1"/>
  <c r="L97" i="125"/>
  <c r="M3" i="104"/>
  <c r="O3" i="104" s="1"/>
  <c r="O5" i="104" s="1"/>
  <c r="K34" i="34"/>
  <c r="N67" i="34"/>
  <c r="K67" i="34" s="1"/>
  <c r="N40" i="124"/>
  <c r="K9" i="32"/>
  <c r="N61" i="32"/>
  <c r="K61" i="32" s="1"/>
  <c r="K9" i="78"/>
  <c r="N61" i="78"/>
  <c r="K61" i="78" s="1"/>
  <c r="K5" i="61"/>
  <c r="N66" i="61"/>
  <c r="K66" i="61" s="1"/>
  <c r="K38" i="65"/>
  <c r="K42" i="65" s="1"/>
  <c r="K43" i="65" s="1"/>
  <c r="N42" i="65"/>
  <c r="N43" i="65" s="1"/>
  <c r="N35" i="87"/>
  <c r="K35" i="87" s="1"/>
  <c r="M5" i="87"/>
  <c r="N10" i="87"/>
  <c r="K10" i="87" s="1"/>
  <c r="N21" i="87"/>
  <c r="K21" i="87" s="1"/>
  <c r="N63" i="99"/>
  <c r="K63" i="99" s="1"/>
  <c r="I5" i="99"/>
  <c r="K19" i="28"/>
  <c r="K51" i="99"/>
  <c r="K55" i="99" s="1"/>
  <c r="K56" i="99" s="1"/>
  <c r="N55" i="99"/>
  <c r="N56" i="99" s="1"/>
  <c r="N36" i="53"/>
  <c r="N37" i="53" s="1"/>
  <c r="K32" i="53"/>
  <c r="N36" i="75"/>
  <c r="N37" i="75" s="1"/>
  <c r="K32" i="75"/>
  <c r="K36" i="75" s="1"/>
  <c r="K37" i="75" s="1"/>
  <c r="K70" i="48"/>
  <c r="K80" i="48" s="1"/>
  <c r="K81" i="48" s="1"/>
  <c r="N80" i="48"/>
  <c r="N81" i="48" s="1"/>
  <c r="K9" i="41"/>
  <c r="N61" i="41"/>
  <c r="K61" i="41" s="1"/>
  <c r="N60" i="49"/>
  <c r="K60" i="49" s="1"/>
  <c r="E5" i="49"/>
  <c r="N21" i="31"/>
  <c r="K21" i="31" s="1"/>
  <c r="M5" i="31"/>
  <c r="N10" i="31"/>
  <c r="K10" i="31" s="1"/>
  <c r="N35" i="31"/>
  <c r="K35" i="31" s="1"/>
  <c r="D5" i="57"/>
  <c r="N59" i="57"/>
  <c r="K59" i="57" s="1"/>
  <c r="K25" i="23"/>
  <c r="K29" i="23" s="1"/>
  <c r="K30" i="23" s="1"/>
  <c r="N29" i="23"/>
  <c r="N30" i="23" s="1"/>
  <c r="L88" i="125"/>
  <c r="M3" i="95"/>
  <c r="N60" i="38"/>
  <c r="K60" i="38" s="1"/>
  <c r="E5" i="38"/>
  <c r="K16" i="98"/>
  <c r="K17" i="98" s="1"/>
  <c r="K8" i="81"/>
  <c r="N11" i="81"/>
  <c r="N12" i="81" s="1"/>
  <c r="N29" i="83"/>
  <c r="N30" i="83" s="1"/>
  <c r="L64" i="125"/>
  <c r="M3" i="72"/>
  <c r="O3" i="72" s="1"/>
  <c r="O5" i="72" s="1"/>
  <c r="N59" i="111"/>
  <c r="K59" i="111" s="1"/>
  <c r="D5" i="111"/>
  <c r="F5" i="91"/>
  <c r="N65" i="91"/>
  <c r="K65" i="91" s="1"/>
  <c r="N42" i="92"/>
  <c r="N43" i="92" s="1"/>
  <c r="K38" i="92"/>
  <c r="K42" i="92" s="1"/>
  <c r="K43" i="92" s="1"/>
  <c r="K9" i="34"/>
  <c r="N61" i="34"/>
  <c r="K61" i="34" s="1"/>
  <c r="K8" i="55"/>
  <c r="K11" i="55" s="1"/>
  <c r="K12" i="55" s="1"/>
  <c r="K18" i="55" s="1"/>
  <c r="N11" i="55"/>
  <c r="N12" i="55" s="1"/>
  <c r="N18" i="55" s="1"/>
  <c r="N58" i="55"/>
  <c r="K9" i="28"/>
  <c r="N61" i="28"/>
  <c r="K61" i="28" s="1"/>
  <c r="N16" i="106"/>
  <c r="N17" i="106" s="1"/>
  <c r="K45" i="50"/>
  <c r="H5" i="51"/>
  <c r="N62" i="51"/>
  <c r="K62" i="51" s="1"/>
  <c r="N16" i="51"/>
  <c r="N17" i="51" s="1"/>
  <c r="K13" i="51"/>
  <c r="K16" i="51" s="1"/>
  <c r="K17" i="51" s="1"/>
  <c r="K70" i="71"/>
  <c r="K80" i="71" s="1"/>
  <c r="K81" i="71" s="1"/>
  <c r="N80" i="71"/>
  <c r="N81" i="71" s="1"/>
  <c r="N70" i="27"/>
  <c r="O3" i="20"/>
  <c r="O5" i="20" s="1"/>
  <c r="G5" i="24"/>
  <c r="N9" i="24"/>
  <c r="K9" i="24" s="1"/>
  <c r="N20" i="24"/>
  <c r="K20" i="24" s="1"/>
  <c r="N46" i="24"/>
  <c r="K46" i="24" s="1"/>
  <c r="N33" i="24"/>
  <c r="K33" i="24" s="1"/>
  <c r="N19" i="62"/>
  <c r="C5" i="62"/>
  <c r="N8" i="62"/>
  <c r="N32" i="62"/>
  <c r="N45" i="62"/>
  <c r="K16" i="40"/>
  <c r="K17" i="40" s="1"/>
  <c r="K51" i="49"/>
  <c r="N64" i="68"/>
  <c r="K64" i="68" s="1"/>
  <c r="J5" i="68"/>
  <c r="J5" i="64"/>
  <c r="N64" i="64"/>
  <c r="K64" i="64" s="1"/>
  <c r="N9" i="52"/>
  <c r="K9" i="52" s="1"/>
  <c r="N33" i="52"/>
  <c r="K33" i="52" s="1"/>
  <c r="G5" i="52"/>
  <c r="N46" i="52"/>
  <c r="K46" i="52" s="1"/>
  <c r="N20" i="52"/>
  <c r="K20" i="52" s="1"/>
  <c r="N64" i="36"/>
  <c r="K64" i="36" s="1"/>
  <c r="J5" i="36"/>
  <c r="I5" i="49"/>
  <c r="N63" i="49"/>
  <c r="K63" i="49" s="1"/>
  <c r="N63" i="43"/>
  <c r="K63" i="43" s="1"/>
  <c r="I5" i="43"/>
  <c r="K38" i="77"/>
  <c r="N42" i="77"/>
  <c r="N43" i="77" s="1"/>
  <c r="N54" i="85"/>
  <c r="K54" i="85" s="1"/>
  <c r="N16" i="60"/>
  <c r="N17" i="60" s="1"/>
  <c r="N54" i="47"/>
  <c r="N64" i="79"/>
  <c r="K64" i="79" s="1"/>
  <c r="J5" i="79"/>
  <c r="L5" i="56"/>
  <c r="N34" i="56"/>
  <c r="K34" i="56" s="1"/>
  <c r="N47" i="56"/>
  <c r="K47" i="56" s="1"/>
  <c r="H5" i="47"/>
  <c r="N62" i="47"/>
  <c r="K62" i="47" s="1"/>
  <c r="N54" i="37"/>
  <c r="L119" i="124"/>
  <c r="L119" i="127" s="1"/>
  <c r="J119" i="124"/>
  <c r="K119" i="124"/>
  <c r="K119" i="127" s="1"/>
  <c r="K34" i="69"/>
  <c r="N67" i="69"/>
  <c r="K67" i="69" s="1"/>
  <c r="K13" i="28"/>
  <c r="K16" i="28" s="1"/>
  <c r="K17" i="28" s="1"/>
  <c r="N16" i="28"/>
  <c r="N17" i="28" s="1"/>
  <c r="N54" i="56"/>
  <c r="N62" i="61"/>
  <c r="K62" i="61" s="1"/>
  <c r="H5" i="61"/>
  <c r="N54" i="70"/>
  <c r="K16" i="52"/>
  <c r="K17" i="52" s="1"/>
  <c r="K13" i="81"/>
  <c r="K16" i="81" s="1"/>
  <c r="K17" i="81" s="1"/>
  <c r="N16" i="81"/>
  <c r="N17" i="81" s="1"/>
  <c r="N16" i="62"/>
  <c r="N17" i="62" s="1"/>
  <c r="N65" i="67"/>
  <c r="K65" i="67" s="1"/>
  <c r="F5" i="67"/>
  <c r="N70" i="36"/>
  <c r="F5" i="89"/>
  <c r="N65" i="89"/>
  <c r="K65" i="89" s="1"/>
  <c r="N10" i="37"/>
  <c r="K10" i="37" s="1"/>
  <c r="N21" i="37"/>
  <c r="K21" i="37" s="1"/>
  <c r="N35" i="37"/>
  <c r="K35" i="37" s="1"/>
  <c r="M5" i="37"/>
  <c r="K32" i="40"/>
  <c r="H5" i="19"/>
  <c r="N62" i="19"/>
  <c r="K62" i="19" s="1"/>
  <c r="N9" i="51"/>
  <c r="K9" i="51" s="1"/>
  <c r="N46" i="51"/>
  <c r="K46" i="51" s="1"/>
  <c r="N20" i="51"/>
  <c r="K20" i="51" s="1"/>
  <c r="G5" i="51"/>
  <c r="N33" i="51"/>
  <c r="K33" i="51" s="1"/>
  <c r="N59" i="95"/>
  <c r="K59" i="95" s="1"/>
  <c r="D5" i="95"/>
  <c r="N70" i="95"/>
  <c r="K38" i="88"/>
  <c r="K42" i="88" s="1"/>
  <c r="K43" i="88" s="1"/>
  <c r="N42" i="88"/>
  <c r="N43" i="88" s="1"/>
  <c r="N42" i="69"/>
  <c r="N43" i="69" s="1"/>
  <c r="K38" i="69"/>
  <c r="K42" i="69" s="1"/>
  <c r="K43" i="69" s="1"/>
  <c r="N54" i="101"/>
  <c r="K32" i="110"/>
  <c r="N62" i="65"/>
  <c r="K62" i="65" s="1"/>
  <c r="H5" i="65"/>
  <c r="K42" i="70"/>
  <c r="K43" i="70" s="1"/>
  <c r="K25" i="17"/>
  <c r="N29" i="17"/>
  <c r="N30" i="17" s="1"/>
  <c r="K42" i="83"/>
  <c r="K43" i="83" s="1"/>
  <c r="K5" i="99"/>
  <c r="N66" i="99"/>
  <c r="K66" i="99" s="1"/>
  <c r="K25" i="35"/>
  <c r="K29" i="35" s="1"/>
  <c r="K30" i="35" s="1"/>
  <c r="N29" i="35"/>
  <c r="N30" i="35" s="1"/>
  <c r="K51" i="68"/>
  <c r="K55" i="68" s="1"/>
  <c r="K56" i="68" s="1"/>
  <c r="N55" i="68"/>
  <c r="N56" i="68" s="1"/>
  <c r="K5" i="52"/>
  <c r="N66" i="52"/>
  <c r="K66" i="52" s="1"/>
  <c r="N54" i="18"/>
  <c r="N67" i="98"/>
  <c r="K67" i="98" s="1"/>
  <c r="K70" i="90"/>
  <c r="K80" i="90" s="1"/>
  <c r="K81" i="90" s="1"/>
  <c r="N80" i="90"/>
  <c r="N81" i="90" s="1"/>
  <c r="K38" i="24"/>
  <c r="K42" i="24" s="1"/>
  <c r="K43" i="24" s="1"/>
  <c r="N42" i="24"/>
  <c r="N43" i="24" s="1"/>
  <c r="E5" i="67"/>
  <c r="N60" i="67"/>
  <c r="K60" i="67" s="1"/>
  <c r="J5" i="19"/>
  <c r="N64" i="19"/>
  <c r="K64" i="19" s="1"/>
  <c r="K13" i="82"/>
  <c r="K16" i="82" s="1"/>
  <c r="K17" i="82" s="1"/>
  <c r="N16" i="82"/>
  <c r="N17" i="82" s="1"/>
  <c r="K42" i="77"/>
  <c r="K43" i="77" s="1"/>
  <c r="N29" i="70"/>
  <c r="N30" i="70" s="1"/>
  <c r="N16" i="110"/>
  <c r="N17" i="110" s="1"/>
  <c r="N16" i="16"/>
  <c r="N17" i="16" s="1"/>
  <c r="K13" i="16"/>
  <c r="K16" i="16" s="1"/>
  <c r="K17" i="16" s="1"/>
  <c r="D5" i="24"/>
  <c r="N59" i="24"/>
  <c r="K59" i="24" s="1"/>
  <c r="N35" i="33"/>
  <c r="K35" i="33" s="1"/>
  <c r="M5" i="33"/>
  <c r="N10" i="33"/>
  <c r="K10" i="33" s="1"/>
  <c r="N21" i="33"/>
  <c r="K21" i="33" s="1"/>
  <c r="K13" i="103"/>
  <c r="K16" i="103" s="1"/>
  <c r="K17" i="103" s="1"/>
  <c r="N16" i="103"/>
  <c r="N17" i="103" s="1"/>
  <c r="K32" i="45"/>
  <c r="N64" i="62"/>
  <c r="K64" i="62" s="1"/>
  <c r="J5" i="62"/>
  <c r="N29" i="47"/>
  <c r="N30" i="47" s="1"/>
  <c r="N70" i="39"/>
  <c r="N59" i="26"/>
  <c r="K59" i="26" s="1"/>
  <c r="D5" i="26"/>
  <c r="N47" i="36"/>
  <c r="K47" i="36" s="1"/>
  <c r="N34" i="36"/>
  <c r="K34" i="36" s="1"/>
  <c r="L5" i="36"/>
  <c r="N42" i="37"/>
  <c r="N43" i="37" s="1"/>
  <c r="K8" i="60"/>
  <c r="N58" i="60"/>
  <c r="N47" i="65"/>
  <c r="K47" i="65" s="1"/>
  <c r="N34" i="65"/>
  <c r="K34" i="65" s="1"/>
  <c r="L5" i="65"/>
  <c r="N55" i="110"/>
  <c r="N56" i="110" s="1"/>
  <c r="M5" i="45"/>
  <c r="N21" i="45"/>
  <c r="K21" i="45" s="1"/>
  <c r="N10" i="45"/>
  <c r="K10" i="45" s="1"/>
  <c r="N35" i="45"/>
  <c r="K35" i="45" s="1"/>
  <c r="K29" i="94"/>
  <c r="K30" i="94" s="1"/>
  <c r="K19" i="66"/>
  <c r="K23" i="66" s="1"/>
  <c r="K24" i="66" s="1"/>
  <c r="N23" i="66"/>
  <c r="N24" i="66" s="1"/>
  <c r="N47" i="97"/>
  <c r="K47" i="97" s="1"/>
  <c r="N34" i="97"/>
  <c r="K34" i="97" s="1"/>
  <c r="L5" i="97"/>
  <c r="N16" i="37"/>
  <c r="N17" i="37" s="1"/>
  <c r="F5" i="111"/>
  <c r="N65" i="111"/>
  <c r="K65" i="111" s="1"/>
  <c r="N70" i="85"/>
  <c r="N46" i="108"/>
  <c r="K46" i="108" s="1"/>
  <c r="N20" i="108"/>
  <c r="K20" i="108" s="1"/>
  <c r="N9" i="108"/>
  <c r="K9" i="108" s="1"/>
  <c r="G5" i="108"/>
  <c r="N33" i="108"/>
  <c r="K33" i="108" s="1"/>
  <c r="N54" i="65"/>
  <c r="K54" i="65" s="1"/>
  <c r="N61" i="105"/>
  <c r="K61" i="105" s="1"/>
  <c r="N63" i="26"/>
  <c r="K63" i="26" s="1"/>
  <c r="I5" i="26"/>
  <c r="N63" i="36"/>
  <c r="K63" i="36" s="1"/>
  <c r="I5" i="36"/>
  <c r="K51" i="73"/>
  <c r="K55" i="73" s="1"/>
  <c r="K56" i="73" s="1"/>
  <c r="N55" i="73"/>
  <c r="N56" i="73" s="1"/>
  <c r="N47" i="38"/>
  <c r="K47" i="38" s="1"/>
  <c r="N34" i="38"/>
  <c r="K34" i="38" s="1"/>
  <c r="L5" i="38"/>
  <c r="L13" i="125"/>
  <c r="M3" i="24"/>
  <c r="N63" i="106"/>
  <c r="K63" i="106" s="1"/>
  <c r="I5" i="106"/>
  <c r="D5" i="36"/>
  <c r="N59" i="36"/>
  <c r="K59" i="36" s="1"/>
  <c r="K80" i="83"/>
  <c r="K81" i="83" s="1"/>
  <c r="K25" i="100"/>
  <c r="K29" i="100" s="1"/>
  <c r="K30" i="100" s="1"/>
  <c r="N29" i="100"/>
  <c r="N30" i="100" s="1"/>
  <c r="N32" i="97"/>
  <c r="C5" i="97"/>
  <c r="N8" i="97"/>
  <c r="N45" i="97"/>
  <c r="N19" i="97"/>
  <c r="O3" i="97"/>
  <c r="O5" i="97" s="1"/>
  <c r="N59" i="43"/>
  <c r="K59" i="43" s="1"/>
  <c r="D5" i="43"/>
  <c r="N61" i="76"/>
  <c r="K61" i="76" s="1"/>
  <c r="N66" i="91"/>
  <c r="K66" i="91" s="1"/>
  <c r="K5" i="91"/>
  <c r="N70" i="59"/>
  <c r="N46" i="61"/>
  <c r="K46" i="61" s="1"/>
  <c r="N9" i="61"/>
  <c r="K9" i="61" s="1"/>
  <c r="N33" i="61"/>
  <c r="K33" i="61" s="1"/>
  <c r="G5" i="61"/>
  <c r="N20" i="61"/>
  <c r="K20" i="61" s="1"/>
  <c r="K70" i="50"/>
  <c r="K80" i="50" s="1"/>
  <c r="K81" i="50" s="1"/>
  <c r="N80" i="50"/>
  <c r="N81" i="50" s="1"/>
  <c r="N16" i="44"/>
  <c r="N17" i="44" s="1"/>
  <c r="K13" i="44"/>
  <c r="K16" i="44" s="1"/>
  <c r="K17" i="44" s="1"/>
  <c r="K70" i="63"/>
  <c r="K80" i="63" s="1"/>
  <c r="K81" i="63" s="1"/>
  <c r="N80" i="63"/>
  <c r="N81" i="63" s="1"/>
  <c r="N62" i="35"/>
  <c r="K62" i="35" s="1"/>
  <c r="H5" i="35"/>
  <c r="N54" i="53"/>
  <c r="K54" i="53" s="1"/>
  <c r="N67" i="39"/>
  <c r="K67" i="39" s="1"/>
  <c r="N64" i="17"/>
  <c r="K64" i="17" s="1"/>
  <c r="J5" i="17"/>
  <c r="F5" i="22"/>
  <c r="N65" i="22"/>
  <c r="K65" i="22" s="1"/>
  <c r="N59" i="89"/>
  <c r="K59" i="89" s="1"/>
  <c r="D5" i="89"/>
  <c r="K38" i="30"/>
  <c r="K42" i="30" s="1"/>
  <c r="K43" i="30" s="1"/>
  <c r="N42" i="30"/>
  <c r="N43" i="30" s="1"/>
  <c r="K5" i="19"/>
  <c r="N66" i="19"/>
  <c r="K66" i="19" s="1"/>
  <c r="F5" i="51"/>
  <c r="N65" i="51"/>
  <c r="K65" i="51" s="1"/>
  <c r="N62" i="95"/>
  <c r="K62" i="95" s="1"/>
  <c r="H5" i="95"/>
  <c r="K9" i="18"/>
  <c r="N61" i="18"/>
  <c r="K61" i="18" s="1"/>
  <c r="N70" i="76"/>
  <c r="N62" i="21"/>
  <c r="K62" i="21" s="1"/>
  <c r="H5" i="21"/>
  <c r="K9" i="86"/>
  <c r="N61" i="86"/>
  <c r="K61" i="86" s="1"/>
  <c r="N29" i="74"/>
  <c r="N30" i="74" s="1"/>
  <c r="K25" i="74"/>
  <c r="K29" i="74" s="1"/>
  <c r="K30" i="74" s="1"/>
  <c r="N34" i="94"/>
  <c r="K34" i="94" s="1"/>
  <c r="L5" i="94"/>
  <c r="N47" i="94"/>
  <c r="K47" i="94" s="1"/>
  <c r="K13" i="42"/>
  <c r="K16" i="42" s="1"/>
  <c r="K17" i="42" s="1"/>
  <c r="N16" i="42"/>
  <c r="N17" i="42" s="1"/>
  <c r="N65" i="99"/>
  <c r="K65" i="99" s="1"/>
  <c r="F5" i="99"/>
  <c r="N59" i="68"/>
  <c r="K59" i="68" s="1"/>
  <c r="D5" i="68"/>
  <c r="L15" i="125"/>
  <c r="M3" i="26"/>
  <c r="O3" i="26" s="1"/>
  <c r="O5" i="26" s="1"/>
  <c r="G5" i="59"/>
  <c r="N9" i="59"/>
  <c r="K9" i="59" s="1"/>
  <c r="N20" i="59"/>
  <c r="K20" i="59" s="1"/>
  <c r="N46" i="59"/>
  <c r="K46" i="59" s="1"/>
  <c r="N33" i="59"/>
  <c r="K33" i="59" s="1"/>
  <c r="N54" i="63"/>
  <c r="N64" i="111"/>
  <c r="K64" i="111" s="1"/>
  <c r="J5" i="111"/>
  <c r="K9" i="50"/>
  <c r="N61" i="50"/>
  <c r="K61" i="50" s="1"/>
  <c r="L48" i="125"/>
  <c r="M3" i="57"/>
  <c r="O3" i="57" s="1"/>
  <c r="O5" i="57" s="1"/>
  <c r="N70" i="53"/>
  <c r="N70" i="91"/>
  <c r="N59" i="16"/>
  <c r="K59" i="16" s="1"/>
  <c r="D5" i="16"/>
  <c r="N9" i="74"/>
  <c r="K9" i="74" s="1"/>
  <c r="N33" i="74"/>
  <c r="K33" i="74" s="1"/>
  <c r="G5" i="74"/>
  <c r="N20" i="74"/>
  <c r="K20" i="74" s="1"/>
  <c r="N46" i="74"/>
  <c r="K46" i="74" s="1"/>
  <c r="K13" i="58"/>
  <c r="K16" i="58" s="1"/>
  <c r="K17" i="58" s="1"/>
  <c r="N16" i="58"/>
  <c r="N17" i="58" s="1"/>
  <c r="N16" i="50"/>
  <c r="N17" i="50" s="1"/>
  <c r="K13" i="50"/>
  <c r="K16" i="50" s="1"/>
  <c r="K17" i="50" s="1"/>
  <c r="L32" i="125"/>
  <c r="M3" i="42"/>
  <c r="O3" i="42" s="1"/>
  <c r="O5" i="42" s="1"/>
  <c r="K8" i="100"/>
  <c r="N58" i="100"/>
  <c r="N35" i="50"/>
  <c r="K35" i="50" s="1"/>
  <c r="N21" i="50"/>
  <c r="K21" i="50" s="1"/>
  <c r="N10" i="50"/>
  <c r="K10" i="50" s="1"/>
  <c r="M5" i="50"/>
  <c r="N60" i="56"/>
  <c r="K60" i="56" s="1"/>
  <c r="E5" i="56"/>
  <c r="N70" i="96"/>
  <c r="N54" i="23"/>
  <c r="K54" i="23" s="1"/>
  <c r="N67" i="81"/>
  <c r="K67" i="81" s="1"/>
  <c r="N16" i="87"/>
  <c r="N17" i="87" s="1"/>
  <c r="K8" i="105"/>
  <c r="N58" i="105"/>
  <c r="L57" i="125"/>
  <c r="M3" i="65"/>
  <c r="N42" i="44"/>
  <c r="N43" i="44" s="1"/>
  <c r="K38" i="44"/>
  <c r="K42" i="44" s="1"/>
  <c r="K43" i="44" s="1"/>
  <c r="H5" i="104"/>
  <c r="N62" i="104"/>
  <c r="K62" i="104" s="1"/>
  <c r="K22" i="118"/>
  <c r="N22" i="118" s="1"/>
  <c r="K51" i="65"/>
  <c r="K55" i="65" s="1"/>
  <c r="K56" i="65" s="1"/>
  <c r="N55" i="65"/>
  <c r="N56" i="65" s="1"/>
  <c r="K34" i="20"/>
  <c r="N67" i="20"/>
  <c r="K67" i="20" s="1"/>
  <c r="K13" i="99"/>
  <c r="K16" i="99" s="1"/>
  <c r="K17" i="99" s="1"/>
  <c r="N16" i="99"/>
  <c r="N17" i="99" s="1"/>
  <c r="K45" i="53"/>
  <c r="N70" i="61"/>
  <c r="N54" i="78"/>
  <c r="N60" i="52"/>
  <c r="K60" i="52" s="1"/>
  <c r="E5" i="52"/>
  <c r="K29" i="106"/>
  <c r="K30" i="106" s="1"/>
  <c r="N65" i="17"/>
  <c r="K65" i="17" s="1"/>
  <c r="F5" i="17"/>
  <c r="O3" i="89"/>
  <c r="O5" i="89" s="1"/>
  <c r="N8" i="89"/>
  <c r="N19" i="89"/>
  <c r="N32" i="89"/>
  <c r="C5" i="89"/>
  <c r="N45" i="89"/>
  <c r="K5" i="30"/>
  <c r="N66" i="30"/>
  <c r="K66" i="30" s="1"/>
  <c r="N64" i="47"/>
  <c r="K64" i="47" s="1"/>
  <c r="J5" i="47"/>
  <c r="K42" i="55"/>
  <c r="K43" i="55" s="1"/>
  <c r="N8" i="51"/>
  <c r="N32" i="51"/>
  <c r="C5" i="51"/>
  <c r="N19" i="51"/>
  <c r="N45" i="51"/>
  <c r="K32" i="58"/>
  <c r="N36" i="58"/>
  <c r="N37" i="58" s="1"/>
  <c r="K70" i="67"/>
  <c r="K80" i="67" s="1"/>
  <c r="K81" i="67" s="1"/>
  <c r="N80" i="67"/>
  <c r="N81" i="67" s="1"/>
  <c r="K70" i="45"/>
  <c r="K80" i="45" s="1"/>
  <c r="K81" i="45" s="1"/>
  <c r="N80" i="45"/>
  <c r="N81" i="45" s="1"/>
  <c r="K5" i="96"/>
  <c r="N66" i="96"/>
  <c r="K66" i="96" s="1"/>
  <c r="N54" i="111"/>
  <c r="K54" i="111" s="1"/>
  <c r="K5" i="104"/>
  <c r="N66" i="104"/>
  <c r="K66" i="104" s="1"/>
  <c r="I5" i="94"/>
  <c r="N63" i="94"/>
  <c r="K63" i="94" s="1"/>
  <c r="K42" i="33"/>
  <c r="K43" i="33" s="1"/>
  <c r="K25" i="43"/>
  <c r="K29" i="43" s="1"/>
  <c r="K30" i="43" s="1"/>
  <c r="N29" i="43"/>
  <c r="N30" i="43" s="1"/>
  <c r="K29" i="83"/>
  <c r="K30" i="83" s="1"/>
  <c r="N9" i="68"/>
  <c r="K9" i="68" s="1"/>
  <c r="N33" i="68"/>
  <c r="K33" i="68" s="1"/>
  <c r="N20" i="68"/>
  <c r="K20" i="68" s="1"/>
  <c r="G5" i="68"/>
  <c r="N46" i="68"/>
  <c r="K46" i="68" s="1"/>
  <c r="H5" i="36"/>
  <c r="N62" i="36"/>
  <c r="K62" i="36" s="1"/>
  <c r="K51" i="92"/>
  <c r="N21" i="32"/>
  <c r="K21" i="32" s="1"/>
  <c r="M5" i="32"/>
  <c r="N35" i="32"/>
  <c r="K35" i="32" s="1"/>
  <c r="N10" i="32"/>
  <c r="K10" i="32" s="1"/>
  <c r="O3" i="55"/>
  <c r="O5" i="55" s="1"/>
  <c r="K19" i="50"/>
  <c r="K8" i="86"/>
  <c r="K5" i="22"/>
  <c r="N66" i="22"/>
  <c r="K66" i="22" s="1"/>
  <c r="K9" i="109"/>
  <c r="N61" i="109"/>
  <c r="K61" i="109" s="1"/>
  <c r="K8" i="78"/>
  <c r="K11" i="78" s="1"/>
  <c r="K12" i="78" s="1"/>
  <c r="K18" i="78" s="1"/>
  <c r="N11" i="78"/>
  <c r="N12" i="78" s="1"/>
  <c r="N18" i="78" s="1"/>
  <c r="N58" i="78"/>
  <c r="L38" i="125"/>
  <c r="M3" i="47"/>
  <c r="K9" i="39"/>
  <c r="N61" i="39"/>
  <c r="K61" i="39" s="1"/>
  <c r="D5" i="38"/>
  <c r="N59" i="38"/>
  <c r="K59" i="38" s="1"/>
  <c r="N63" i="21"/>
  <c r="K63" i="21" s="1"/>
  <c r="I5" i="21"/>
  <c r="N70" i="46"/>
  <c r="D5" i="96"/>
  <c r="N59" i="96"/>
  <c r="K59" i="96" s="1"/>
  <c r="K32" i="82"/>
  <c r="K25" i="27"/>
  <c r="K29" i="27" s="1"/>
  <c r="K30" i="27" s="1"/>
  <c r="N29" i="27"/>
  <c r="N30" i="27" s="1"/>
  <c r="K32" i="20"/>
  <c r="L87" i="125"/>
  <c r="M3" i="94"/>
  <c r="O3" i="94" s="1"/>
  <c r="O5" i="94" s="1"/>
  <c r="N67" i="109"/>
  <c r="K67" i="109" s="1"/>
  <c r="K34" i="29"/>
  <c r="N67" i="29"/>
  <c r="K67" i="29" s="1"/>
  <c r="J117" i="124"/>
  <c r="J117" i="127" s="1"/>
  <c r="L117" i="124"/>
  <c r="L117" i="127" s="1"/>
  <c r="K117" i="124"/>
  <c r="K25" i="49"/>
  <c r="K29" i="49" s="1"/>
  <c r="K30" i="49" s="1"/>
  <c r="N29" i="49"/>
  <c r="N30" i="49" s="1"/>
  <c r="K25" i="77"/>
  <c r="K29" i="77" s="1"/>
  <c r="K30" i="77" s="1"/>
  <c r="N29" i="77"/>
  <c r="N30" i="77" s="1"/>
  <c r="K16" i="60"/>
  <c r="K17" i="60" s="1"/>
  <c r="M5" i="73"/>
  <c r="N10" i="73"/>
  <c r="K10" i="73" s="1"/>
  <c r="N35" i="73"/>
  <c r="K35" i="73" s="1"/>
  <c r="N21" i="73"/>
  <c r="K21" i="73" s="1"/>
  <c r="G105" i="125"/>
  <c r="G107" i="125" s="1"/>
  <c r="N60" i="89"/>
  <c r="K60" i="89" s="1"/>
  <c r="E5" i="89"/>
  <c r="N66" i="65"/>
  <c r="K66" i="65" s="1"/>
  <c r="K5" i="65"/>
  <c r="N29" i="110"/>
  <c r="N30" i="110" s="1"/>
  <c r="L92" i="125"/>
  <c r="M3" i="99"/>
  <c r="O3" i="99" s="1"/>
  <c r="O5" i="99" s="1"/>
  <c r="K5" i="68"/>
  <c r="N66" i="68"/>
  <c r="K66" i="68" s="1"/>
  <c r="F5" i="42"/>
  <c r="N65" i="42"/>
  <c r="K65" i="42" s="1"/>
  <c r="K16" i="62"/>
  <c r="K17" i="62" s="1"/>
  <c r="J105" i="125"/>
  <c r="J107" i="125" s="1"/>
  <c r="K25" i="36"/>
  <c r="K29" i="36" s="1"/>
  <c r="K30" i="36" s="1"/>
  <c r="N29" i="36"/>
  <c r="N30" i="36" s="1"/>
  <c r="K8" i="40"/>
  <c r="N11" i="40"/>
  <c r="N12" i="40" s="1"/>
  <c r="N58" i="40"/>
  <c r="K51" i="95"/>
  <c r="K55" i="95" s="1"/>
  <c r="K56" i="95" s="1"/>
  <c r="N55" i="95"/>
  <c r="N56" i="95" s="1"/>
  <c r="K51" i="88"/>
  <c r="N10" i="40"/>
  <c r="K10" i="40" s="1"/>
  <c r="N21" i="40"/>
  <c r="K21" i="40" s="1"/>
  <c r="N35" i="40"/>
  <c r="K35" i="40" s="1"/>
  <c r="M5" i="40"/>
  <c r="N42" i="70"/>
  <c r="N43" i="70" s="1"/>
  <c r="N63" i="44"/>
  <c r="K63" i="44" s="1"/>
  <c r="I5" i="44"/>
  <c r="K34" i="102"/>
  <c r="N67" i="102"/>
  <c r="K67" i="102" s="1"/>
  <c r="K38" i="17"/>
  <c r="N42" i="17"/>
  <c r="N43" i="17" s="1"/>
  <c r="K42" i="98"/>
  <c r="K43" i="98" s="1"/>
  <c r="N21" i="41"/>
  <c r="K21" i="41" s="1"/>
  <c r="N10" i="41"/>
  <c r="K10" i="41" s="1"/>
  <c r="M5" i="41"/>
  <c r="N35" i="41"/>
  <c r="K35" i="41" s="1"/>
  <c r="K51" i="35"/>
  <c r="K55" i="35" s="1"/>
  <c r="K56" i="35" s="1"/>
  <c r="N55" i="35"/>
  <c r="N56" i="35" s="1"/>
  <c r="K8" i="84"/>
  <c r="N58" i="84"/>
  <c r="N16" i="68"/>
  <c r="N17" i="68" s="1"/>
  <c r="K13" i="68"/>
  <c r="K16" i="68" s="1"/>
  <c r="K17" i="68" s="1"/>
  <c r="N70" i="72"/>
  <c r="N70" i="38"/>
  <c r="N33" i="111"/>
  <c r="K33" i="111" s="1"/>
  <c r="G5" i="111"/>
  <c r="N9" i="111"/>
  <c r="K9" i="111" s="1"/>
  <c r="N20" i="111"/>
  <c r="K20" i="111" s="1"/>
  <c r="N46" i="111"/>
  <c r="K46" i="111" s="1"/>
  <c r="K42" i="22"/>
  <c r="K43" i="22" s="1"/>
  <c r="F5" i="92"/>
  <c r="N65" i="92"/>
  <c r="K65" i="92" s="1"/>
  <c r="K34" i="93"/>
  <c r="N67" i="93"/>
  <c r="K67" i="93" s="1"/>
  <c r="K16" i="90"/>
  <c r="K17" i="90" s="1"/>
  <c r="K51" i="24"/>
  <c r="K55" i="24" s="1"/>
  <c r="K56" i="24" s="1"/>
  <c r="N55" i="24"/>
  <c r="N56" i="24" s="1"/>
  <c r="N60" i="79"/>
  <c r="K60" i="79" s="1"/>
  <c r="E5" i="79"/>
  <c r="O3" i="73"/>
  <c r="O5" i="73" s="1"/>
  <c r="L11" i="125"/>
  <c r="M3" i="22"/>
  <c r="O3" i="22" s="1"/>
  <c r="O5" i="22" s="1"/>
  <c r="N54" i="89"/>
  <c r="K54" i="89" s="1"/>
  <c r="N54" i="30"/>
  <c r="K54" i="30" s="1"/>
  <c r="K25" i="82"/>
  <c r="K29" i="82" s="1"/>
  <c r="K30" i="82" s="1"/>
  <c r="N29" i="82"/>
  <c r="N30" i="82" s="1"/>
  <c r="N70" i="105"/>
  <c r="N19" i="21"/>
  <c r="N8" i="21"/>
  <c r="N45" i="21"/>
  <c r="N32" i="21"/>
  <c r="C5" i="21"/>
  <c r="O3" i="21"/>
  <c r="O5" i="21" s="1"/>
  <c r="N20" i="96"/>
  <c r="K20" i="96" s="1"/>
  <c r="N9" i="96"/>
  <c r="K9" i="96" s="1"/>
  <c r="N33" i="96"/>
  <c r="K33" i="96" s="1"/>
  <c r="N46" i="96"/>
  <c r="K46" i="96" s="1"/>
  <c r="G5" i="96"/>
  <c r="N80" i="110"/>
  <c r="N81" i="110" s="1"/>
  <c r="K70" i="110"/>
  <c r="K80" i="110" s="1"/>
  <c r="K81" i="110" s="1"/>
  <c r="N21" i="60"/>
  <c r="K21" i="60" s="1"/>
  <c r="N35" i="60"/>
  <c r="K35" i="60" s="1"/>
  <c r="N10" i="60"/>
  <c r="K10" i="60" s="1"/>
  <c r="M5" i="60"/>
  <c r="N29" i="16"/>
  <c r="N30" i="16" s="1"/>
  <c r="K25" i="16"/>
  <c r="K29" i="16" s="1"/>
  <c r="K30" i="16" s="1"/>
  <c r="K38" i="103"/>
  <c r="K42" i="103" s="1"/>
  <c r="K43" i="103" s="1"/>
  <c r="N42" i="103"/>
  <c r="N43" i="103" s="1"/>
  <c r="K9" i="98"/>
  <c r="N61" i="98"/>
  <c r="K61" i="98" s="1"/>
  <c r="K29" i="47"/>
  <c r="K30" i="47" s="1"/>
  <c r="N9" i="43"/>
  <c r="K9" i="43" s="1"/>
  <c r="N33" i="43"/>
  <c r="K33" i="43" s="1"/>
  <c r="N46" i="43"/>
  <c r="K46" i="43" s="1"/>
  <c r="G5" i="43"/>
  <c r="N20" i="43"/>
  <c r="K20" i="43" s="1"/>
  <c r="K16" i="86"/>
  <c r="K17" i="86" s="1"/>
  <c r="N115" i="124"/>
  <c r="J121" i="124"/>
  <c r="K121" i="124"/>
  <c r="K121" i="127" s="1"/>
  <c r="L121" i="124"/>
  <c r="L121" i="127" s="1"/>
  <c r="K55" i="110"/>
  <c r="K56" i="110" s="1"/>
  <c r="N29" i="94"/>
  <c r="N30" i="94" s="1"/>
  <c r="N54" i="38"/>
  <c r="K54" i="38" s="1"/>
  <c r="K55" i="38" s="1"/>
  <c r="K56" i="38" s="1"/>
  <c r="K38" i="19"/>
  <c r="K42" i="19" s="1"/>
  <c r="K43" i="19" s="1"/>
  <c r="N42" i="19"/>
  <c r="N43" i="19" s="1"/>
  <c r="K25" i="85"/>
  <c r="K29" i="85" s="1"/>
  <c r="K30" i="85" s="1"/>
  <c r="N29" i="85"/>
  <c r="N30" i="85" s="1"/>
  <c r="K8" i="33"/>
  <c r="N11" i="33"/>
  <c r="N12" i="33" s="1"/>
  <c r="N58" i="33"/>
  <c r="K13" i="73"/>
  <c r="K16" i="73" s="1"/>
  <c r="K17" i="73" s="1"/>
  <c r="N16" i="73"/>
  <c r="N17" i="73" s="1"/>
  <c r="N35" i="69"/>
  <c r="K35" i="69" s="1"/>
  <c r="M5" i="69"/>
  <c r="N10" i="69"/>
  <c r="K10" i="69" s="1"/>
  <c r="N21" i="69"/>
  <c r="K21" i="69" s="1"/>
  <c r="J5" i="61"/>
  <c r="N64" i="61"/>
  <c r="K64" i="61" s="1"/>
  <c r="K42" i="110"/>
  <c r="K43" i="110" s="1"/>
  <c r="K38" i="59"/>
  <c r="K42" i="59" s="1"/>
  <c r="K43" i="59" s="1"/>
  <c r="N42" i="59"/>
  <c r="N43" i="59" s="1"/>
  <c r="N23" i="77"/>
  <c r="N24" i="77" s="1"/>
  <c r="K19" i="77"/>
  <c r="K23" i="77" s="1"/>
  <c r="K24" i="77" s="1"/>
  <c r="N54" i="44"/>
  <c r="K54" i="44" s="1"/>
  <c r="N54" i="92"/>
  <c r="K54" i="92" s="1"/>
  <c r="K8" i="63"/>
  <c r="N55" i="67"/>
  <c r="N56" i="67" s="1"/>
  <c r="N9" i="99"/>
  <c r="K9" i="99" s="1"/>
  <c r="N20" i="99"/>
  <c r="K20" i="99" s="1"/>
  <c r="G5" i="99"/>
  <c r="N46" i="99"/>
  <c r="K46" i="99" s="1"/>
  <c r="N33" i="99"/>
  <c r="K33" i="99" s="1"/>
  <c r="N61" i="107"/>
  <c r="K61" i="107" s="1"/>
  <c r="N9" i="106"/>
  <c r="K9" i="106" s="1"/>
  <c r="N33" i="106"/>
  <c r="K33" i="106" s="1"/>
  <c r="N20" i="106"/>
  <c r="K20" i="106" s="1"/>
  <c r="G5" i="106"/>
  <c r="N46" i="106"/>
  <c r="K46" i="106" s="1"/>
  <c r="C5" i="91"/>
  <c r="N45" i="91"/>
  <c r="N8" i="91"/>
  <c r="N32" i="91"/>
  <c r="N19" i="91"/>
  <c r="H5" i="67"/>
  <c r="N62" i="67"/>
  <c r="K62" i="67" s="1"/>
  <c r="K9" i="69"/>
  <c r="N61" i="69"/>
  <c r="K61" i="69" s="1"/>
  <c r="E5" i="95"/>
  <c r="N60" i="95"/>
  <c r="K60" i="95" s="1"/>
  <c r="K51" i="64"/>
  <c r="K55" i="64" s="1"/>
  <c r="K56" i="64" s="1"/>
  <c r="N55" i="64"/>
  <c r="N56" i="64" s="1"/>
  <c r="K32" i="76"/>
  <c r="N23" i="80"/>
  <c r="N24" i="80" s="1"/>
  <c r="K19" i="80"/>
  <c r="K23" i="80" s="1"/>
  <c r="K24" i="80" s="1"/>
  <c r="K8" i="50"/>
  <c r="H5" i="92"/>
  <c r="N62" i="92"/>
  <c r="K62" i="92" s="1"/>
  <c r="K38" i="57"/>
  <c r="K42" i="57" s="1"/>
  <c r="K43" i="57" s="1"/>
  <c r="N42" i="57"/>
  <c r="N43" i="57" s="1"/>
  <c r="K32" i="27"/>
  <c r="N64" i="16"/>
  <c r="K64" i="16" s="1"/>
  <c r="J5" i="16"/>
  <c r="G5" i="67"/>
  <c r="N33" i="67"/>
  <c r="K33" i="67" s="1"/>
  <c r="N20" i="67"/>
  <c r="K20" i="67" s="1"/>
  <c r="N46" i="67"/>
  <c r="K46" i="67" s="1"/>
  <c r="N9" i="67"/>
  <c r="K9" i="67" s="1"/>
  <c r="K38" i="89"/>
  <c r="K42" i="89" s="1"/>
  <c r="K43" i="89" s="1"/>
  <c r="N42" i="89"/>
  <c r="N43" i="89" s="1"/>
  <c r="K51" i="30"/>
  <c r="N54" i="83"/>
  <c r="N70" i="34"/>
  <c r="I5" i="38"/>
  <c r="N63" i="38"/>
  <c r="K63" i="38" s="1"/>
  <c r="K51" i="76"/>
  <c r="K55" i="76" s="1"/>
  <c r="K56" i="76" s="1"/>
  <c r="N55" i="76"/>
  <c r="N56" i="76" s="1"/>
  <c r="K25" i="80"/>
  <c r="K29" i="80" s="1"/>
  <c r="K30" i="80" s="1"/>
  <c r="N29" i="80"/>
  <c r="N30" i="80" s="1"/>
  <c r="N63" i="65"/>
  <c r="K63" i="65" s="1"/>
  <c r="I5" i="65"/>
  <c r="N21" i="76"/>
  <c r="K21" i="76" s="1"/>
  <c r="N35" i="76"/>
  <c r="K35" i="76" s="1"/>
  <c r="N10" i="76"/>
  <c r="K10" i="76" s="1"/>
  <c r="M5" i="76"/>
  <c r="N59" i="104"/>
  <c r="K59" i="104" s="1"/>
  <c r="D5" i="104"/>
  <c r="K19" i="23"/>
  <c r="N47" i="24"/>
  <c r="K47" i="24" s="1"/>
  <c r="N34" i="24"/>
  <c r="K34" i="24" s="1"/>
  <c r="L5" i="24"/>
  <c r="K38" i="42"/>
  <c r="K42" i="42" s="1"/>
  <c r="K43" i="42" s="1"/>
  <c r="N42" i="42"/>
  <c r="N43" i="42" s="1"/>
  <c r="N80" i="25"/>
  <c r="N81" i="25" s="1"/>
  <c r="K70" i="25"/>
  <c r="K80" i="25" s="1"/>
  <c r="K81" i="25" s="1"/>
  <c r="L85" i="125"/>
  <c r="M3" i="92"/>
  <c r="O3" i="92" s="1"/>
  <c r="O5" i="92" s="1"/>
  <c r="N54" i="58"/>
  <c r="K54" i="58" s="1"/>
  <c r="K38" i="53"/>
  <c r="K42" i="53" s="1"/>
  <c r="K43" i="53" s="1"/>
  <c r="N42" i="53"/>
  <c r="N43" i="53" s="1"/>
  <c r="K25" i="91"/>
  <c r="K29" i="91" s="1"/>
  <c r="K30" i="91" s="1"/>
  <c r="N29" i="91"/>
  <c r="N30" i="91" s="1"/>
  <c r="N19" i="79"/>
  <c r="O3" i="79"/>
  <c r="O5" i="79" s="1"/>
  <c r="N45" i="79"/>
  <c r="C5" i="79"/>
  <c r="N8" i="79"/>
  <c r="N32" i="79"/>
  <c r="K13" i="108"/>
  <c r="K16" i="108" s="1"/>
  <c r="K17" i="108" s="1"/>
  <c r="N16" i="108"/>
  <c r="N17" i="108" s="1"/>
  <c r="N64" i="30"/>
  <c r="K64" i="30" s="1"/>
  <c r="J5" i="30"/>
  <c r="K25" i="58"/>
  <c r="K29" i="58" s="1"/>
  <c r="K30" i="58" s="1"/>
  <c r="N29" i="58"/>
  <c r="N30" i="58" s="1"/>
  <c r="K8" i="54"/>
  <c r="N58" i="54"/>
  <c r="N60" i="17"/>
  <c r="K60" i="17" s="1"/>
  <c r="E5" i="17"/>
  <c r="K25" i="96"/>
  <c r="K29" i="96" s="1"/>
  <c r="K30" i="96" s="1"/>
  <c r="N29" i="96"/>
  <c r="N30" i="96" s="1"/>
  <c r="K70" i="87"/>
  <c r="K80" i="87" s="1"/>
  <c r="K81" i="87" s="1"/>
  <c r="N80" i="87"/>
  <c r="N81" i="87" s="1"/>
  <c r="N58" i="25"/>
  <c r="N66" i="38"/>
  <c r="K66" i="38" s="1"/>
  <c r="K5" i="38"/>
  <c r="K9" i="54"/>
  <c r="N61" i="54"/>
  <c r="K61" i="54" s="1"/>
  <c r="N70" i="66"/>
  <c r="O3" i="76"/>
  <c r="O5" i="76" s="1"/>
  <c r="N61" i="53"/>
  <c r="K61" i="53" s="1"/>
  <c r="K9" i="53"/>
  <c r="K51" i="44"/>
  <c r="N63" i="124"/>
  <c r="N16" i="33"/>
  <c r="N17" i="33" s="1"/>
  <c r="K34" i="54"/>
  <c r="N67" i="54"/>
  <c r="K67" i="54" s="1"/>
  <c r="L5" i="72"/>
  <c r="N47" i="72"/>
  <c r="K47" i="72" s="1"/>
  <c r="N34" i="72"/>
  <c r="K34" i="72" s="1"/>
  <c r="K45" i="28"/>
  <c r="K32" i="93"/>
  <c r="K70" i="47"/>
  <c r="K80" i="47" s="1"/>
  <c r="K81" i="47" s="1"/>
  <c r="N80" i="47"/>
  <c r="N81" i="47" s="1"/>
  <c r="K19" i="75"/>
  <c r="K23" i="75" s="1"/>
  <c r="K24" i="75" s="1"/>
  <c r="K31" i="75" s="1"/>
  <c r="N23" i="75"/>
  <c r="N24" i="75" s="1"/>
  <c r="N31" i="75" s="1"/>
  <c r="N60" i="36"/>
  <c r="K60" i="36" s="1"/>
  <c r="E5" i="36"/>
  <c r="K9" i="37"/>
  <c r="N61" i="37"/>
  <c r="K61" i="37" s="1"/>
  <c r="K70" i="32"/>
  <c r="K80" i="32" s="1"/>
  <c r="K81" i="32" s="1"/>
  <c r="N80" i="32"/>
  <c r="N81" i="32" s="1"/>
  <c r="N65" i="16"/>
  <c r="K65" i="16" s="1"/>
  <c r="F5" i="16"/>
  <c r="K16" i="106"/>
  <c r="K17" i="106" s="1"/>
  <c r="K19" i="58"/>
  <c r="J120" i="124"/>
  <c r="J120" i="127" s="1"/>
  <c r="L120" i="124"/>
  <c r="L120" i="127" s="1"/>
  <c r="K120" i="124"/>
  <c r="K120" i="127" s="1"/>
  <c r="K16" i="67"/>
  <c r="K17" i="67" s="1"/>
  <c r="K19" i="31"/>
  <c r="N54" i="46"/>
  <c r="K54" i="46" s="1"/>
  <c r="N70" i="97"/>
  <c r="C5" i="106"/>
  <c r="N32" i="106"/>
  <c r="N45" i="106"/>
  <c r="N19" i="106"/>
  <c r="N8" i="106"/>
  <c r="N42" i="33"/>
  <c r="N43" i="33" s="1"/>
  <c r="N29" i="78"/>
  <c r="N30" i="78" s="1"/>
  <c r="N62" i="62"/>
  <c r="K62" i="62" s="1"/>
  <c r="H5" i="62"/>
  <c r="E5" i="97"/>
  <c r="N60" i="97"/>
  <c r="K60" i="97" s="1"/>
  <c r="N66" i="111"/>
  <c r="K66" i="111" s="1"/>
  <c r="K5" i="111"/>
  <c r="N54" i="77"/>
  <c r="K54" i="77" s="1"/>
  <c r="N16" i="92"/>
  <c r="N17" i="92" s="1"/>
  <c r="K13" i="92"/>
  <c r="K16" i="92" s="1"/>
  <c r="K17" i="92" s="1"/>
  <c r="K32" i="55"/>
  <c r="K36" i="55" s="1"/>
  <c r="K37" i="55" s="1"/>
  <c r="N36" i="55"/>
  <c r="N37" i="55" s="1"/>
  <c r="N44" i="55" s="1"/>
  <c r="K70" i="75"/>
  <c r="K80" i="75" s="1"/>
  <c r="K81" i="75" s="1"/>
  <c r="N80" i="75"/>
  <c r="N81" i="75" s="1"/>
  <c r="K32" i="50"/>
  <c r="K36" i="50" s="1"/>
  <c r="K37" i="50" s="1"/>
  <c r="N36" i="50"/>
  <c r="N37" i="50" s="1"/>
  <c r="N8" i="67"/>
  <c r="N19" i="67"/>
  <c r="N32" i="67"/>
  <c r="N45" i="67"/>
  <c r="C5" i="67"/>
  <c r="K19" i="78"/>
  <c r="K23" i="78" s="1"/>
  <c r="K24" i="78" s="1"/>
  <c r="K31" i="78" s="1"/>
  <c r="N23" i="78"/>
  <c r="N24" i="78" s="1"/>
  <c r="K5" i="89"/>
  <c r="N66" i="89"/>
  <c r="K66" i="89" s="1"/>
  <c r="N66" i="47"/>
  <c r="K66" i="47" s="1"/>
  <c r="K5" i="47"/>
  <c r="N60" i="19"/>
  <c r="K60" i="19" s="1"/>
  <c r="E5" i="19"/>
  <c r="L42" i="125"/>
  <c r="M3" i="51"/>
  <c r="K51" i="46"/>
  <c r="K70" i="70"/>
  <c r="K80" i="70" s="1"/>
  <c r="K81" i="70" s="1"/>
  <c r="N80" i="70"/>
  <c r="N81" i="70" s="1"/>
  <c r="N54" i="28"/>
  <c r="K54" i="28" s="1"/>
  <c r="K19" i="82"/>
  <c r="K23" i="82" s="1"/>
  <c r="K24" i="82" s="1"/>
  <c r="K31" i="82" s="1"/>
  <c r="N70" i="111"/>
  <c r="N42" i="27"/>
  <c r="N43" i="27" s="1"/>
  <c r="K38" i="27"/>
  <c r="K42" i="27" s="1"/>
  <c r="K43" i="27" s="1"/>
  <c r="K34" i="45"/>
  <c r="N67" i="45"/>
  <c r="K67" i="45" s="1"/>
  <c r="N58" i="107"/>
  <c r="D5" i="61"/>
  <c r="N59" i="61"/>
  <c r="K59" i="61" s="1"/>
  <c r="N16" i="54"/>
  <c r="N17" i="54" s="1"/>
  <c r="K13" i="54"/>
  <c r="K16" i="54" s="1"/>
  <c r="K17" i="54" s="1"/>
  <c r="K42" i="52"/>
  <c r="K43" i="52" s="1"/>
  <c r="L5" i="99"/>
  <c r="N47" i="99"/>
  <c r="K47" i="99" s="1"/>
  <c r="N34" i="99"/>
  <c r="K34" i="99" s="1"/>
  <c r="N35" i="84"/>
  <c r="K35" i="84" s="1"/>
  <c r="N21" i="84"/>
  <c r="K21" i="84" s="1"/>
  <c r="M5" i="84"/>
  <c r="N10" i="84"/>
  <c r="K10" i="84" s="1"/>
  <c r="N70" i="104"/>
  <c r="F5" i="97"/>
  <c r="N65" i="97"/>
  <c r="K65" i="97" s="1"/>
  <c r="N47" i="111"/>
  <c r="K47" i="111" s="1"/>
  <c r="L5" i="111"/>
  <c r="N34" i="111"/>
  <c r="K34" i="111" s="1"/>
  <c r="N21" i="82"/>
  <c r="K21" i="82" s="1"/>
  <c r="N10" i="82"/>
  <c r="K10" i="82" s="1"/>
  <c r="N35" i="82"/>
  <c r="K35" i="82" s="1"/>
  <c r="M5" i="82"/>
  <c r="N54" i="55"/>
  <c r="N29" i="90"/>
  <c r="N30" i="90" s="1"/>
  <c r="N35" i="29"/>
  <c r="K35" i="29" s="1"/>
  <c r="N10" i="29"/>
  <c r="K10" i="29" s="1"/>
  <c r="M5" i="29"/>
  <c r="N21" i="29"/>
  <c r="K21" i="29" s="1"/>
  <c r="N54" i="17"/>
  <c r="K54" i="17" s="1"/>
  <c r="K42" i="79"/>
  <c r="K43" i="79" s="1"/>
  <c r="L5" i="47"/>
  <c r="N34" i="47"/>
  <c r="K34" i="47" s="1"/>
  <c r="N47" i="47"/>
  <c r="K47" i="47" s="1"/>
  <c r="N67" i="47"/>
  <c r="K67" i="47" s="1"/>
  <c r="N47" i="51"/>
  <c r="K47" i="51" s="1"/>
  <c r="N34" i="51"/>
  <c r="K34" i="51" s="1"/>
  <c r="L5" i="51"/>
  <c r="N63" i="95"/>
  <c r="K63" i="95" s="1"/>
  <c r="I5" i="95"/>
  <c r="N54" i="88"/>
  <c r="K54" i="88" s="1"/>
  <c r="N54" i="69"/>
  <c r="K54" i="69" s="1"/>
  <c r="F5" i="38"/>
  <c r="N65" i="38"/>
  <c r="K65" i="38" s="1"/>
  <c r="N60" i="103"/>
  <c r="K60" i="103" s="1"/>
  <c r="E5" i="103"/>
  <c r="E5" i="106"/>
  <c r="N60" i="106"/>
  <c r="K60" i="106" s="1"/>
  <c r="K29" i="110"/>
  <c r="K30" i="110" s="1"/>
  <c r="N70" i="31"/>
  <c r="N59" i="99"/>
  <c r="K59" i="99" s="1"/>
  <c r="D5" i="99"/>
  <c r="K54" i="93"/>
  <c r="K55" i="93" s="1"/>
  <c r="K56" i="93" s="1"/>
  <c r="N55" i="93"/>
  <c r="N56" i="93" s="1"/>
  <c r="K34" i="71"/>
  <c r="N67" i="71"/>
  <c r="K67" i="71" s="1"/>
  <c r="N54" i="16"/>
  <c r="K54" i="16" s="1"/>
  <c r="D5" i="56"/>
  <c r="N59" i="56"/>
  <c r="K59" i="56" s="1"/>
  <c r="O3" i="29"/>
  <c r="O5" i="29" s="1"/>
  <c r="N42" i="36"/>
  <c r="N43" i="36" s="1"/>
  <c r="K38" i="36"/>
  <c r="K42" i="36" s="1"/>
  <c r="K43" i="36" s="1"/>
  <c r="K73" i="60"/>
  <c r="K80" i="60" s="1"/>
  <c r="K81" i="60" s="1"/>
  <c r="N80" i="60"/>
  <c r="N81" i="60" s="1"/>
  <c r="N29" i="63"/>
  <c r="N30" i="63" s="1"/>
  <c r="N64" i="101"/>
  <c r="K64" i="101" s="1"/>
  <c r="J5" i="101"/>
  <c r="N54" i="82"/>
  <c r="K54" i="82" s="1"/>
  <c r="N54" i="41"/>
  <c r="K13" i="88"/>
  <c r="K16" i="88" s="1"/>
  <c r="K17" i="88" s="1"/>
  <c r="N16" i="88"/>
  <c r="N17" i="88" s="1"/>
  <c r="K25" i="69"/>
  <c r="K29" i="69" s="1"/>
  <c r="K30" i="69" s="1"/>
  <c r="N29" i="69"/>
  <c r="N30" i="69" s="1"/>
  <c r="N9" i="103"/>
  <c r="K9" i="103" s="1"/>
  <c r="N46" i="103"/>
  <c r="K46" i="103" s="1"/>
  <c r="N20" i="103"/>
  <c r="K20" i="103" s="1"/>
  <c r="G5" i="103"/>
  <c r="N33" i="103"/>
  <c r="K33" i="103" s="1"/>
  <c r="L5" i="21"/>
  <c r="N34" i="21"/>
  <c r="K34" i="21" s="1"/>
  <c r="N47" i="21"/>
  <c r="K47" i="21" s="1"/>
  <c r="N70" i="20"/>
  <c r="N80" i="101"/>
  <c r="N81" i="101" s="1"/>
  <c r="K70" i="101"/>
  <c r="K80" i="101" s="1"/>
  <c r="K81" i="101" s="1"/>
  <c r="K13" i="17"/>
  <c r="N16" i="17"/>
  <c r="N17" i="17" s="1"/>
  <c r="N64" i="24"/>
  <c r="K64" i="24" s="1"/>
  <c r="J5" i="24"/>
  <c r="N64" i="99"/>
  <c r="K64" i="99" s="1"/>
  <c r="J5" i="99"/>
  <c r="K34" i="18"/>
  <c r="N67" i="18"/>
  <c r="K67" i="18" s="1"/>
  <c r="H5" i="68"/>
  <c r="N62" i="68"/>
  <c r="K62" i="68" s="1"/>
  <c r="K32" i="84"/>
  <c r="N70" i="21"/>
  <c r="N58" i="90"/>
  <c r="N11" i="90"/>
  <c r="N12" i="90" s="1"/>
  <c r="K8" i="90"/>
  <c r="K11" i="90" s="1"/>
  <c r="K12" i="90" s="1"/>
  <c r="N34" i="59"/>
  <c r="K34" i="59" s="1"/>
  <c r="N47" i="59"/>
  <c r="K47" i="59" s="1"/>
  <c r="L5" i="59"/>
  <c r="H5" i="49"/>
  <c r="N62" i="49"/>
  <c r="K62" i="49" s="1"/>
  <c r="N8" i="108"/>
  <c r="N45" i="108"/>
  <c r="N19" i="108"/>
  <c r="N32" i="108"/>
  <c r="C5" i="108"/>
  <c r="K19" i="73"/>
  <c r="N23" i="73"/>
  <c r="N24" i="73" s="1"/>
  <c r="N31" i="73" s="1"/>
  <c r="N59" i="22"/>
  <c r="K59" i="22" s="1"/>
  <c r="D5" i="22"/>
  <c r="L59" i="125"/>
  <c r="M3" i="67"/>
  <c r="O3" i="67" s="1"/>
  <c r="O5" i="67" s="1"/>
  <c r="N62" i="89"/>
  <c r="K62" i="89" s="1"/>
  <c r="H5" i="89"/>
  <c r="N60" i="51"/>
  <c r="K60" i="51" s="1"/>
  <c r="E5" i="51"/>
  <c r="N64" i="74"/>
  <c r="K64" i="74" s="1"/>
  <c r="J5" i="74"/>
  <c r="K25" i="105"/>
  <c r="K29" i="105" s="1"/>
  <c r="K30" i="105" s="1"/>
  <c r="N29" i="105"/>
  <c r="N30" i="105" s="1"/>
  <c r="N65" i="106"/>
  <c r="K65" i="106" s="1"/>
  <c r="F5" i="106"/>
  <c r="K16" i="110"/>
  <c r="K17" i="110" s="1"/>
  <c r="N64" i="94"/>
  <c r="K64" i="94" s="1"/>
  <c r="J5" i="94"/>
  <c r="F5" i="61"/>
  <c r="N65" i="61"/>
  <c r="K65" i="61" s="1"/>
  <c r="N54" i="42"/>
  <c r="K54" i="42" s="1"/>
  <c r="K55" i="42" s="1"/>
  <c r="K56" i="42" s="1"/>
  <c r="K25" i="103"/>
  <c r="K29" i="103" s="1"/>
  <c r="K30" i="103" s="1"/>
  <c r="N29" i="103"/>
  <c r="N30" i="103" s="1"/>
  <c r="K8" i="45"/>
  <c r="N11" i="45"/>
  <c r="N12" i="45" s="1"/>
  <c r="N18" i="45" s="1"/>
  <c r="K19" i="88"/>
  <c r="N60" i="99"/>
  <c r="K60" i="99" s="1"/>
  <c r="E5" i="99"/>
  <c r="N63" i="68"/>
  <c r="K63" i="68" s="1"/>
  <c r="I5" i="68"/>
  <c r="K38" i="39"/>
  <c r="K42" i="39" s="1"/>
  <c r="K43" i="39" s="1"/>
  <c r="N42" i="39"/>
  <c r="N43" i="39" s="1"/>
  <c r="K5" i="26"/>
  <c r="N66" i="26"/>
  <c r="K66" i="26" s="1"/>
  <c r="N79" i="17"/>
  <c r="K79" i="17" s="1"/>
  <c r="K126" i="118" s="1"/>
  <c r="N126" i="118" s="1"/>
  <c r="N54" i="66"/>
  <c r="K54" i="66" s="1"/>
  <c r="N64" i="21"/>
  <c r="K64" i="21" s="1"/>
  <c r="J5" i="21"/>
  <c r="N29" i="25"/>
  <c r="N30" i="25" s="1"/>
  <c r="N54" i="72"/>
  <c r="K54" i="72" s="1"/>
  <c r="L104" i="125"/>
  <c r="M3" i="111"/>
  <c r="K25" i="19"/>
  <c r="K29" i="19" s="1"/>
  <c r="K30" i="19" s="1"/>
  <c r="N29" i="19"/>
  <c r="N30" i="19" s="1"/>
  <c r="N42" i="85"/>
  <c r="N43" i="85" s="1"/>
  <c r="K38" i="85"/>
  <c r="K42" i="85" s="1"/>
  <c r="K43" i="85" s="1"/>
  <c r="K32" i="33"/>
  <c r="K36" i="33" s="1"/>
  <c r="K37" i="33" s="1"/>
  <c r="N36" i="33"/>
  <c r="N37" i="33" s="1"/>
  <c r="O3" i="39"/>
  <c r="O5" i="39" s="1"/>
  <c r="K42" i="45"/>
  <c r="K43" i="45" s="1"/>
  <c r="N54" i="21"/>
  <c r="K54" i="21" s="1"/>
  <c r="N63" i="52"/>
  <c r="K63" i="52" s="1"/>
  <c r="I5" i="52"/>
  <c r="N46" i="94"/>
  <c r="K46" i="94" s="1"/>
  <c r="N9" i="94"/>
  <c r="K9" i="94" s="1"/>
  <c r="N33" i="94"/>
  <c r="K33" i="94" s="1"/>
  <c r="N20" i="94"/>
  <c r="K20" i="94" s="1"/>
  <c r="G5" i="94"/>
  <c r="N10" i="86"/>
  <c r="K10" i="86" s="1"/>
  <c r="N21" i="86"/>
  <c r="K21" i="86" s="1"/>
  <c r="N35" i="86"/>
  <c r="K35" i="86" s="1"/>
  <c r="M5" i="86"/>
  <c r="N54" i="62"/>
  <c r="N73" i="16"/>
  <c r="K73" i="16" s="1"/>
  <c r="N67" i="107"/>
  <c r="K67" i="107" s="1"/>
  <c r="N42" i="110"/>
  <c r="N43" i="110" s="1"/>
  <c r="N54" i="100"/>
  <c r="K54" i="100" s="1"/>
  <c r="N47" i="91"/>
  <c r="K47" i="91" s="1"/>
  <c r="N34" i="91"/>
  <c r="K34" i="91" s="1"/>
  <c r="L5" i="91"/>
  <c r="K8" i="109"/>
  <c r="N11" i="109"/>
  <c r="N12" i="109" s="1"/>
  <c r="N58" i="109"/>
  <c r="K51" i="59"/>
  <c r="N59" i="64"/>
  <c r="K59" i="64" s="1"/>
  <c r="D5" i="64"/>
  <c r="N67" i="105"/>
  <c r="K67" i="105" s="1"/>
  <c r="N55" i="30" l="1"/>
  <c r="N56" i="30" s="1"/>
  <c r="K11" i="107"/>
  <c r="K12" i="107" s="1"/>
  <c r="N55" i="103"/>
  <c r="N56" i="103" s="1"/>
  <c r="K70" i="19"/>
  <c r="K80" i="19" s="1"/>
  <c r="K81" i="19" s="1"/>
  <c r="K31" i="77"/>
  <c r="N11" i="100"/>
  <c r="N12" i="100" s="1"/>
  <c r="N18" i="100" s="1"/>
  <c r="N23" i="28"/>
  <c r="N24" i="28" s="1"/>
  <c r="K36" i="46"/>
  <c r="K37" i="46" s="1"/>
  <c r="N55" i="59"/>
  <c r="N56" i="59" s="1"/>
  <c r="K55" i="82"/>
  <c r="K56" i="82" s="1"/>
  <c r="N11" i="75"/>
  <c r="N12" i="75" s="1"/>
  <c r="N18" i="75" s="1"/>
  <c r="N80" i="108"/>
  <c r="N81" i="108" s="1"/>
  <c r="K36" i="48"/>
  <c r="K37" i="48" s="1"/>
  <c r="K36" i="77"/>
  <c r="K37" i="77" s="1"/>
  <c r="K44" i="77" s="1"/>
  <c r="K44" i="55"/>
  <c r="K11" i="105"/>
  <c r="K12" i="105" s="1"/>
  <c r="N36" i="48"/>
  <c r="N37" i="48" s="1"/>
  <c r="N44" i="48" s="1"/>
  <c r="N11" i="70"/>
  <c r="N12" i="70" s="1"/>
  <c r="N18" i="70" s="1"/>
  <c r="K55" i="59"/>
  <c r="K56" i="59" s="1"/>
  <c r="K55" i="89"/>
  <c r="K56" i="89" s="1"/>
  <c r="N58" i="62"/>
  <c r="K55" i="61"/>
  <c r="K56" i="61" s="1"/>
  <c r="K36" i="107"/>
  <c r="K37" i="107" s="1"/>
  <c r="K44" i="107" s="1"/>
  <c r="N11" i="105"/>
  <c r="N12" i="105" s="1"/>
  <c r="K23" i="18"/>
  <c r="K24" i="18" s="1"/>
  <c r="K31" i="18" s="1"/>
  <c r="N11" i="107"/>
  <c r="N12" i="107" s="1"/>
  <c r="N11" i="23"/>
  <c r="N12" i="23" s="1"/>
  <c r="N18" i="23" s="1"/>
  <c r="K55" i="88"/>
  <c r="K56" i="88" s="1"/>
  <c r="N58" i="111"/>
  <c r="N58" i="95"/>
  <c r="K58" i="95" s="1"/>
  <c r="N44" i="75"/>
  <c r="K44" i="105"/>
  <c r="N80" i="99"/>
  <c r="N81" i="99" s="1"/>
  <c r="N36" i="82"/>
  <c r="N37" i="82" s="1"/>
  <c r="N44" i="82" s="1"/>
  <c r="N48" i="78"/>
  <c r="N67" i="101"/>
  <c r="K67" i="101" s="1"/>
  <c r="K36" i="90"/>
  <c r="K37" i="90" s="1"/>
  <c r="K44" i="90" s="1"/>
  <c r="N58" i="79"/>
  <c r="K58" i="79" s="1"/>
  <c r="K68" i="79" s="1"/>
  <c r="K69" i="79" s="1"/>
  <c r="K82" i="79" s="1"/>
  <c r="K31" i="102"/>
  <c r="N23" i="100"/>
  <c r="N24" i="100" s="1"/>
  <c r="N23" i="105"/>
  <c r="N24" i="105" s="1"/>
  <c r="K23" i="100"/>
  <c r="K24" i="100" s="1"/>
  <c r="N48" i="100"/>
  <c r="K23" i="107"/>
  <c r="K24" i="107" s="1"/>
  <c r="N23" i="98"/>
  <c r="N24" i="98" s="1"/>
  <c r="N31" i="98" s="1"/>
  <c r="N58" i="89"/>
  <c r="K58" i="89" s="1"/>
  <c r="N58" i="106"/>
  <c r="K58" i="106" s="1"/>
  <c r="K18" i="105"/>
  <c r="N18" i="105"/>
  <c r="N80" i="89"/>
  <c r="N81" i="89" s="1"/>
  <c r="K18" i="75"/>
  <c r="K70" i="77"/>
  <c r="K80" i="77" s="1"/>
  <c r="K81" i="77" s="1"/>
  <c r="K11" i="87"/>
  <c r="K12" i="87" s="1"/>
  <c r="K18" i="87" s="1"/>
  <c r="N58" i="97"/>
  <c r="K31" i="107"/>
  <c r="K31" i="109"/>
  <c r="K55" i="84"/>
  <c r="K56" i="84" s="1"/>
  <c r="K44" i="75"/>
  <c r="N61" i="96"/>
  <c r="K61" i="96" s="1"/>
  <c r="N67" i="97"/>
  <c r="K67" i="97" s="1"/>
  <c r="N67" i="36"/>
  <c r="K67" i="36" s="1"/>
  <c r="N67" i="64"/>
  <c r="K67" i="64" s="1"/>
  <c r="N67" i="38"/>
  <c r="K67" i="38" s="1"/>
  <c r="K68" i="50"/>
  <c r="K69" i="50" s="1"/>
  <c r="K82" i="50" s="1"/>
  <c r="N80" i="54"/>
  <c r="N81" i="54" s="1"/>
  <c r="N80" i="57"/>
  <c r="N81" i="57" s="1"/>
  <c r="K70" i="64"/>
  <c r="K80" i="64" s="1"/>
  <c r="K81" i="64" s="1"/>
  <c r="N80" i="68"/>
  <c r="N81" i="68" s="1"/>
  <c r="K23" i="39"/>
  <c r="K24" i="39" s="1"/>
  <c r="K23" i="45"/>
  <c r="K24" i="45" s="1"/>
  <c r="K31" i="45" s="1"/>
  <c r="N58" i="57"/>
  <c r="K58" i="57" s="1"/>
  <c r="N58" i="43"/>
  <c r="N18" i="39"/>
  <c r="K70" i="44"/>
  <c r="K80" i="44" s="1"/>
  <c r="K81" i="44" s="1"/>
  <c r="K11" i="48"/>
  <c r="K12" i="48" s="1"/>
  <c r="K18" i="48" s="1"/>
  <c r="K11" i="66"/>
  <c r="K12" i="66" s="1"/>
  <c r="N61" i="68"/>
  <c r="K61" i="68" s="1"/>
  <c r="K11" i="54"/>
  <c r="K12" i="54" s="1"/>
  <c r="K18" i="54" s="1"/>
  <c r="N58" i="52"/>
  <c r="K55" i="53"/>
  <c r="K56" i="53" s="1"/>
  <c r="K82" i="63"/>
  <c r="K44" i="48"/>
  <c r="K44" i="33"/>
  <c r="N67" i="51"/>
  <c r="K67" i="51" s="1"/>
  <c r="N18" i="33"/>
  <c r="K44" i="66"/>
  <c r="N67" i="65"/>
  <c r="K67" i="65" s="1"/>
  <c r="N67" i="35"/>
  <c r="K67" i="35" s="1"/>
  <c r="N80" i="23"/>
  <c r="N81" i="23" s="1"/>
  <c r="N80" i="30"/>
  <c r="N81" i="30" s="1"/>
  <c r="N36" i="27"/>
  <c r="N37" i="27" s="1"/>
  <c r="K36" i="27"/>
  <c r="K37" i="27" s="1"/>
  <c r="K36" i="25"/>
  <c r="K37" i="25" s="1"/>
  <c r="K11" i="23"/>
  <c r="K12" i="23" s="1"/>
  <c r="K18" i="23" s="1"/>
  <c r="N31" i="28"/>
  <c r="N23" i="83"/>
  <c r="N24" i="83" s="1"/>
  <c r="N31" i="83" s="1"/>
  <c r="N49" i="25"/>
  <c r="N50" i="25" s="1"/>
  <c r="N57" i="25" s="1"/>
  <c r="N58" i="49"/>
  <c r="K58" i="49" s="1"/>
  <c r="M120" i="124"/>
  <c r="M120" i="127" s="1"/>
  <c r="N120" i="127" s="1"/>
  <c r="N67" i="59"/>
  <c r="K67" i="59" s="1"/>
  <c r="K31" i="80"/>
  <c r="N58" i="21"/>
  <c r="K58" i="21" s="1"/>
  <c r="N18" i="40"/>
  <c r="K36" i="82"/>
  <c r="K37" i="82" s="1"/>
  <c r="K44" i="82" s="1"/>
  <c r="K23" i="28"/>
  <c r="K24" i="28" s="1"/>
  <c r="K31" i="28" s="1"/>
  <c r="N58" i="96"/>
  <c r="N67" i="49"/>
  <c r="K67" i="49" s="1"/>
  <c r="N48" i="71"/>
  <c r="N67" i="57"/>
  <c r="K67" i="57" s="1"/>
  <c r="N68" i="63"/>
  <c r="N69" i="63" s="1"/>
  <c r="N82" i="63" s="1"/>
  <c r="N61" i="65"/>
  <c r="K61" i="65" s="1"/>
  <c r="N58" i="72"/>
  <c r="K58" i="72" s="1"/>
  <c r="N48" i="46"/>
  <c r="N31" i="70"/>
  <c r="K11" i="83"/>
  <c r="K12" i="83" s="1"/>
  <c r="K18" i="83" s="1"/>
  <c r="K11" i="70"/>
  <c r="K12" i="70" s="1"/>
  <c r="K18" i="70" s="1"/>
  <c r="N36" i="39"/>
  <c r="N37" i="39" s="1"/>
  <c r="N44" i="39" s="1"/>
  <c r="N58" i="64"/>
  <c r="K58" i="64" s="1"/>
  <c r="N23" i="37"/>
  <c r="N24" i="37" s="1"/>
  <c r="N31" i="37" s="1"/>
  <c r="N36" i="84"/>
  <c r="N37" i="84" s="1"/>
  <c r="N44" i="84" s="1"/>
  <c r="K36" i="84"/>
  <c r="K37" i="84" s="1"/>
  <c r="K44" i="84" s="1"/>
  <c r="K55" i="58"/>
  <c r="K56" i="58" s="1"/>
  <c r="N31" i="80"/>
  <c r="K55" i="23"/>
  <c r="K56" i="23" s="1"/>
  <c r="N23" i="29"/>
  <c r="N24" i="29" s="1"/>
  <c r="N31" i="29" s="1"/>
  <c r="N23" i="20"/>
  <c r="N24" i="20" s="1"/>
  <c r="N31" i="20" s="1"/>
  <c r="N36" i="102"/>
  <c r="N37" i="102" s="1"/>
  <c r="N44" i="102" s="1"/>
  <c r="N67" i="74"/>
  <c r="K67" i="74" s="1"/>
  <c r="N67" i="42"/>
  <c r="K67" i="42" s="1"/>
  <c r="K11" i="88"/>
  <c r="K12" i="88" s="1"/>
  <c r="K11" i="98"/>
  <c r="K12" i="98" s="1"/>
  <c r="K18" i="98" s="1"/>
  <c r="N67" i="61"/>
  <c r="K67" i="61" s="1"/>
  <c r="N36" i="60"/>
  <c r="N37" i="60" s="1"/>
  <c r="N44" i="60" s="1"/>
  <c r="N58" i="59"/>
  <c r="K58" i="59" s="1"/>
  <c r="N58" i="36"/>
  <c r="K58" i="36" s="1"/>
  <c r="N61" i="17"/>
  <c r="K61" i="17" s="1"/>
  <c r="N11" i="77"/>
  <c r="N12" i="77" s="1"/>
  <c r="N55" i="31"/>
  <c r="N56" i="31" s="1"/>
  <c r="N48" i="75"/>
  <c r="K48" i="75" s="1"/>
  <c r="N67" i="79"/>
  <c r="K67" i="79" s="1"/>
  <c r="N80" i="58"/>
  <c r="N81" i="58" s="1"/>
  <c r="N48" i="23"/>
  <c r="K48" i="23" s="1"/>
  <c r="K49" i="23" s="1"/>
  <c r="K50" i="23" s="1"/>
  <c r="N58" i="74"/>
  <c r="K58" i="74" s="1"/>
  <c r="N61" i="97"/>
  <c r="K61" i="97" s="1"/>
  <c r="N61" i="79"/>
  <c r="K61" i="79" s="1"/>
  <c r="N80" i="51"/>
  <c r="N81" i="51" s="1"/>
  <c r="N61" i="94"/>
  <c r="K61" i="94" s="1"/>
  <c r="K55" i="77"/>
  <c r="K56" i="77" s="1"/>
  <c r="N18" i="109"/>
  <c r="N31" i="78"/>
  <c r="K44" i="50"/>
  <c r="K55" i="46"/>
  <c r="K56" i="46" s="1"/>
  <c r="N23" i="58"/>
  <c r="N24" i="58" s="1"/>
  <c r="N31" i="58" s="1"/>
  <c r="K36" i="93"/>
  <c r="K37" i="93" s="1"/>
  <c r="K44" i="93" s="1"/>
  <c r="N23" i="23"/>
  <c r="N24" i="23" s="1"/>
  <c r="N31" i="23" s="1"/>
  <c r="N48" i="41"/>
  <c r="N36" i="20"/>
  <c r="N37" i="20" s="1"/>
  <c r="N44" i="20" s="1"/>
  <c r="K31" i="66"/>
  <c r="N55" i="49"/>
  <c r="N56" i="49" s="1"/>
  <c r="K36" i="53"/>
  <c r="K37" i="53" s="1"/>
  <c r="N61" i="21"/>
  <c r="K61" i="21" s="1"/>
  <c r="N18" i="46"/>
  <c r="K18" i="66"/>
  <c r="K23" i="90"/>
  <c r="K24" i="90" s="1"/>
  <c r="K31" i="90" s="1"/>
  <c r="K36" i="88"/>
  <c r="K37" i="88" s="1"/>
  <c r="K44" i="88" s="1"/>
  <c r="N23" i="60"/>
  <c r="N24" i="60" s="1"/>
  <c r="N31" i="60" s="1"/>
  <c r="N67" i="92"/>
  <c r="K67" i="92" s="1"/>
  <c r="N68" i="76"/>
  <c r="N69" i="76" s="1"/>
  <c r="N44" i="50"/>
  <c r="N36" i="93"/>
  <c r="N37" i="93" s="1"/>
  <c r="N44" i="93" s="1"/>
  <c r="N31" i="66"/>
  <c r="N23" i="88"/>
  <c r="N24" i="88" s="1"/>
  <c r="N31" i="88" s="1"/>
  <c r="K18" i="90"/>
  <c r="K11" i="82"/>
  <c r="K12" i="82" s="1"/>
  <c r="K18" i="82" s="1"/>
  <c r="N23" i="31"/>
  <c r="N24" i="31" s="1"/>
  <c r="N31" i="31" s="1"/>
  <c r="K23" i="58"/>
  <c r="K24" i="58" s="1"/>
  <c r="K31" i="58" s="1"/>
  <c r="N55" i="44"/>
  <c r="N56" i="44" s="1"/>
  <c r="K23" i="23"/>
  <c r="K24" i="23" s="1"/>
  <c r="K31" i="23" s="1"/>
  <c r="K36" i="20"/>
  <c r="K37" i="20" s="1"/>
  <c r="K44" i="20" s="1"/>
  <c r="K23" i="50"/>
  <c r="K24" i="50" s="1"/>
  <c r="K31" i="50" s="1"/>
  <c r="N36" i="110"/>
  <c r="N37" i="110" s="1"/>
  <c r="N44" i="110" s="1"/>
  <c r="N18" i="81"/>
  <c r="K31" i="63"/>
  <c r="N23" i="86"/>
  <c r="N24" i="86" s="1"/>
  <c r="N31" i="86" s="1"/>
  <c r="N67" i="67"/>
  <c r="K67" i="67" s="1"/>
  <c r="N23" i="90"/>
  <c r="N24" i="90" s="1"/>
  <c r="N31" i="90" s="1"/>
  <c r="N55" i="43"/>
  <c r="N56" i="43" s="1"/>
  <c r="N36" i="88"/>
  <c r="N37" i="88" s="1"/>
  <c r="N44" i="88" s="1"/>
  <c r="N67" i="95"/>
  <c r="K67" i="95" s="1"/>
  <c r="N55" i="108"/>
  <c r="N56" i="108" s="1"/>
  <c r="N67" i="26"/>
  <c r="K67" i="26" s="1"/>
  <c r="N23" i="46"/>
  <c r="N24" i="46" s="1"/>
  <c r="N31" i="46" s="1"/>
  <c r="N36" i="90"/>
  <c r="N37" i="90" s="1"/>
  <c r="N44" i="90" s="1"/>
  <c r="K36" i="29"/>
  <c r="K37" i="29" s="1"/>
  <c r="K44" i="29" s="1"/>
  <c r="N48" i="90"/>
  <c r="K48" i="90" s="1"/>
  <c r="K49" i="90" s="1"/>
  <c r="K50" i="90" s="1"/>
  <c r="K57" i="90" s="1"/>
  <c r="K36" i="78"/>
  <c r="K37" i="78" s="1"/>
  <c r="K44" i="78" s="1"/>
  <c r="N48" i="66"/>
  <c r="K48" i="66" s="1"/>
  <c r="K49" i="66" s="1"/>
  <c r="K50" i="66" s="1"/>
  <c r="N48" i="39"/>
  <c r="K48" i="39" s="1"/>
  <c r="K49" i="39" s="1"/>
  <c r="K50" i="39" s="1"/>
  <c r="K57" i="39" s="1"/>
  <c r="N55" i="80"/>
  <c r="N56" i="80" s="1"/>
  <c r="K11" i="69"/>
  <c r="K12" i="69" s="1"/>
  <c r="K18" i="69" s="1"/>
  <c r="K23" i="20"/>
  <c r="K24" i="20" s="1"/>
  <c r="K31" i="20" s="1"/>
  <c r="N18" i="66"/>
  <c r="K11" i="109"/>
  <c r="K12" i="109" s="1"/>
  <c r="K18" i="109" s="1"/>
  <c r="N67" i="91"/>
  <c r="K67" i="91" s="1"/>
  <c r="N44" i="33"/>
  <c r="K23" i="88"/>
  <c r="K24" i="88" s="1"/>
  <c r="K31" i="88" s="1"/>
  <c r="N18" i="90"/>
  <c r="K23" i="31"/>
  <c r="K24" i="31" s="1"/>
  <c r="K31" i="31" s="1"/>
  <c r="N11" i="54"/>
  <c r="N12" i="54" s="1"/>
  <c r="N61" i="111"/>
  <c r="K61" i="111" s="1"/>
  <c r="K36" i="58"/>
  <c r="K37" i="58" s="1"/>
  <c r="K44" i="58" s="1"/>
  <c r="K68" i="86"/>
  <c r="K69" i="86" s="1"/>
  <c r="K82" i="86" s="1"/>
  <c r="K36" i="110"/>
  <c r="K37" i="110" s="1"/>
  <c r="K44" i="110" s="1"/>
  <c r="K23" i="105"/>
  <c r="K24" i="105" s="1"/>
  <c r="N36" i="66"/>
  <c r="N37" i="66" s="1"/>
  <c r="N44" i="66" s="1"/>
  <c r="N61" i="92"/>
  <c r="K61" i="92" s="1"/>
  <c r="K55" i="57"/>
  <c r="K56" i="57" s="1"/>
  <c r="N55" i="19"/>
  <c r="N56" i="19" s="1"/>
  <c r="K55" i="43"/>
  <c r="K56" i="43" s="1"/>
  <c r="K23" i="54"/>
  <c r="K24" i="54" s="1"/>
  <c r="K31" i="54" s="1"/>
  <c r="N67" i="62"/>
  <c r="K67" i="62" s="1"/>
  <c r="N67" i="96"/>
  <c r="K67" i="96" s="1"/>
  <c r="N58" i="103"/>
  <c r="K58" i="103" s="1"/>
  <c r="N36" i="63"/>
  <c r="N37" i="63" s="1"/>
  <c r="N44" i="63" s="1"/>
  <c r="N48" i="102"/>
  <c r="N80" i="65"/>
  <c r="N81" i="65" s="1"/>
  <c r="M121" i="124"/>
  <c r="M121" i="127" s="1"/>
  <c r="J121" i="127"/>
  <c r="M117" i="124"/>
  <c r="M117" i="127" s="1"/>
  <c r="K117" i="127"/>
  <c r="M119" i="124"/>
  <c r="M119" i="127" s="1"/>
  <c r="J119" i="127"/>
  <c r="M118" i="124"/>
  <c r="M118" i="127" s="1"/>
  <c r="J118" i="127"/>
  <c r="K58" i="111"/>
  <c r="K81" i="118"/>
  <c r="N81" i="118" s="1"/>
  <c r="K45" i="94"/>
  <c r="K45" i="65"/>
  <c r="K32" i="24"/>
  <c r="K8" i="22"/>
  <c r="K48" i="46"/>
  <c r="K49" i="46" s="1"/>
  <c r="K50" i="46" s="1"/>
  <c r="N49" i="46"/>
  <c r="N50" i="46" s="1"/>
  <c r="K45" i="101"/>
  <c r="K32" i="68"/>
  <c r="K32" i="64"/>
  <c r="K32" i="108"/>
  <c r="K54" i="62"/>
  <c r="K55" i="62" s="1"/>
  <c r="K56" i="62" s="1"/>
  <c r="N55" i="62"/>
  <c r="N56" i="62" s="1"/>
  <c r="K45" i="108"/>
  <c r="K54" i="55"/>
  <c r="K55" i="55" s="1"/>
  <c r="K56" i="55" s="1"/>
  <c r="N55" i="55"/>
  <c r="N56" i="55" s="1"/>
  <c r="K19" i="67"/>
  <c r="K8" i="108"/>
  <c r="K54" i="41"/>
  <c r="K55" i="41" s="1"/>
  <c r="K56" i="41" s="1"/>
  <c r="N55" i="41"/>
  <c r="N56" i="41" s="1"/>
  <c r="N48" i="82"/>
  <c r="N21" i="51"/>
  <c r="K21" i="51" s="1"/>
  <c r="N10" i="51"/>
  <c r="K10" i="51" s="1"/>
  <c r="M5" i="51"/>
  <c r="N35" i="51"/>
  <c r="K35" i="51" s="1"/>
  <c r="K8" i="67"/>
  <c r="K32" i="106"/>
  <c r="N48" i="69"/>
  <c r="N58" i="108"/>
  <c r="K70" i="21"/>
  <c r="K80" i="21" s="1"/>
  <c r="K81" i="21" s="1"/>
  <c r="N80" i="21"/>
  <c r="N81" i="21" s="1"/>
  <c r="N67" i="21"/>
  <c r="K67" i="21" s="1"/>
  <c r="N67" i="99"/>
  <c r="K67" i="99" s="1"/>
  <c r="N58" i="67"/>
  <c r="K70" i="97"/>
  <c r="K80" i="97" s="1"/>
  <c r="K81" i="97" s="1"/>
  <c r="N80" i="97"/>
  <c r="N81" i="97" s="1"/>
  <c r="K58" i="25"/>
  <c r="K68" i="25" s="1"/>
  <c r="K69" i="25" s="1"/>
  <c r="K82" i="25" s="1"/>
  <c r="N68" i="25"/>
  <c r="N69" i="25" s="1"/>
  <c r="N82" i="25" s="1"/>
  <c r="N18" i="54"/>
  <c r="K70" i="34"/>
  <c r="K80" i="34" s="1"/>
  <c r="K81" i="34" s="1"/>
  <c r="N80" i="34"/>
  <c r="N81" i="34" s="1"/>
  <c r="K11" i="50"/>
  <c r="K12" i="50" s="1"/>
  <c r="K18" i="50" s="1"/>
  <c r="K32" i="91"/>
  <c r="K70" i="38"/>
  <c r="K80" i="38" s="1"/>
  <c r="K81" i="38" s="1"/>
  <c r="N80" i="38"/>
  <c r="N81" i="38" s="1"/>
  <c r="N48" i="40"/>
  <c r="N35" i="47"/>
  <c r="K35" i="47" s="1"/>
  <c r="N21" i="47"/>
  <c r="K21" i="47" s="1"/>
  <c r="N10" i="47"/>
  <c r="K10" i="47" s="1"/>
  <c r="M5" i="47"/>
  <c r="K19" i="51"/>
  <c r="N35" i="24"/>
  <c r="K35" i="24" s="1"/>
  <c r="N10" i="24"/>
  <c r="K10" i="24" s="1"/>
  <c r="N21" i="24"/>
  <c r="K21" i="24" s="1"/>
  <c r="M5" i="24"/>
  <c r="N48" i="45"/>
  <c r="N11" i="60"/>
  <c r="N12" i="60" s="1"/>
  <c r="N18" i="60" s="1"/>
  <c r="K70" i="39"/>
  <c r="K80" i="39" s="1"/>
  <c r="K81" i="39" s="1"/>
  <c r="N80" i="39"/>
  <c r="N81" i="39" s="1"/>
  <c r="N48" i="33"/>
  <c r="K54" i="18"/>
  <c r="K55" i="18" s="1"/>
  <c r="K56" i="18" s="1"/>
  <c r="N55" i="18"/>
  <c r="N56" i="18" s="1"/>
  <c r="K70" i="95"/>
  <c r="K80" i="95" s="1"/>
  <c r="K81" i="95" s="1"/>
  <c r="N80" i="95"/>
  <c r="N81" i="95" s="1"/>
  <c r="K54" i="37"/>
  <c r="K55" i="37" s="1"/>
  <c r="K56" i="37" s="1"/>
  <c r="N55" i="37"/>
  <c r="N56" i="37" s="1"/>
  <c r="N48" i="31"/>
  <c r="N67" i="44"/>
  <c r="K67" i="44" s="1"/>
  <c r="K58" i="32"/>
  <c r="K68" i="32" s="1"/>
  <c r="K69" i="32" s="1"/>
  <c r="K82" i="32" s="1"/>
  <c r="N68" i="32"/>
  <c r="N69" i="32" s="1"/>
  <c r="N82" i="32" s="1"/>
  <c r="K54" i="87"/>
  <c r="K55" i="87" s="1"/>
  <c r="K56" i="87" s="1"/>
  <c r="N55" i="87"/>
  <c r="N56" i="87" s="1"/>
  <c r="K45" i="44"/>
  <c r="N48" i="27"/>
  <c r="K19" i="99"/>
  <c r="N11" i="87"/>
  <c r="N12" i="87" s="1"/>
  <c r="N18" i="87" s="1"/>
  <c r="K32" i="94"/>
  <c r="K19" i="61"/>
  <c r="N68" i="46"/>
  <c r="N69" i="46" s="1"/>
  <c r="K58" i="46"/>
  <c r="K68" i="46" s="1"/>
  <c r="K69" i="46" s="1"/>
  <c r="K23" i="71"/>
  <c r="K24" i="71" s="1"/>
  <c r="K31" i="71" s="1"/>
  <c r="K45" i="57"/>
  <c r="N67" i="43"/>
  <c r="K67" i="43" s="1"/>
  <c r="K36" i="18"/>
  <c r="K37" i="18" s="1"/>
  <c r="K44" i="18" s="1"/>
  <c r="N55" i="57"/>
  <c r="N56" i="57" s="1"/>
  <c r="K19" i="111"/>
  <c r="K45" i="24"/>
  <c r="N35" i="97"/>
  <c r="K35" i="97" s="1"/>
  <c r="N21" i="97"/>
  <c r="K21" i="97" s="1"/>
  <c r="M5" i="97"/>
  <c r="N10" i="97"/>
  <c r="K10" i="97" s="1"/>
  <c r="K8" i="47"/>
  <c r="N61" i="36"/>
  <c r="K61" i="36" s="1"/>
  <c r="N44" i="70"/>
  <c r="M5" i="16"/>
  <c r="N21" i="16"/>
  <c r="K21" i="16" s="1"/>
  <c r="N10" i="16"/>
  <c r="K10" i="16" s="1"/>
  <c r="N35" i="16"/>
  <c r="K35" i="16" s="1"/>
  <c r="K44" i="46"/>
  <c r="K23" i="93"/>
  <c r="K24" i="93" s="1"/>
  <c r="K31" i="93" s="1"/>
  <c r="K32" i="43"/>
  <c r="K45" i="19"/>
  <c r="N11" i="110"/>
  <c r="N12" i="110" s="1"/>
  <c r="N18" i="110" s="1"/>
  <c r="N68" i="83"/>
  <c r="N69" i="83" s="1"/>
  <c r="N82" i="83" s="1"/>
  <c r="K58" i="83"/>
  <c r="K68" i="83" s="1"/>
  <c r="K69" i="83" s="1"/>
  <c r="K82" i="83" s="1"/>
  <c r="K32" i="59"/>
  <c r="N48" i="20"/>
  <c r="N11" i="101"/>
  <c r="N12" i="101" s="1"/>
  <c r="N18" i="101" s="1"/>
  <c r="K8" i="101"/>
  <c r="K11" i="101" s="1"/>
  <c r="K12" i="101" s="1"/>
  <c r="K18" i="101" s="1"/>
  <c r="K45" i="35"/>
  <c r="K23" i="34"/>
  <c r="K24" i="34" s="1"/>
  <c r="K31" i="34" s="1"/>
  <c r="K45" i="74"/>
  <c r="K45" i="56"/>
  <c r="N68" i="37"/>
  <c r="N69" i="37" s="1"/>
  <c r="N82" i="37" s="1"/>
  <c r="K58" i="37"/>
  <c r="K68" i="37" s="1"/>
  <c r="K69" i="37" s="1"/>
  <c r="K82" i="37" s="1"/>
  <c r="K23" i="83"/>
  <c r="K24" i="83" s="1"/>
  <c r="K31" i="83" s="1"/>
  <c r="K12" i="118"/>
  <c r="N12" i="118" s="1"/>
  <c r="N23" i="55"/>
  <c r="N24" i="55" s="1"/>
  <c r="N31" i="55" s="1"/>
  <c r="K31" i="39"/>
  <c r="K23" i="60"/>
  <c r="K24" i="60" s="1"/>
  <c r="K31" i="60" s="1"/>
  <c r="N48" i="98"/>
  <c r="K80" i="16"/>
  <c r="K81" i="16" s="1"/>
  <c r="K55" i="72"/>
  <c r="K56" i="72" s="1"/>
  <c r="K19" i="68"/>
  <c r="N61" i="104"/>
  <c r="K61" i="104" s="1"/>
  <c r="K11" i="34"/>
  <c r="K12" i="34" s="1"/>
  <c r="K18" i="34" s="1"/>
  <c r="K8" i="17"/>
  <c r="N61" i="62"/>
  <c r="K61" i="62" s="1"/>
  <c r="K55" i="69"/>
  <c r="K56" i="69" s="1"/>
  <c r="K55" i="31"/>
  <c r="K56" i="31" s="1"/>
  <c r="N55" i="111"/>
  <c r="N56" i="111" s="1"/>
  <c r="N36" i="78"/>
  <c r="N37" i="78" s="1"/>
  <c r="N44" i="78" s="1"/>
  <c r="N36" i="81"/>
  <c r="N37" i="81" s="1"/>
  <c r="N44" i="81" s="1"/>
  <c r="N48" i="55"/>
  <c r="N55" i="66"/>
  <c r="N56" i="66" s="1"/>
  <c r="K36" i="54"/>
  <c r="K37" i="54" s="1"/>
  <c r="K44" i="54" s="1"/>
  <c r="N11" i="69"/>
  <c r="N12" i="69" s="1"/>
  <c r="N18" i="69" s="1"/>
  <c r="K58" i="109"/>
  <c r="K68" i="109" s="1"/>
  <c r="K69" i="109" s="1"/>
  <c r="K82" i="109" s="1"/>
  <c r="N68" i="109"/>
  <c r="N69" i="109" s="1"/>
  <c r="N82" i="109" s="1"/>
  <c r="K54" i="83"/>
  <c r="K55" i="83" s="1"/>
  <c r="K56" i="83" s="1"/>
  <c r="N55" i="83"/>
  <c r="N56" i="83" s="1"/>
  <c r="K42" i="17"/>
  <c r="K43" i="17" s="1"/>
  <c r="K66" i="118"/>
  <c r="K45" i="92"/>
  <c r="K45" i="61"/>
  <c r="K58" i="29"/>
  <c r="K68" i="29" s="1"/>
  <c r="K69" i="29" s="1"/>
  <c r="K82" i="29" s="1"/>
  <c r="N68" i="29"/>
  <c r="N69" i="29" s="1"/>
  <c r="N82" i="29" s="1"/>
  <c r="K8" i="35"/>
  <c r="K48" i="78"/>
  <c r="K49" i="78" s="1"/>
  <c r="K50" i="78" s="1"/>
  <c r="N49" i="78"/>
  <c r="N50" i="78" s="1"/>
  <c r="N23" i="33"/>
  <c r="N24" i="33" s="1"/>
  <c r="N31" i="33" s="1"/>
  <c r="K55" i="66"/>
  <c r="K56" i="66" s="1"/>
  <c r="N11" i="63"/>
  <c r="N12" i="63" s="1"/>
  <c r="N18" i="63" s="1"/>
  <c r="K58" i="78"/>
  <c r="K68" i="78" s="1"/>
  <c r="K69" i="78" s="1"/>
  <c r="K82" i="78" s="1"/>
  <c r="N68" i="78"/>
  <c r="N69" i="78" s="1"/>
  <c r="N82" i="78" s="1"/>
  <c r="K11" i="86"/>
  <c r="K12" i="86" s="1"/>
  <c r="K18" i="86" s="1"/>
  <c r="K32" i="51"/>
  <c r="K36" i="51" s="1"/>
  <c r="K37" i="51" s="1"/>
  <c r="K44" i="51" s="1"/>
  <c r="K45" i="89"/>
  <c r="K54" i="101"/>
  <c r="K55" i="101" s="1"/>
  <c r="K56" i="101" s="1"/>
  <c r="N55" i="101"/>
  <c r="N56" i="101" s="1"/>
  <c r="K58" i="62"/>
  <c r="N21" i="72"/>
  <c r="K21" i="72" s="1"/>
  <c r="N35" i="72"/>
  <c r="K35" i="72" s="1"/>
  <c r="M5" i="72"/>
  <c r="N10" i="72"/>
  <c r="K10" i="72" s="1"/>
  <c r="M5" i="95"/>
  <c r="N35" i="95"/>
  <c r="K35" i="95" s="1"/>
  <c r="N10" i="95"/>
  <c r="K10" i="95" s="1"/>
  <c r="N21" i="95"/>
  <c r="K21" i="95" s="1"/>
  <c r="K11" i="31"/>
  <c r="K12" i="31" s="1"/>
  <c r="K18" i="31" s="1"/>
  <c r="K44" i="25"/>
  <c r="K70" i="42"/>
  <c r="K80" i="42" s="1"/>
  <c r="K81" i="42" s="1"/>
  <c r="N80" i="42"/>
  <c r="N81" i="42" s="1"/>
  <c r="K32" i="44"/>
  <c r="N21" i="89"/>
  <c r="K21" i="89" s="1"/>
  <c r="N35" i="89"/>
  <c r="K35" i="89" s="1"/>
  <c r="M5" i="89"/>
  <c r="N10" i="89"/>
  <c r="K10" i="89" s="1"/>
  <c r="K45" i="96"/>
  <c r="N48" i="18"/>
  <c r="K23" i="29"/>
  <c r="K24" i="29" s="1"/>
  <c r="K31" i="29" s="1"/>
  <c r="K8" i="99"/>
  <c r="K55" i="28"/>
  <c r="K56" i="28" s="1"/>
  <c r="K8" i="94"/>
  <c r="K58" i="82"/>
  <c r="K68" i="82" s="1"/>
  <c r="K69" i="82" s="1"/>
  <c r="K82" i="82" s="1"/>
  <c r="N68" i="82"/>
  <c r="N69" i="82" s="1"/>
  <c r="N82" i="82" s="1"/>
  <c r="K23" i="86"/>
  <c r="K24" i="86" s="1"/>
  <c r="K31" i="86" s="1"/>
  <c r="K36" i="102"/>
  <c r="K37" i="102" s="1"/>
  <c r="K44" i="102" s="1"/>
  <c r="N11" i="28"/>
  <c r="N12" i="28" s="1"/>
  <c r="N18" i="28" s="1"/>
  <c r="K32" i="65"/>
  <c r="K36" i="32"/>
  <c r="K37" i="32" s="1"/>
  <c r="K44" i="32" s="1"/>
  <c r="K45" i="42"/>
  <c r="K18" i="46"/>
  <c r="K19" i="57"/>
  <c r="K8" i="26"/>
  <c r="N36" i="95"/>
  <c r="N37" i="95" s="1"/>
  <c r="N44" i="95" s="1"/>
  <c r="K32" i="95"/>
  <c r="K36" i="95" s="1"/>
  <c r="K37" i="95" s="1"/>
  <c r="K44" i="95" s="1"/>
  <c r="N61" i="47"/>
  <c r="K61" i="47" s="1"/>
  <c r="K11" i="27"/>
  <c r="K12" i="27" s="1"/>
  <c r="K18" i="27" s="1"/>
  <c r="K36" i="87"/>
  <c r="K37" i="87" s="1"/>
  <c r="K44" i="87" s="1"/>
  <c r="N67" i="52"/>
  <c r="K67" i="52" s="1"/>
  <c r="N11" i="24"/>
  <c r="N12" i="24" s="1"/>
  <c r="N18" i="24" s="1"/>
  <c r="K8" i="24"/>
  <c r="K11" i="24" s="1"/>
  <c r="K12" i="24" s="1"/>
  <c r="K18" i="24" s="1"/>
  <c r="K11" i="39"/>
  <c r="K12" i="39" s="1"/>
  <c r="K18" i="39" s="1"/>
  <c r="N48" i="105"/>
  <c r="K70" i="88"/>
  <c r="K80" i="88" s="1"/>
  <c r="K81" i="88" s="1"/>
  <c r="N80" i="88"/>
  <c r="N81" i="88" s="1"/>
  <c r="N58" i="47"/>
  <c r="N11" i="29"/>
  <c r="N12" i="29" s="1"/>
  <c r="N18" i="29" s="1"/>
  <c r="K45" i="22"/>
  <c r="N67" i="22"/>
  <c r="K67" i="22" s="1"/>
  <c r="N61" i="49"/>
  <c r="K61" i="49" s="1"/>
  <c r="K58" i="102"/>
  <c r="K68" i="102" s="1"/>
  <c r="K69" i="102" s="1"/>
  <c r="K82" i="102" s="1"/>
  <c r="N68" i="102"/>
  <c r="N69" i="102" s="1"/>
  <c r="N82" i="102" s="1"/>
  <c r="N48" i="107"/>
  <c r="K19" i="104"/>
  <c r="L105" i="125"/>
  <c r="L107" i="125" s="1"/>
  <c r="N11" i="98"/>
  <c r="N12" i="98" s="1"/>
  <c r="N18" i="98" s="1"/>
  <c r="N55" i="53"/>
  <c r="N56" i="53" s="1"/>
  <c r="K31" i="70"/>
  <c r="N55" i="100"/>
  <c r="N56" i="100" s="1"/>
  <c r="K19" i="38"/>
  <c r="K8" i="43"/>
  <c r="K36" i="60"/>
  <c r="K37" i="60" s="1"/>
  <c r="K44" i="60" s="1"/>
  <c r="N36" i="73"/>
  <c r="N37" i="73" s="1"/>
  <c r="N44" i="73" s="1"/>
  <c r="K80" i="118"/>
  <c r="N80" i="118" s="1"/>
  <c r="N48" i="34"/>
  <c r="N65" i="124"/>
  <c r="K8" i="59"/>
  <c r="N68" i="75"/>
  <c r="N69" i="75" s="1"/>
  <c r="N82" i="75" s="1"/>
  <c r="K58" i="75"/>
  <c r="K68" i="75" s="1"/>
  <c r="K69" i="75" s="1"/>
  <c r="K82" i="75" s="1"/>
  <c r="K11" i="80"/>
  <c r="K12" i="80" s="1"/>
  <c r="K18" i="80" s="1"/>
  <c r="K32" i="101"/>
  <c r="K36" i="101" s="1"/>
  <c r="K37" i="101" s="1"/>
  <c r="K44" i="101" s="1"/>
  <c r="N36" i="101"/>
  <c r="N37" i="101" s="1"/>
  <c r="N44" i="101" s="1"/>
  <c r="K55" i="108"/>
  <c r="K56" i="108" s="1"/>
  <c r="K54" i="33"/>
  <c r="K55" i="33" s="1"/>
  <c r="K56" i="33" s="1"/>
  <c r="N55" i="33"/>
  <c r="N56" i="33" s="1"/>
  <c r="N48" i="53"/>
  <c r="K32" i="74"/>
  <c r="K55" i="91"/>
  <c r="K56" i="91" s="1"/>
  <c r="K23" i="69"/>
  <c r="K24" i="69" s="1"/>
  <c r="K31" i="69" s="1"/>
  <c r="N61" i="35"/>
  <c r="K61" i="35" s="1"/>
  <c r="K23" i="46"/>
  <c r="K24" i="46" s="1"/>
  <c r="K31" i="46" s="1"/>
  <c r="N11" i="18"/>
  <c r="N12" i="18" s="1"/>
  <c r="N18" i="18" s="1"/>
  <c r="N48" i="70"/>
  <c r="K23" i="33"/>
  <c r="K24" i="33" s="1"/>
  <c r="K31" i="33" s="1"/>
  <c r="K8" i="103"/>
  <c r="K19" i="52"/>
  <c r="N48" i="77"/>
  <c r="N36" i="29"/>
  <c r="N37" i="29" s="1"/>
  <c r="N44" i="29" s="1"/>
  <c r="K55" i="104"/>
  <c r="K56" i="104" s="1"/>
  <c r="K11" i="41"/>
  <c r="K12" i="41" s="1"/>
  <c r="K18" i="41" s="1"/>
  <c r="K36" i="63"/>
  <c r="K37" i="63" s="1"/>
  <c r="K44" i="63" s="1"/>
  <c r="N58" i="17"/>
  <c r="K8" i="64"/>
  <c r="N49" i="90"/>
  <c r="N50" i="90" s="1"/>
  <c r="N57" i="90" s="1"/>
  <c r="N19" i="124"/>
  <c r="N67" i="85"/>
  <c r="K67" i="85" s="1"/>
  <c r="N67" i="104"/>
  <c r="K67" i="104" s="1"/>
  <c r="N23" i="53"/>
  <c r="N24" i="53" s="1"/>
  <c r="N31" i="53" s="1"/>
  <c r="K36" i="100"/>
  <c r="K37" i="100" s="1"/>
  <c r="K44" i="100" s="1"/>
  <c r="K32" i="85"/>
  <c r="K55" i="80"/>
  <c r="K56" i="80" s="1"/>
  <c r="K23" i="37"/>
  <c r="K24" i="37" s="1"/>
  <c r="K31" i="37" s="1"/>
  <c r="K11" i="53"/>
  <c r="K12" i="53" s="1"/>
  <c r="K18" i="53" s="1"/>
  <c r="K68" i="76"/>
  <c r="K69" i="76" s="1"/>
  <c r="K70" i="31"/>
  <c r="K80" i="31" s="1"/>
  <c r="K81" i="31" s="1"/>
  <c r="N80" i="31"/>
  <c r="N81" i="31" s="1"/>
  <c r="K58" i="107"/>
  <c r="K68" i="107" s="1"/>
  <c r="K69" i="107" s="1"/>
  <c r="K82" i="107" s="1"/>
  <c r="N68" i="107"/>
  <c r="N69" i="107" s="1"/>
  <c r="N82" i="107" s="1"/>
  <c r="K70" i="72"/>
  <c r="K80" i="72" s="1"/>
  <c r="K81" i="72" s="1"/>
  <c r="N80" i="72"/>
  <c r="N81" i="72" s="1"/>
  <c r="N11" i="86"/>
  <c r="N12" i="86" s="1"/>
  <c r="N18" i="86" s="1"/>
  <c r="K58" i="97"/>
  <c r="N36" i="32"/>
  <c r="N37" i="32" s="1"/>
  <c r="N44" i="32" s="1"/>
  <c r="K58" i="27"/>
  <c r="K68" i="27" s="1"/>
  <c r="K69" i="27" s="1"/>
  <c r="N68" i="27"/>
  <c r="N69" i="27" s="1"/>
  <c r="K58" i="110"/>
  <c r="K68" i="110" s="1"/>
  <c r="K69" i="110" s="1"/>
  <c r="K82" i="110" s="1"/>
  <c r="N68" i="110"/>
  <c r="N69" i="110" s="1"/>
  <c r="N82" i="110" s="1"/>
  <c r="K54" i="79"/>
  <c r="K55" i="79" s="1"/>
  <c r="K56" i="79" s="1"/>
  <c r="N55" i="79"/>
  <c r="N56" i="79" s="1"/>
  <c r="K58" i="16"/>
  <c r="N36" i="54"/>
  <c r="N37" i="54" s="1"/>
  <c r="N44" i="54" s="1"/>
  <c r="N21" i="111"/>
  <c r="K21" i="111" s="1"/>
  <c r="N10" i="111"/>
  <c r="K10" i="111" s="1"/>
  <c r="M5" i="111"/>
  <c r="N35" i="111"/>
  <c r="K35" i="111" s="1"/>
  <c r="N67" i="111"/>
  <c r="K67" i="111" s="1"/>
  <c r="N48" i="84"/>
  <c r="K45" i="67"/>
  <c r="K8" i="106"/>
  <c r="K70" i="66"/>
  <c r="K80" i="66" s="1"/>
  <c r="K81" i="66" s="1"/>
  <c r="N80" i="66"/>
  <c r="N81" i="66" s="1"/>
  <c r="K8" i="79"/>
  <c r="K11" i="79" s="1"/>
  <c r="K12" i="79" s="1"/>
  <c r="K18" i="79" s="1"/>
  <c r="N11" i="79"/>
  <c r="N12" i="79" s="1"/>
  <c r="N18" i="79" s="1"/>
  <c r="N67" i="24"/>
  <c r="K67" i="24" s="1"/>
  <c r="N48" i="76"/>
  <c r="K55" i="30"/>
  <c r="K56" i="30" s="1"/>
  <c r="N36" i="76"/>
  <c r="N37" i="76" s="1"/>
  <c r="N44" i="76" s="1"/>
  <c r="N61" i="99"/>
  <c r="K61" i="99" s="1"/>
  <c r="K11" i="63"/>
  <c r="K12" i="63" s="1"/>
  <c r="K18" i="63" s="1"/>
  <c r="N48" i="60"/>
  <c r="K32" i="21"/>
  <c r="K11" i="40"/>
  <c r="K12" i="40" s="1"/>
  <c r="K18" i="40" s="1"/>
  <c r="N23" i="50"/>
  <c r="N24" i="50" s="1"/>
  <c r="N31" i="50" s="1"/>
  <c r="N44" i="58"/>
  <c r="K8" i="51"/>
  <c r="K11" i="51" s="1"/>
  <c r="K12" i="51" s="1"/>
  <c r="K18" i="51" s="1"/>
  <c r="N11" i="51"/>
  <c r="N12" i="51" s="1"/>
  <c r="N18" i="51" s="1"/>
  <c r="K70" i="59"/>
  <c r="K80" i="59" s="1"/>
  <c r="K81" i="59" s="1"/>
  <c r="N80" i="59"/>
  <c r="N81" i="59" s="1"/>
  <c r="K19" i="97"/>
  <c r="N61" i="51"/>
  <c r="K61" i="51" s="1"/>
  <c r="K36" i="40"/>
  <c r="K37" i="40" s="1"/>
  <c r="K44" i="40" s="1"/>
  <c r="K54" i="70"/>
  <c r="K55" i="70" s="1"/>
  <c r="K56" i="70" s="1"/>
  <c r="N55" i="70"/>
  <c r="N56" i="70" s="1"/>
  <c r="N67" i="56"/>
  <c r="K67" i="56" s="1"/>
  <c r="K45" i="62"/>
  <c r="N80" i="27"/>
  <c r="N81" i="27" s="1"/>
  <c r="K70" i="27"/>
  <c r="K80" i="27" s="1"/>
  <c r="K81" i="27" s="1"/>
  <c r="J40" i="124"/>
  <c r="L40" i="124"/>
  <c r="L40" i="127" s="1"/>
  <c r="K40" i="124"/>
  <c r="K40" i="127" s="1"/>
  <c r="K31" i="105"/>
  <c r="K58" i="48"/>
  <c r="K68" i="48" s="1"/>
  <c r="K69" i="48" s="1"/>
  <c r="K82" i="48" s="1"/>
  <c r="N68" i="48"/>
  <c r="N69" i="48" s="1"/>
  <c r="N82" i="48" s="1"/>
  <c r="K100" i="118"/>
  <c r="N100" i="118" s="1"/>
  <c r="K19" i="92"/>
  <c r="N23" i="18"/>
  <c r="N24" i="18" s="1"/>
  <c r="N31" i="18" s="1"/>
  <c r="K8" i="44"/>
  <c r="K8" i="96"/>
  <c r="K48" i="109"/>
  <c r="K49" i="109" s="1"/>
  <c r="K50" i="109" s="1"/>
  <c r="N49" i="109"/>
  <c r="N50" i="109" s="1"/>
  <c r="N55" i="28"/>
  <c r="N56" i="28" s="1"/>
  <c r="K8" i="61"/>
  <c r="N67" i="103"/>
  <c r="K67" i="103" s="1"/>
  <c r="K54" i="106"/>
  <c r="K55" i="106" s="1"/>
  <c r="K56" i="106" s="1"/>
  <c r="N55" i="106"/>
  <c r="N56" i="106" s="1"/>
  <c r="K58" i="28"/>
  <c r="K68" i="28" s="1"/>
  <c r="K69" i="28" s="1"/>
  <c r="K82" i="28" s="1"/>
  <c r="N68" i="28"/>
  <c r="N69" i="28" s="1"/>
  <c r="N82" i="28" s="1"/>
  <c r="K120" i="118"/>
  <c r="N120" i="118" s="1"/>
  <c r="K19" i="65"/>
  <c r="N10" i="30"/>
  <c r="K10" i="30" s="1"/>
  <c r="N21" i="30"/>
  <c r="K21" i="30" s="1"/>
  <c r="N35" i="30"/>
  <c r="K35" i="30" s="1"/>
  <c r="M5" i="30"/>
  <c r="K32" i="42"/>
  <c r="N55" i="58"/>
  <c r="N56" i="58" s="1"/>
  <c r="N48" i="58"/>
  <c r="K8" i="57"/>
  <c r="K32" i="26"/>
  <c r="N23" i="41"/>
  <c r="N24" i="41" s="1"/>
  <c r="N31" i="41" s="1"/>
  <c r="K19" i="95"/>
  <c r="N21" i="56"/>
  <c r="K21" i="56" s="1"/>
  <c r="N10" i="56"/>
  <c r="K10" i="56" s="1"/>
  <c r="N35" i="56"/>
  <c r="K35" i="56" s="1"/>
  <c r="M5" i="56"/>
  <c r="N11" i="27"/>
  <c r="N12" i="27" s="1"/>
  <c r="N18" i="27" s="1"/>
  <c r="N11" i="20"/>
  <c r="N12" i="20" s="1"/>
  <c r="N18" i="20" s="1"/>
  <c r="L113" i="124"/>
  <c r="L113" i="127" s="1"/>
  <c r="K113" i="124"/>
  <c r="K113" i="127" s="1"/>
  <c r="J113" i="124"/>
  <c r="J113" i="127" s="1"/>
  <c r="K58" i="39"/>
  <c r="K68" i="39" s="1"/>
  <c r="K69" i="39" s="1"/>
  <c r="N68" i="39"/>
  <c r="N69" i="39" s="1"/>
  <c r="N61" i="64"/>
  <c r="K61" i="64" s="1"/>
  <c r="N11" i="73"/>
  <c r="N12" i="73" s="1"/>
  <c r="N18" i="73" s="1"/>
  <c r="N48" i="110"/>
  <c r="K19" i="47"/>
  <c r="K23" i="47" s="1"/>
  <c r="K24" i="47" s="1"/>
  <c r="K31" i="47" s="1"/>
  <c r="N23" i="47"/>
  <c r="N24" i="47" s="1"/>
  <c r="N31" i="47" s="1"/>
  <c r="K11" i="29"/>
  <c r="K12" i="29" s="1"/>
  <c r="K18" i="29" s="1"/>
  <c r="K19" i="22"/>
  <c r="K19" i="72"/>
  <c r="M5" i="44"/>
  <c r="N35" i="44"/>
  <c r="K35" i="44" s="1"/>
  <c r="N21" i="44"/>
  <c r="K21" i="44" s="1"/>
  <c r="N10" i="44"/>
  <c r="K10" i="44" s="1"/>
  <c r="N31" i="25"/>
  <c r="N23" i="54"/>
  <c r="N24" i="54" s="1"/>
  <c r="N31" i="54" s="1"/>
  <c r="N68" i="98"/>
  <c r="N69" i="98" s="1"/>
  <c r="N82" i="98" s="1"/>
  <c r="K58" i="98"/>
  <c r="K68" i="98" s="1"/>
  <c r="K69" i="98" s="1"/>
  <c r="K82" i="98" s="1"/>
  <c r="N36" i="41"/>
  <c r="N37" i="41" s="1"/>
  <c r="N44" i="41" s="1"/>
  <c r="K58" i="23"/>
  <c r="K68" i="23" s="1"/>
  <c r="K69" i="23" s="1"/>
  <c r="K82" i="23" s="1"/>
  <c r="N68" i="23"/>
  <c r="N69" i="23" s="1"/>
  <c r="K11" i="25"/>
  <c r="K12" i="25" s="1"/>
  <c r="K18" i="25" s="1"/>
  <c r="K55" i="100"/>
  <c r="K56" i="100" s="1"/>
  <c r="K19" i="43"/>
  <c r="K36" i="73"/>
  <c r="K37" i="73" s="1"/>
  <c r="K44" i="73" s="1"/>
  <c r="N23" i="107"/>
  <c r="N24" i="107" s="1"/>
  <c r="N31" i="107" s="1"/>
  <c r="N55" i="51"/>
  <c r="N56" i="51" s="1"/>
  <c r="K54" i="98"/>
  <c r="K55" i="98" s="1"/>
  <c r="K56" i="98" s="1"/>
  <c r="N55" i="98"/>
  <c r="N56" i="98" s="1"/>
  <c r="K58" i="80"/>
  <c r="K68" i="80" s="1"/>
  <c r="K69" i="80" s="1"/>
  <c r="K82" i="80" s="1"/>
  <c r="N68" i="80"/>
  <c r="N69" i="80" s="1"/>
  <c r="N82" i="80" s="1"/>
  <c r="K19" i="101"/>
  <c r="K23" i="101" s="1"/>
  <c r="K24" i="101" s="1"/>
  <c r="K31" i="101" s="1"/>
  <c r="N23" i="101"/>
  <c r="N24" i="101" s="1"/>
  <c r="N31" i="101" s="1"/>
  <c r="K19" i="30"/>
  <c r="K23" i="30" s="1"/>
  <c r="K24" i="30" s="1"/>
  <c r="K31" i="30" s="1"/>
  <c r="N23" i="30"/>
  <c r="N24" i="30" s="1"/>
  <c r="N31" i="30" s="1"/>
  <c r="N23" i="48"/>
  <c r="N24" i="48" s="1"/>
  <c r="N31" i="48" s="1"/>
  <c r="N67" i="16"/>
  <c r="K67" i="16" s="1"/>
  <c r="K32" i="56"/>
  <c r="N23" i="69"/>
  <c r="N24" i="69" s="1"/>
  <c r="N31" i="69" s="1"/>
  <c r="K11" i="18"/>
  <c r="K12" i="18" s="1"/>
  <c r="K18" i="18" s="1"/>
  <c r="N48" i="81"/>
  <c r="K32" i="49"/>
  <c r="K45" i="52"/>
  <c r="K32" i="16"/>
  <c r="K36" i="16" s="1"/>
  <c r="K37" i="16" s="1"/>
  <c r="K44" i="16" s="1"/>
  <c r="N36" i="16"/>
  <c r="N37" i="16" s="1"/>
  <c r="N44" i="16" s="1"/>
  <c r="N21" i="108"/>
  <c r="K21" i="108" s="1"/>
  <c r="M5" i="108"/>
  <c r="N35" i="108"/>
  <c r="K35" i="108" s="1"/>
  <c r="N10" i="108"/>
  <c r="K10" i="108" s="1"/>
  <c r="K23" i="40"/>
  <c r="K24" i="40" s="1"/>
  <c r="K31" i="40" s="1"/>
  <c r="N55" i="104"/>
  <c r="N56" i="104" s="1"/>
  <c r="N11" i="41"/>
  <c r="N12" i="41" s="1"/>
  <c r="N18" i="41" s="1"/>
  <c r="N67" i="68"/>
  <c r="K67" i="68" s="1"/>
  <c r="N48" i="88"/>
  <c r="K23" i="53"/>
  <c r="K24" i="53" s="1"/>
  <c r="K31" i="53" s="1"/>
  <c r="N36" i="100"/>
  <c r="N37" i="100" s="1"/>
  <c r="N44" i="100" s="1"/>
  <c r="K19" i="85"/>
  <c r="N36" i="34"/>
  <c r="N37" i="34" s="1"/>
  <c r="N44" i="34" s="1"/>
  <c r="N61" i="22"/>
  <c r="K61" i="22" s="1"/>
  <c r="N68" i="86"/>
  <c r="N69" i="86" s="1"/>
  <c r="N82" i="86" s="1"/>
  <c r="K58" i="53"/>
  <c r="K68" i="53" s="1"/>
  <c r="K69" i="53" s="1"/>
  <c r="N68" i="53"/>
  <c r="N69" i="53" s="1"/>
  <c r="K107" i="118"/>
  <c r="N107" i="118" s="1"/>
  <c r="K70" i="103"/>
  <c r="K80" i="103" s="1"/>
  <c r="K81" i="103" s="1"/>
  <c r="N80" i="103"/>
  <c r="N81" i="103" s="1"/>
  <c r="K45" i="104"/>
  <c r="K8" i="38"/>
  <c r="K8" i="30"/>
  <c r="K19" i="103"/>
  <c r="K48" i="102"/>
  <c r="K49" i="102" s="1"/>
  <c r="K50" i="102" s="1"/>
  <c r="K57" i="102" s="1"/>
  <c r="N49" i="102"/>
  <c r="N50" i="102" s="1"/>
  <c r="N57" i="102" s="1"/>
  <c r="N36" i="79"/>
  <c r="N37" i="79" s="1"/>
  <c r="N44" i="79" s="1"/>
  <c r="K32" i="79"/>
  <c r="K36" i="79" s="1"/>
  <c r="K37" i="79" s="1"/>
  <c r="K44" i="79" s="1"/>
  <c r="K19" i="108"/>
  <c r="N23" i="108"/>
  <c r="N24" i="108" s="1"/>
  <c r="N31" i="108" s="1"/>
  <c r="K16" i="17"/>
  <c r="K17" i="17" s="1"/>
  <c r="K21" i="118"/>
  <c r="N61" i="103"/>
  <c r="K61" i="103" s="1"/>
  <c r="N55" i="46"/>
  <c r="N56" i="46" s="1"/>
  <c r="K32" i="67"/>
  <c r="K19" i="106"/>
  <c r="N67" i="72"/>
  <c r="K67" i="72" s="1"/>
  <c r="N61" i="106"/>
  <c r="K61" i="106" s="1"/>
  <c r="K115" i="124"/>
  <c r="K115" i="127" s="1"/>
  <c r="L115" i="124"/>
  <c r="J115" i="124"/>
  <c r="J115" i="127" s="1"/>
  <c r="K45" i="21"/>
  <c r="N10" i="22"/>
  <c r="K10" i="22" s="1"/>
  <c r="N35" i="22"/>
  <c r="K35" i="22" s="1"/>
  <c r="N21" i="22"/>
  <c r="K21" i="22" s="1"/>
  <c r="M5" i="22"/>
  <c r="N11" i="84"/>
  <c r="N12" i="84" s="1"/>
  <c r="N18" i="84" s="1"/>
  <c r="M5" i="99"/>
  <c r="N35" i="99"/>
  <c r="K35" i="99" s="1"/>
  <c r="N10" i="99"/>
  <c r="K10" i="99" s="1"/>
  <c r="N21" i="99"/>
  <c r="K21" i="99" s="1"/>
  <c r="N55" i="92"/>
  <c r="N56" i="92" s="1"/>
  <c r="N36" i="89"/>
  <c r="N37" i="89" s="1"/>
  <c r="N44" i="89" s="1"/>
  <c r="K32" i="89"/>
  <c r="K36" i="89" s="1"/>
  <c r="K37" i="89" s="1"/>
  <c r="K44" i="89" s="1"/>
  <c r="N35" i="65"/>
  <c r="K35" i="65" s="1"/>
  <c r="K36" i="65" s="1"/>
  <c r="K37" i="65" s="1"/>
  <c r="K44" i="65" s="1"/>
  <c r="N21" i="65"/>
  <c r="K21" i="65" s="1"/>
  <c r="M5" i="65"/>
  <c r="N10" i="65"/>
  <c r="K10" i="65" s="1"/>
  <c r="K70" i="96"/>
  <c r="K80" i="96" s="1"/>
  <c r="K81" i="96" s="1"/>
  <c r="N80" i="96"/>
  <c r="N81" i="96" s="1"/>
  <c r="N68" i="100"/>
  <c r="N69" i="100" s="1"/>
  <c r="N82" i="100" s="1"/>
  <c r="K58" i="100"/>
  <c r="K68" i="100" s="1"/>
  <c r="K69" i="100" s="1"/>
  <c r="K82" i="100" s="1"/>
  <c r="N35" i="26"/>
  <c r="K35" i="26" s="1"/>
  <c r="N21" i="26"/>
  <c r="K21" i="26" s="1"/>
  <c r="N10" i="26"/>
  <c r="K10" i="26" s="1"/>
  <c r="M5" i="26"/>
  <c r="N61" i="61"/>
  <c r="K61" i="61" s="1"/>
  <c r="K45" i="97"/>
  <c r="N36" i="45"/>
  <c r="N37" i="45" s="1"/>
  <c r="N44" i="45" s="1"/>
  <c r="K29" i="17"/>
  <c r="K30" i="17" s="1"/>
  <c r="K43" i="118"/>
  <c r="N36" i="40"/>
  <c r="N37" i="40" s="1"/>
  <c r="N44" i="40" s="1"/>
  <c r="K70" i="36"/>
  <c r="K80" i="36" s="1"/>
  <c r="K81" i="36" s="1"/>
  <c r="N80" i="36"/>
  <c r="N81" i="36" s="1"/>
  <c r="N61" i="52"/>
  <c r="K61" i="52" s="1"/>
  <c r="K32" i="62"/>
  <c r="N61" i="24"/>
  <c r="K61" i="24" s="1"/>
  <c r="N31" i="105"/>
  <c r="N31" i="100"/>
  <c r="N67" i="89"/>
  <c r="K67" i="89" s="1"/>
  <c r="K8" i="92"/>
  <c r="K58" i="34"/>
  <c r="K68" i="34" s="1"/>
  <c r="K69" i="34" s="1"/>
  <c r="N68" i="34"/>
  <c r="N69" i="34" s="1"/>
  <c r="N55" i="42"/>
  <c r="N56" i="42" s="1"/>
  <c r="N31" i="109"/>
  <c r="K45" i="99"/>
  <c r="N48" i="83"/>
  <c r="K32" i="61"/>
  <c r="K11" i="28"/>
  <c r="K12" i="28" s="1"/>
  <c r="K18" i="28" s="1"/>
  <c r="N23" i="76"/>
  <c r="N24" i="76" s="1"/>
  <c r="N31" i="76" s="1"/>
  <c r="K8" i="65"/>
  <c r="K8" i="42"/>
  <c r="K19" i="26"/>
  <c r="K23" i="41"/>
  <c r="K24" i="41" s="1"/>
  <c r="K31" i="41" s="1"/>
  <c r="K58" i="20"/>
  <c r="K68" i="20" s="1"/>
  <c r="K69" i="20" s="1"/>
  <c r="N68" i="20"/>
  <c r="N69" i="20" s="1"/>
  <c r="O3" i="24"/>
  <c r="O5" i="24" s="1"/>
  <c r="K58" i="66"/>
  <c r="K68" i="66" s="1"/>
  <c r="K69" i="66" s="1"/>
  <c r="K82" i="66" s="1"/>
  <c r="N68" i="66"/>
  <c r="N69" i="66" s="1"/>
  <c r="N82" i="66" s="1"/>
  <c r="N68" i="88"/>
  <c r="N69" i="88" s="1"/>
  <c r="K58" i="88"/>
  <c r="K68" i="88" s="1"/>
  <c r="K69" i="88" s="1"/>
  <c r="K82" i="88" s="1"/>
  <c r="N55" i="82"/>
  <c r="N56" i="82" s="1"/>
  <c r="K58" i="73"/>
  <c r="K68" i="73" s="1"/>
  <c r="K69" i="73" s="1"/>
  <c r="K82" i="73" s="1"/>
  <c r="N68" i="73"/>
  <c r="N69" i="73" s="1"/>
  <c r="N82" i="73" s="1"/>
  <c r="N35" i="68"/>
  <c r="K35" i="68" s="1"/>
  <c r="N21" i="68"/>
  <c r="K21" i="68" s="1"/>
  <c r="M5" i="68"/>
  <c r="N10" i="68"/>
  <c r="K10" i="68" s="1"/>
  <c r="K45" i="47"/>
  <c r="K108" i="118"/>
  <c r="N108" i="118" s="1"/>
  <c r="N61" i="19"/>
  <c r="K61" i="19" s="1"/>
  <c r="N44" i="107"/>
  <c r="K32" i="72"/>
  <c r="K11" i="102"/>
  <c r="K12" i="102" s="1"/>
  <c r="K18" i="102" s="1"/>
  <c r="K32" i="104"/>
  <c r="N35" i="96"/>
  <c r="K35" i="96" s="1"/>
  <c r="N21" i="96"/>
  <c r="K21" i="96" s="1"/>
  <c r="M5" i="96"/>
  <c r="N10" i="96"/>
  <c r="K10" i="96" s="1"/>
  <c r="K31" i="25"/>
  <c r="K11" i="71"/>
  <c r="K12" i="71" s="1"/>
  <c r="K18" i="71" s="1"/>
  <c r="K36" i="41"/>
  <c r="K37" i="41" s="1"/>
  <c r="K44" i="41" s="1"/>
  <c r="K32" i="19"/>
  <c r="N61" i="85"/>
  <c r="K61" i="85" s="1"/>
  <c r="N61" i="30"/>
  <c r="K61" i="30" s="1"/>
  <c r="K55" i="51"/>
  <c r="K56" i="51" s="1"/>
  <c r="N61" i="26"/>
  <c r="K61" i="26" s="1"/>
  <c r="N11" i="80"/>
  <c r="N12" i="80" s="1"/>
  <c r="N18" i="80" s="1"/>
  <c r="K23" i="48"/>
  <c r="K24" i="48" s="1"/>
  <c r="K31" i="48" s="1"/>
  <c r="K19" i="36"/>
  <c r="K19" i="56"/>
  <c r="N55" i="89"/>
  <c r="N56" i="89" s="1"/>
  <c r="K36" i="81"/>
  <c r="K37" i="81" s="1"/>
  <c r="K44" i="81" s="1"/>
  <c r="K32" i="103"/>
  <c r="K19" i="49"/>
  <c r="K8" i="52"/>
  <c r="K19" i="16"/>
  <c r="K23" i="16" s="1"/>
  <c r="K24" i="16" s="1"/>
  <c r="K31" i="16" s="1"/>
  <c r="N23" i="16"/>
  <c r="N24" i="16" s="1"/>
  <c r="N31" i="16" s="1"/>
  <c r="N11" i="68"/>
  <c r="N12" i="68" s="1"/>
  <c r="N18" i="68" s="1"/>
  <c r="K8" i="68"/>
  <c r="K11" i="68" s="1"/>
  <c r="K12" i="68" s="1"/>
  <c r="K18" i="68" s="1"/>
  <c r="N23" i="40"/>
  <c r="N24" i="40" s="1"/>
  <c r="N31" i="40" s="1"/>
  <c r="N61" i="72"/>
  <c r="K61" i="72" s="1"/>
  <c r="N68" i="41"/>
  <c r="N69" i="41" s="1"/>
  <c r="N82" i="41" s="1"/>
  <c r="K58" i="41"/>
  <c r="K68" i="41" s="1"/>
  <c r="K69" i="41" s="1"/>
  <c r="K82" i="41" s="1"/>
  <c r="K36" i="28"/>
  <c r="K37" i="28" s="1"/>
  <c r="K44" i="28" s="1"/>
  <c r="K44" i="39"/>
  <c r="K54" i="22"/>
  <c r="K55" i="22" s="1"/>
  <c r="K56" i="22" s="1"/>
  <c r="N55" i="22"/>
  <c r="N56" i="22" s="1"/>
  <c r="K45" i="17"/>
  <c r="K19" i="64"/>
  <c r="K55" i="20"/>
  <c r="K56" i="20" s="1"/>
  <c r="K36" i="83"/>
  <c r="K37" i="83" s="1"/>
  <c r="K44" i="83" s="1"/>
  <c r="N36" i="28"/>
  <c r="N37" i="28" s="1"/>
  <c r="N44" i="28" s="1"/>
  <c r="K45" i="85"/>
  <c r="K36" i="71"/>
  <c r="K37" i="71" s="1"/>
  <c r="K44" i="71" s="1"/>
  <c r="K36" i="34"/>
  <c r="K37" i="34" s="1"/>
  <c r="K44" i="34" s="1"/>
  <c r="N61" i="42"/>
  <c r="K61" i="42" s="1"/>
  <c r="N11" i="53"/>
  <c r="N12" i="53" s="1"/>
  <c r="N18" i="53" s="1"/>
  <c r="N80" i="17"/>
  <c r="N81" i="17" s="1"/>
  <c r="N80" i="104"/>
  <c r="N81" i="104" s="1"/>
  <c r="K70" i="104"/>
  <c r="K80" i="104" s="1"/>
  <c r="K81" i="104" s="1"/>
  <c r="K8" i="91"/>
  <c r="N55" i="47"/>
  <c r="N56" i="47" s="1"/>
  <c r="K54" i="47"/>
  <c r="K55" i="47" s="1"/>
  <c r="K56" i="47" s="1"/>
  <c r="K19" i="42"/>
  <c r="N35" i="61"/>
  <c r="K35" i="61" s="1"/>
  <c r="N10" i="61"/>
  <c r="K10" i="61" s="1"/>
  <c r="M5" i="61"/>
  <c r="N21" i="61"/>
  <c r="K21" i="61" s="1"/>
  <c r="K8" i="36"/>
  <c r="K8" i="56"/>
  <c r="N11" i="56"/>
  <c r="N12" i="56" s="1"/>
  <c r="N18" i="56" s="1"/>
  <c r="K58" i="18"/>
  <c r="K68" i="18" s="1"/>
  <c r="K69" i="18" s="1"/>
  <c r="K82" i="18" s="1"/>
  <c r="N68" i="18"/>
  <c r="N69" i="18" s="1"/>
  <c r="N82" i="18" s="1"/>
  <c r="N48" i="86"/>
  <c r="K45" i="106"/>
  <c r="L63" i="124"/>
  <c r="L63" i="127" s="1"/>
  <c r="K63" i="124"/>
  <c r="K63" i="127" s="1"/>
  <c r="J63" i="124"/>
  <c r="K45" i="79"/>
  <c r="N21" i="92"/>
  <c r="K21" i="92" s="1"/>
  <c r="M5" i="92"/>
  <c r="N10" i="92"/>
  <c r="K10" i="92" s="1"/>
  <c r="N35" i="92"/>
  <c r="K35" i="92" s="1"/>
  <c r="N58" i="91"/>
  <c r="K58" i="33"/>
  <c r="K68" i="33" s="1"/>
  <c r="K69" i="33" s="1"/>
  <c r="K82" i="33" s="1"/>
  <c r="N68" i="33"/>
  <c r="N69" i="33" s="1"/>
  <c r="N82" i="33" s="1"/>
  <c r="K8" i="21"/>
  <c r="K58" i="84"/>
  <c r="K68" i="84" s="1"/>
  <c r="K69" i="84" s="1"/>
  <c r="K82" i="84" s="1"/>
  <c r="N68" i="84"/>
  <c r="N69" i="84" s="1"/>
  <c r="N82" i="84" s="1"/>
  <c r="N55" i="88"/>
  <c r="N56" i="88" s="1"/>
  <c r="N48" i="73"/>
  <c r="K55" i="92"/>
  <c r="K56" i="92" s="1"/>
  <c r="N58" i="51"/>
  <c r="K19" i="89"/>
  <c r="K23" i="89" s="1"/>
  <c r="K24" i="89" s="1"/>
  <c r="K31" i="89" s="1"/>
  <c r="N23" i="89"/>
  <c r="N24" i="89" s="1"/>
  <c r="N31" i="89" s="1"/>
  <c r="K54" i="78"/>
  <c r="K55" i="78" s="1"/>
  <c r="K56" i="78" s="1"/>
  <c r="N55" i="78"/>
  <c r="N56" i="78" s="1"/>
  <c r="N61" i="74"/>
  <c r="K61" i="74" s="1"/>
  <c r="K70" i="91"/>
  <c r="K80" i="91" s="1"/>
  <c r="K81" i="91" s="1"/>
  <c r="N80" i="91"/>
  <c r="N81" i="91" s="1"/>
  <c r="K54" i="63"/>
  <c r="K55" i="63" s="1"/>
  <c r="K56" i="63" s="1"/>
  <c r="N55" i="63"/>
  <c r="N56" i="63" s="1"/>
  <c r="N67" i="94"/>
  <c r="K67" i="94" s="1"/>
  <c r="N11" i="97"/>
  <c r="N12" i="97" s="1"/>
  <c r="N18" i="97" s="1"/>
  <c r="K8" i="97"/>
  <c r="K11" i="97" s="1"/>
  <c r="K12" i="97" s="1"/>
  <c r="K18" i="97" s="1"/>
  <c r="N80" i="85"/>
  <c r="N81" i="85" s="1"/>
  <c r="K70" i="85"/>
  <c r="K80" i="85" s="1"/>
  <c r="K81" i="85" s="1"/>
  <c r="K36" i="45"/>
  <c r="K37" i="45" s="1"/>
  <c r="K44" i="45" s="1"/>
  <c r="N48" i="37"/>
  <c r="K8" i="62"/>
  <c r="K44" i="53"/>
  <c r="N48" i="87"/>
  <c r="K31" i="100"/>
  <c r="K32" i="92"/>
  <c r="N58" i="44"/>
  <c r="N61" i="56"/>
  <c r="K61" i="56" s="1"/>
  <c r="N36" i="69"/>
  <c r="N37" i="69" s="1"/>
  <c r="N44" i="69" s="1"/>
  <c r="N55" i="16"/>
  <c r="N56" i="16" s="1"/>
  <c r="N21" i="19"/>
  <c r="K21" i="19" s="1"/>
  <c r="N35" i="19"/>
  <c r="K35" i="19" s="1"/>
  <c r="M5" i="19"/>
  <c r="N10" i="19"/>
  <c r="K10" i="19" s="1"/>
  <c r="N31" i="110"/>
  <c r="K70" i="69"/>
  <c r="K80" i="69" s="1"/>
  <c r="K81" i="69" s="1"/>
  <c r="N80" i="69"/>
  <c r="N81" i="69" s="1"/>
  <c r="K54" i="29"/>
  <c r="K55" i="29" s="1"/>
  <c r="K56" i="29" s="1"/>
  <c r="N55" i="29"/>
  <c r="N56" i="29" s="1"/>
  <c r="K32" i="99"/>
  <c r="N18" i="107"/>
  <c r="K19" i="94"/>
  <c r="N35" i="62"/>
  <c r="K35" i="62" s="1"/>
  <c r="N21" i="62"/>
  <c r="K21" i="62" s="1"/>
  <c r="N10" i="62"/>
  <c r="K10" i="62" s="1"/>
  <c r="M5" i="62"/>
  <c r="K23" i="76"/>
  <c r="K24" i="76" s="1"/>
  <c r="K31" i="76" s="1"/>
  <c r="O3" i="95"/>
  <c r="O5" i="95" s="1"/>
  <c r="K11" i="20"/>
  <c r="K12" i="20" s="1"/>
  <c r="K18" i="20" s="1"/>
  <c r="N11" i="111"/>
  <c r="N12" i="111" s="1"/>
  <c r="N18" i="111" s="1"/>
  <c r="K8" i="111"/>
  <c r="K11" i="111" s="1"/>
  <c r="K12" i="111" s="1"/>
  <c r="K18" i="111" s="1"/>
  <c r="N18" i="88"/>
  <c r="K11" i="73"/>
  <c r="K12" i="73" s="1"/>
  <c r="K18" i="73" s="1"/>
  <c r="O3" i="47"/>
  <c r="O5" i="47" s="1"/>
  <c r="N58" i="22"/>
  <c r="N10" i="103"/>
  <c r="K10" i="103" s="1"/>
  <c r="M5" i="103"/>
  <c r="N21" i="103"/>
  <c r="K21" i="103" s="1"/>
  <c r="N35" i="103"/>
  <c r="K35" i="103" s="1"/>
  <c r="K8" i="72"/>
  <c r="K11" i="72" s="1"/>
  <c r="K12" i="72" s="1"/>
  <c r="K18" i="72" s="1"/>
  <c r="N11" i="72"/>
  <c r="N12" i="72" s="1"/>
  <c r="N18" i="72" s="1"/>
  <c r="K58" i="31"/>
  <c r="K68" i="31" s="1"/>
  <c r="K69" i="31" s="1"/>
  <c r="N68" i="31"/>
  <c r="N69" i="31" s="1"/>
  <c r="N55" i="23"/>
  <c r="N56" i="23" s="1"/>
  <c r="K49" i="75"/>
  <c r="K50" i="75" s="1"/>
  <c r="K57" i="75" s="1"/>
  <c r="K8" i="104"/>
  <c r="N23" i="32"/>
  <c r="N24" i="32" s="1"/>
  <c r="N31" i="32" s="1"/>
  <c r="N11" i="71"/>
  <c r="N12" i="71" s="1"/>
  <c r="N18" i="71" s="1"/>
  <c r="K57" i="25"/>
  <c r="N55" i="61"/>
  <c r="N56" i="61" s="1"/>
  <c r="N55" i="34"/>
  <c r="N56" i="34" s="1"/>
  <c r="K54" i="71"/>
  <c r="K55" i="71" s="1"/>
  <c r="K56" i="71" s="1"/>
  <c r="N55" i="71"/>
  <c r="N56" i="71" s="1"/>
  <c r="N58" i="38"/>
  <c r="N23" i="19"/>
  <c r="N24" i="19" s="1"/>
  <c r="N31" i="19" s="1"/>
  <c r="K19" i="19"/>
  <c r="N55" i="21"/>
  <c r="N56" i="21" s="1"/>
  <c r="N61" i="91"/>
  <c r="K61" i="91" s="1"/>
  <c r="N23" i="87"/>
  <c r="N24" i="87" s="1"/>
  <c r="N31" i="87" s="1"/>
  <c r="N36" i="86"/>
  <c r="N37" i="86" s="1"/>
  <c r="N44" i="86" s="1"/>
  <c r="N36" i="31"/>
  <c r="N37" i="31" s="1"/>
  <c r="N44" i="31" s="1"/>
  <c r="N35" i="74"/>
  <c r="K35" i="74" s="1"/>
  <c r="M5" i="74"/>
  <c r="N21" i="74"/>
  <c r="K21" i="74" s="1"/>
  <c r="N10" i="74"/>
  <c r="K10" i="74" s="1"/>
  <c r="K58" i="93"/>
  <c r="K68" i="93" s="1"/>
  <c r="K69" i="93" s="1"/>
  <c r="K82" i="93" s="1"/>
  <c r="N68" i="93"/>
  <c r="N69" i="93" s="1"/>
  <c r="N82" i="93" s="1"/>
  <c r="N58" i="30"/>
  <c r="N58" i="35"/>
  <c r="K36" i="23"/>
  <c r="K37" i="23" s="1"/>
  <c r="K44" i="23" s="1"/>
  <c r="K105" i="118"/>
  <c r="N105" i="118" s="1"/>
  <c r="N23" i="27"/>
  <c r="N24" i="27" s="1"/>
  <c r="N31" i="27" s="1"/>
  <c r="K33" i="118"/>
  <c r="N33" i="118" s="1"/>
  <c r="K23" i="81"/>
  <c r="K24" i="81" s="1"/>
  <c r="K31" i="81" s="1"/>
  <c r="O3" i="103"/>
  <c r="O5" i="103" s="1"/>
  <c r="K45" i="49"/>
  <c r="K32" i="52"/>
  <c r="K45" i="16"/>
  <c r="N55" i="38"/>
  <c r="N56" i="38" s="1"/>
  <c r="K45" i="68"/>
  <c r="N41" i="124"/>
  <c r="N64" i="124"/>
  <c r="K19" i="17"/>
  <c r="K45" i="64"/>
  <c r="K54" i="45"/>
  <c r="K55" i="45" s="1"/>
  <c r="K56" i="45" s="1"/>
  <c r="N55" i="45"/>
  <c r="N56" i="45" s="1"/>
  <c r="N36" i="83"/>
  <c r="N37" i="83" s="1"/>
  <c r="N44" i="83" s="1"/>
  <c r="K55" i="49"/>
  <c r="K56" i="49" s="1"/>
  <c r="N68" i="58"/>
  <c r="N69" i="58" s="1"/>
  <c r="K58" i="58"/>
  <c r="K68" i="58" s="1"/>
  <c r="K69" i="58" s="1"/>
  <c r="K82" i="58" s="1"/>
  <c r="L87" i="124"/>
  <c r="L87" i="127" s="1"/>
  <c r="K87" i="124"/>
  <c r="K87" i="127" s="1"/>
  <c r="J87" i="124"/>
  <c r="J87" i="127" s="1"/>
  <c r="K36" i="98"/>
  <c r="K37" i="98" s="1"/>
  <c r="K44" i="98" s="1"/>
  <c r="N36" i="71"/>
  <c r="N37" i="71" s="1"/>
  <c r="N44" i="71" s="1"/>
  <c r="N35" i="21"/>
  <c r="K35" i="21" s="1"/>
  <c r="M5" i="21"/>
  <c r="N21" i="21"/>
  <c r="K21" i="21" s="1"/>
  <c r="N10" i="21"/>
  <c r="K10" i="21" s="1"/>
  <c r="N36" i="37"/>
  <c r="N37" i="37" s="1"/>
  <c r="N44" i="37" s="1"/>
  <c r="K80" i="17"/>
  <c r="K81" i="17" s="1"/>
  <c r="N68" i="54"/>
  <c r="N69" i="54" s="1"/>
  <c r="N82" i="54" s="1"/>
  <c r="K58" i="54"/>
  <c r="K68" i="54" s="1"/>
  <c r="K69" i="54" s="1"/>
  <c r="K82" i="54" s="1"/>
  <c r="K48" i="41"/>
  <c r="K49" i="41" s="1"/>
  <c r="K50" i="41" s="1"/>
  <c r="K57" i="41" s="1"/>
  <c r="N49" i="41"/>
  <c r="N50" i="41" s="1"/>
  <c r="N57" i="41" s="1"/>
  <c r="K11" i="32"/>
  <c r="K12" i="32" s="1"/>
  <c r="K18" i="32" s="1"/>
  <c r="N21" i="38"/>
  <c r="K21" i="38" s="1"/>
  <c r="N35" i="38"/>
  <c r="K35" i="38" s="1"/>
  <c r="M5" i="38"/>
  <c r="N10" i="38"/>
  <c r="K10" i="38" s="1"/>
  <c r="N21" i="35"/>
  <c r="K21" i="35" s="1"/>
  <c r="M5" i="35"/>
  <c r="N10" i="35"/>
  <c r="K10" i="35" s="1"/>
  <c r="N35" i="35"/>
  <c r="K35" i="35" s="1"/>
  <c r="K45" i="111"/>
  <c r="K8" i="19"/>
  <c r="K19" i="59"/>
  <c r="K11" i="37"/>
  <c r="K12" i="37" s="1"/>
  <c r="K18" i="37" s="1"/>
  <c r="K58" i="52"/>
  <c r="K8" i="85"/>
  <c r="N122" i="124"/>
  <c r="K70" i="111"/>
  <c r="K80" i="111" s="1"/>
  <c r="K81" i="111" s="1"/>
  <c r="N80" i="111"/>
  <c r="N81" i="111" s="1"/>
  <c r="K36" i="76"/>
  <c r="K37" i="76" s="1"/>
  <c r="K44" i="76" s="1"/>
  <c r="N61" i="67"/>
  <c r="K61" i="67" s="1"/>
  <c r="K19" i="91"/>
  <c r="N61" i="43"/>
  <c r="K61" i="43" s="1"/>
  <c r="K19" i="21"/>
  <c r="N23" i="21"/>
  <c r="N24" i="21" s="1"/>
  <c r="N31" i="21" s="1"/>
  <c r="K11" i="84"/>
  <c r="K12" i="84" s="1"/>
  <c r="K18" i="84" s="1"/>
  <c r="O3" i="51"/>
  <c r="O5" i="51" s="1"/>
  <c r="K8" i="89"/>
  <c r="K70" i="61"/>
  <c r="K80" i="61" s="1"/>
  <c r="K81" i="61" s="1"/>
  <c r="N80" i="61"/>
  <c r="N81" i="61" s="1"/>
  <c r="N68" i="105"/>
  <c r="N69" i="105" s="1"/>
  <c r="K58" i="105"/>
  <c r="K68" i="105" s="1"/>
  <c r="K69" i="105" s="1"/>
  <c r="K11" i="100"/>
  <c r="K12" i="100" s="1"/>
  <c r="K18" i="100" s="1"/>
  <c r="K70" i="53"/>
  <c r="K80" i="53" s="1"/>
  <c r="K81" i="53" s="1"/>
  <c r="N80" i="53"/>
  <c r="N81" i="53" s="1"/>
  <c r="N61" i="59"/>
  <c r="K61" i="59" s="1"/>
  <c r="N68" i="60"/>
  <c r="N69" i="60" s="1"/>
  <c r="N82" i="60" s="1"/>
  <c r="K58" i="60"/>
  <c r="K68" i="60" s="1"/>
  <c r="K69" i="60" s="1"/>
  <c r="K82" i="60" s="1"/>
  <c r="K54" i="56"/>
  <c r="K55" i="56" s="1"/>
  <c r="K56" i="56" s="1"/>
  <c r="N55" i="56"/>
  <c r="N56" i="56" s="1"/>
  <c r="N44" i="53"/>
  <c r="N21" i="104"/>
  <c r="K21" i="104" s="1"/>
  <c r="N10" i="104"/>
  <c r="K10" i="104" s="1"/>
  <c r="M5" i="104"/>
  <c r="N35" i="104"/>
  <c r="K35" i="104" s="1"/>
  <c r="N61" i="101"/>
  <c r="K61" i="101" s="1"/>
  <c r="K36" i="69"/>
  <c r="K37" i="69" s="1"/>
  <c r="K44" i="69" s="1"/>
  <c r="N36" i="96"/>
  <c r="N37" i="96" s="1"/>
  <c r="N44" i="96" s="1"/>
  <c r="K32" i="96"/>
  <c r="K36" i="96" s="1"/>
  <c r="K37" i="96" s="1"/>
  <c r="K44" i="96" s="1"/>
  <c r="N67" i="17"/>
  <c r="K67" i="17" s="1"/>
  <c r="N31" i="63"/>
  <c r="K54" i="26"/>
  <c r="K55" i="26" s="1"/>
  <c r="K56" i="26" s="1"/>
  <c r="N55" i="26"/>
  <c r="N56" i="26" s="1"/>
  <c r="N21" i="59"/>
  <c r="K21" i="59" s="1"/>
  <c r="N10" i="59"/>
  <c r="K10" i="59" s="1"/>
  <c r="M5" i="59"/>
  <c r="N35" i="59"/>
  <c r="K35" i="59" s="1"/>
  <c r="K55" i="16"/>
  <c r="K56" i="16" s="1"/>
  <c r="K31" i="110"/>
  <c r="K18" i="107"/>
  <c r="N58" i="61"/>
  <c r="K54" i="40"/>
  <c r="K55" i="40" s="1"/>
  <c r="K56" i="40" s="1"/>
  <c r="N55" i="40"/>
  <c r="N56" i="40" s="1"/>
  <c r="N58" i="65"/>
  <c r="N58" i="26"/>
  <c r="N48" i="28"/>
  <c r="K45" i="95"/>
  <c r="N48" i="48"/>
  <c r="K58" i="77"/>
  <c r="K68" i="77" s="1"/>
  <c r="K69" i="77" s="1"/>
  <c r="N68" i="77"/>
  <c r="N69" i="77" s="1"/>
  <c r="N82" i="77" s="1"/>
  <c r="O3" i="111"/>
  <c r="O5" i="111" s="1"/>
  <c r="N58" i="24"/>
  <c r="N35" i="49"/>
  <c r="K35" i="49" s="1"/>
  <c r="M5" i="49"/>
  <c r="N10" i="49"/>
  <c r="K10" i="49" s="1"/>
  <c r="N21" i="49"/>
  <c r="K21" i="49" s="1"/>
  <c r="K18" i="88"/>
  <c r="K32" i="47"/>
  <c r="K36" i="47" s="1"/>
  <c r="K37" i="47" s="1"/>
  <c r="K44" i="47" s="1"/>
  <c r="N36" i="47"/>
  <c r="N37" i="47" s="1"/>
  <c r="N44" i="47" s="1"/>
  <c r="K45" i="72"/>
  <c r="N11" i="31"/>
  <c r="N12" i="31" s="1"/>
  <c r="N18" i="31" s="1"/>
  <c r="N49" i="75"/>
  <c r="N50" i="75" s="1"/>
  <c r="N57" i="75" s="1"/>
  <c r="N11" i="76"/>
  <c r="N12" i="76" s="1"/>
  <c r="N18" i="76" s="1"/>
  <c r="K23" i="32"/>
  <c r="K24" i="32" s="1"/>
  <c r="K31" i="32" s="1"/>
  <c r="K58" i="71"/>
  <c r="K68" i="71" s="1"/>
  <c r="K69" i="71" s="1"/>
  <c r="K82" i="71" s="1"/>
  <c r="N68" i="71"/>
  <c r="N69" i="71" s="1"/>
  <c r="N82" i="71" s="1"/>
  <c r="K55" i="34"/>
  <c r="K56" i="34" s="1"/>
  <c r="N36" i="38"/>
  <c r="N37" i="38" s="1"/>
  <c r="N44" i="38" s="1"/>
  <c r="K32" i="38"/>
  <c r="K58" i="43"/>
  <c r="N61" i="57"/>
  <c r="K61" i="57" s="1"/>
  <c r="K55" i="21"/>
  <c r="K56" i="21" s="1"/>
  <c r="K23" i="87"/>
  <c r="K24" i="87" s="1"/>
  <c r="K31" i="87" s="1"/>
  <c r="K36" i="86"/>
  <c r="K37" i="86" s="1"/>
  <c r="K44" i="86" s="1"/>
  <c r="K45" i="59"/>
  <c r="K58" i="70"/>
  <c r="K68" i="70" s="1"/>
  <c r="K69" i="70" s="1"/>
  <c r="K82" i="70" s="1"/>
  <c r="N68" i="70"/>
  <c r="N69" i="70" s="1"/>
  <c r="N82" i="70" s="1"/>
  <c r="K36" i="31"/>
  <c r="K37" i="31" s="1"/>
  <c r="K44" i="31" s="1"/>
  <c r="N58" i="101"/>
  <c r="K45" i="30"/>
  <c r="N55" i="96"/>
  <c r="N56" i="96" s="1"/>
  <c r="K32" i="35"/>
  <c r="K45" i="36"/>
  <c r="N36" i="23"/>
  <c r="N37" i="23" s="1"/>
  <c r="N44" i="23" s="1"/>
  <c r="K19" i="74"/>
  <c r="O3" i="56"/>
  <c r="O5" i="56" s="1"/>
  <c r="K23" i="27"/>
  <c r="K24" i="27" s="1"/>
  <c r="K31" i="27" s="1"/>
  <c r="N11" i="82"/>
  <c r="N12" i="82" s="1"/>
  <c r="N18" i="82" s="1"/>
  <c r="K11" i="81"/>
  <c r="K12" i="81" s="1"/>
  <c r="K18" i="81" s="1"/>
  <c r="K45" i="103"/>
  <c r="K8" i="49"/>
  <c r="O3" i="16"/>
  <c r="O5" i="16" s="1"/>
  <c r="N55" i="17"/>
  <c r="N56" i="17" s="1"/>
  <c r="N48" i="93"/>
  <c r="N35" i="106"/>
  <c r="K35" i="106" s="1"/>
  <c r="M5" i="106"/>
  <c r="N21" i="106"/>
  <c r="K21" i="106" s="1"/>
  <c r="N10" i="106"/>
  <c r="K10" i="106" s="1"/>
  <c r="N18" i="77"/>
  <c r="N55" i="85"/>
  <c r="N56" i="85" s="1"/>
  <c r="N23" i="84"/>
  <c r="N24" i="84" s="1"/>
  <c r="N31" i="84" s="1"/>
  <c r="K55" i="103"/>
  <c r="K56" i="103" s="1"/>
  <c r="K55" i="27"/>
  <c r="K56" i="27" s="1"/>
  <c r="N10" i="36"/>
  <c r="K10" i="36" s="1"/>
  <c r="N21" i="36"/>
  <c r="K21" i="36" s="1"/>
  <c r="N35" i="36"/>
  <c r="K35" i="36" s="1"/>
  <c r="M5" i="36"/>
  <c r="K11" i="58"/>
  <c r="K12" i="58" s="1"/>
  <c r="K18" i="58" s="1"/>
  <c r="N35" i="52"/>
  <c r="K35" i="52" s="1"/>
  <c r="N10" i="52"/>
  <c r="K10" i="52" s="1"/>
  <c r="M5" i="52"/>
  <c r="N21" i="52"/>
  <c r="K21" i="52" s="1"/>
  <c r="K36" i="80"/>
  <c r="K37" i="80" s="1"/>
  <c r="K44" i="80" s="1"/>
  <c r="N58" i="85"/>
  <c r="N36" i="98"/>
  <c r="N37" i="98" s="1"/>
  <c r="N44" i="98" s="1"/>
  <c r="K36" i="37"/>
  <c r="K37" i="37" s="1"/>
  <c r="K44" i="37" s="1"/>
  <c r="N68" i="81"/>
  <c r="N69" i="81" s="1"/>
  <c r="N82" i="81" s="1"/>
  <c r="N68" i="45"/>
  <c r="N69" i="45" s="1"/>
  <c r="N82" i="45" s="1"/>
  <c r="K58" i="40"/>
  <c r="K68" i="40" s="1"/>
  <c r="K69" i="40" s="1"/>
  <c r="K82" i="40" s="1"/>
  <c r="N68" i="40"/>
  <c r="N69" i="40" s="1"/>
  <c r="N82" i="40" s="1"/>
  <c r="K70" i="46"/>
  <c r="K80" i="46" s="1"/>
  <c r="K81" i="46" s="1"/>
  <c r="N80" i="46"/>
  <c r="N81" i="46" s="1"/>
  <c r="K19" i="96"/>
  <c r="N36" i="87"/>
  <c r="N37" i="87" s="1"/>
  <c r="N44" i="87" s="1"/>
  <c r="N21" i="91"/>
  <c r="K21" i="91" s="1"/>
  <c r="N35" i="91"/>
  <c r="K35" i="91" s="1"/>
  <c r="M5" i="91"/>
  <c r="N10" i="91"/>
  <c r="K10" i="91" s="1"/>
  <c r="N68" i="50"/>
  <c r="N69" i="50" s="1"/>
  <c r="N82" i="50" s="1"/>
  <c r="N35" i="67"/>
  <c r="K35" i="67" s="1"/>
  <c r="M5" i="67"/>
  <c r="N10" i="67"/>
  <c r="K10" i="67" s="1"/>
  <c r="N21" i="67"/>
  <c r="K21" i="67" s="1"/>
  <c r="K45" i="91"/>
  <c r="N44" i="27"/>
  <c r="K11" i="45"/>
  <c r="K12" i="45" s="1"/>
  <c r="K18" i="45" s="1"/>
  <c r="K23" i="73"/>
  <c r="K24" i="73" s="1"/>
  <c r="K31" i="73" s="1"/>
  <c r="N68" i="90"/>
  <c r="N69" i="90" s="1"/>
  <c r="N82" i="90" s="1"/>
  <c r="K58" i="90"/>
  <c r="K68" i="90" s="1"/>
  <c r="K69" i="90" s="1"/>
  <c r="K82" i="90" s="1"/>
  <c r="K70" i="20"/>
  <c r="K80" i="20" s="1"/>
  <c r="K81" i="20" s="1"/>
  <c r="N80" i="20"/>
  <c r="N81" i="20" s="1"/>
  <c r="N48" i="29"/>
  <c r="N23" i="82"/>
  <c r="N24" i="82" s="1"/>
  <c r="N31" i="82" s="1"/>
  <c r="K55" i="44"/>
  <c r="K56" i="44" s="1"/>
  <c r="K102" i="118"/>
  <c r="N102" i="118" s="1"/>
  <c r="N23" i="79"/>
  <c r="N24" i="79" s="1"/>
  <c r="N31" i="79" s="1"/>
  <c r="K19" i="79"/>
  <c r="K23" i="79" s="1"/>
  <c r="K24" i="79" s="1"/>
  <c r="K31" i="79" s="1"/>
  <c r="K44" i="27"/>
  <c r="N11" i="50"/>
  <c r="N12" i="50" s="1"/>
  <c r="N18" i="50" s="1"/>
  <c r="O3" i="91"/>
  <c r="O5" i="91" s="1"/>
  <c r="N31" i="77"/>
  <c r="K11" i="33"/>
  <c r="K12" i="33" s="1"/>
  <c r="K18" i="33" s="1"/>
  <c r="K70" i="105"/>
  <c r="K80" i="105" s="1"/>
  <c r="K81" i="105" s="1"/>
  <c r="N80" i="105"/>
  <c r="N81" i="105" s="1"/>
  <c r="N35" i="94"/>
  <c r="K35" i="94" s="1"/>
  <c r="N10" i="94"/>
  <c r="K10" i="94" s="1"/>
  <c r="N21" i="94"/>
  <c r="K21" i="94" s="1"/>
  <c r="M5" i="94"/>
  <c r="N48" i="32"/>
  <c r="K55" i="111"/>
  <c r="K56" i="111" s="1"/>
  <c r="K45" i="51"/>
  <c r="N18" i="124"/>
  <c r="N48" i="50"/>
  <c r="N35" i="42"/>
  <c r="K35" i="42" s="1"/>
  <c r="M5" i="42"/>
  <c r="N21" i="42"/>
  <c r="K21" i="42" s="1"/>
  <c r="N10" i="42"/>
  <c r="K10" i="42" s="1"/>
  <c r="N10" i="57"/>
  <c r="K10" i="57" s="1"/>
  <c r="N35" i="57"/>
  <c r="K35" i="57" s="1"/>
  <c r="M5" i="57"/>
  <c r="N21" i="57"/>
  <c r="K21" i="57" s="1"/>
  <c r="K70" i="76"/>
  <c r="K80" i="76" s="1"/>
  <c r="K81" i="76" s="1"/>
  <c r="N80" i="76"/>
  <c r="N81" i="76" s="1"/>
  <c r="K106" i="118"/>
  <c r="N106" i="118" s="1"/>
  <c r="K32" i="97"/>
  <c r="N61" i="108"/>
  <c r="K61" i="108" s="1"/>
  <c r="K11" i="60"/>
  <c r="K12" i="60" s="1"/>
  <c r="K18" i="60" s="1"/>
  <c r="K19" i="62"/>
  <c r="K58" i="55"/>
  <c r="K68" i="55" s="1"/>
  <c r="K69" i="55" s="1"/>
  <c r="K82" i="55" s="1"/>
  <c r="N68" i="55"/>
  <c r="N69" i="55" s="1"/>
  <c r="N82" i="55" s="1"/>
  <c r="N11" i="32"/>
  <c r="N12" i="32" s="1"/>
  <c r="N18" i="32" s="1"/>
  <c r="N58" i="92"/>
  <c r="K19" i="44"/>
  <c r="K23" i="44" s="1"/>
  <c r="K24" i="44" s="1"/>
  <c r="K31" i="44" s="1"/>
  <c r="N23" i="44"/>
  <c r="N24" i="44" s="1"/>
  <c r="N31" i="44" s="1"/>
  <c r="N48" i="80"/>
  <c r="K57" i="118"/>
  <c r="N57" i="118" s="1"/>
  <c r="N61" i="44"/>
  <c r="K61" i="44" s="1"/>
  <c r="N21" i="43"/>
  <c r="K21" i="43" s="1"/>
  <c r="M5" i="43"/>
  <c r="N35" i="43"/>
  <c r="K35" i="43" s="1"/>
  <c r="N10" i="43"/>
  <c r="K10" i="43" s="1"/>
  <c r="N61" i="38"/>
  <c r="K61" i="38" s="1"/>
  <c r="N58" i="99"/>
  <c r="N55" i="77"/>
  <c r="N56" i="77" s="1"/>
  <c r="N68" i="87"/>
  <c r="N69" i="87" s="1"/>
  <c r="N82" i="87" s="1"/>
  <c r="K58" i="87"/>
  <c r="K68" i="87" s="1"/>
  <c r="K69" i="87" s="1"/>
  <c r="K82" i="87" s="1"/>
  <c r="N58" i="94"/>
  <c r="O3" i="61"/>
  <c r="O5" i="61" s="1"/>
  <c r="M5" i="85"/>
  <c r="N35" i="85"/>
  <c r="K35" i="85" s="1"/>
  <c r="N21" i="85"/>
  <c r="K21" i="85" s="1"/>
  <c r="N10" i="85"/>
  <c r="K10" i="85" s="1"/>
  <c r="K54" i="94"/>
  <c r="K55" i="94" s="1"/>
  <c r="K56" i="94" s="1"/>
  <c r="N55" i="94"/>
  <c r="N56" i="94" s="1"/>
  <c r="O3" i="65"/>
  <c r="O5" i="65" s="1"/>
  <c r="N36" i="105"/>
  <c r="N37" i="105" s="1"/>
  <c r="N44" i="105" s="1"/>
  <c r="N58" i="42"/>
  <c r="K54" i="60"/>
  <c r="K55" i="60" s="1"/>
  <c r="K56" i="60" s="1"/>
  <c r="N55" i="60"/>
  <c r="N56" i="60" s="1"/>
  <c r="N23" i="71"/>
  <c r="N24" i="71" s="1"/>
  <c r="N31" i="71" s="1"/>
  <c r="K32" i="57"/>
  <c r="K45" i="26"/>
  <c r="N36" i="18"/>
  <c r="N37" i="18" s="1"/>
  <c r="N44" i="18" s="1"/>
  <c r="K8" i="95"/>
  <c r="N55" i="84"/>
  <c r="N56" i="84" s="1"/>
  <c r="N48" i="54"/>
  <c r="K32" i="111"/>
  <c r="K36" i="111" s="1"/>
  <c r="K37" i="111" s="1"/>
  <c r="K44" i="111" s="1"/>
  <c r="N36" i="111"/>
  <c r="N37" i="111" s="1"/>
  <c r="N44" i="111" s="1"/>
  <c r="K19" i="24"/>
  <c r="N48" i="79"/>
  <c r="K48" i="79" s="1"/>
  <c r="N23" i="45"/>
  <c r="N24" i="45" s="1"/>
  <c r="N31" i="45" s="1"/>
  <c r="K32" i="22"/>
  <c r="K36" i="22" s="1"/>
  <c r="K37" i="22" s="1"/>
  <c r="K44" i="22" s="1"/>
  <c r="N36" i="22"/>
  <c r="N37" i="22" s="1"/>
  <c r="N44" i="22" s="1"/>
  <c r="K104" i="118"/>
  <c r="N104" i="118" s="1"/>
  <c r="K55" i="19"/>
  <c r="K56" i="19" s="1"/>
  <c r="K36" i="70"/>
  <c r="K37" i="70" s="1"/>
  <c r="K44" i="70" s="1"/>
  <c r="N58" i="104"/>
  <c r="K11" i="76"/>
  <c r="K12" i="76" s="1"/>
  <c r="K18" i="76" s="1"/>
  <c r="N67" i="19"/>
  <c r="K67" i="19" s="1"/>
  <c r="M5" i="17"/>
  <c r="N10" i="17"/>
  <c r="K10" i="17" s="1"/>
  <c r="N35" i="17"/>
  <c r="K35" i="17" s="1"/>
  <c r="N21" i="17"/>
  <c r="K21" i="17" s="1"/>
  <c r="N36" i="46"/>
  <c r="N37" i="46" s="1"/>
  <c r="N44" i="46" s="1"/>
  <c r="N67" i="106"/>
  <c r="K67" i="106" s="1"/>
  <c r="N61" i="89"/>
  <c r="K61" i="89" s="1"/>
  <c r="N23" i="93"/>
  <c r="N24" i="93" s="1"/>
  <c r="N31" i="93" s="1"/>
  <c r="N48" i="101"/>
  <c r="K48" i="101" s="1"/>
  <c r="K49" i="101" s="1"/>
  <c r="K50" i="101" s="1"/>
  <c r="K45" i="38"/>
  <c r="K45" i="43"/>
  <c r="N48" i="63"/>
  <c r="N58" i="19"/>
  <c r="K11" i="57"/>
  <c r="K12" i="57" s="1"/>
  <c r="K18" i="57" s="1"/>
  <c r="M5" i="64"/>
  <c r="N35" i="64"/>
  <c r="K35" i="64" s="1"/>
  <c r="N21" i="64"/>
  <c r="K21" i="64" s="1"/>
  <c r="N10" i="64"/>
  <c r="K10" i="64" s="1"/>
  <c r="K11" i="110"/>
  <c r="K12" i="110" s="1"/>
  <c r="K18" i="110" s="1"/>
  <c r="N11" i="83"/>
  <c r="N12" i="83" s="1"/>
  <c r="N18" i="83" s="1"/>
  <c r="N61" i="95"/>
  <c r="K61" i="95" s="1"/>
  <c r="N61" i="16"/>
  <c r="K61" i="16" s="1"/>
  <c r="K23" i="26"/>
  <c r="K24" i="26" s="1"/>
  <c r="K31" i="26" s="1"/>
  <c r="K11" i="93"/>
  <c r="K12" i="93" s="1"/>
  <c r="K18" i="93" s="1"/>
  <c r="K32" i="30"/>
  <c r="K55" i="96"/>
  <c r="K56" i="96" s="1"/>
  <c r="K19" i="35"/>
  <c r="K32" i="36"/>
  <c r="N36" i="36"/>
  <c r="N37" i="36" s="1"/>
  <c r="N44" i="36" s="1"/>
  <c r="N23" i="34"/>
  <c r="N24" i="34" s="1"/>
  <c r="N31" i="34" s="1"/>
  <c r="N11" i="74"/>
  <c r="N12" i="74" s="1"/>
  <c r="N18" i="74" s="1"/>
  <c r="K8" i="74"/>
  <c r="K11" i="74" s="1"/>
  <c r="K12" i="74" s="1"/>
  <c r="K18" i="74" s="1"/>
  <c r="N58" i="56"/>
  <c r="N11" i="37"/>
  <c r="N12" i="37" s="1"/>
  <c r="N18" i="37" s="1"/>
  <c r="K56" i="118"/>
  <c r="N56" i="118" s="1"/>
  <c r="N36" i="77"/>
  <c r="N37" i="77" s="1"/>
  <c r="N44" i="77" s="1"/>
  <c r="N31" i="39"/>
  <c r="J88" i="124"/>
  <c r="L88" i="124"/>
  <c r="L88" i="127" s="1"/>
  <c r="K88" i="124"/>
  <c r="K88" i="127" s="1"/>
  <c r="N80" i="16"/>
  <c r="N81" i="16" s="1"/>
  <c r="K8" i="16"/>
  <c r="N55" i="72"/>
  <c r="N56" i="72" s="1"/>
  <c r="N58" i="68"/>
  <c r="K55" i="17"/>
  <c r="K56" i="17" s="1"/>
  <c r="K89" i="118"/>
  <c r="K23" i="98"/>
  <c r="K24" i="98" s="1"/>
  <c r="K31" i="98" s="1"/>
  <c r="N11" i="34"/>
  <c r="N12" i="34" s="1"/>
  <c r="N18" i="34" s="1"/>
  <c r="K11" i="77"/>
  <c r="K12" i="77" s="1"/>
  <c r="K18" i="77" s="1"/>
  <c r="K55" i="85"/>
  <c r="K56" i="85" s="1"/>
  <c r="K32" i="17"/>
  <c r="O3" i="64"/>
  <c r="O5" i="64" s="1"/>
  <c r="K23" i="84"/>
  <c r="K24" i="84" s="1"/>
  <c r="K31" i="84" s="1"/>
  <c r="N55" i="69"/>
  <c r="N56" i="69" s="1"/>
  <c r="K54" i="109"/>
  <c r="K55" i="109" s="1"/>
  <c r="K56" i="109" s="1"/>
  <c r="N55" i="109"/>
  <c r="N56" i="109" s="1"/>
  <c r="N55" i="27"/>
  <c r="N56" i="27" s="1"/>
  <c r="N11" i="58"/>
  <c r="N12" i="58" s="1"/>
  <c r="N18" i="58" s="1"/>
  <c r="N36" i="80"/>
  <c r="N37" i="80" s="1"/>
  <c r="N44" i="80" s="1"/>
  <c r="O3" i="85"/>
  <c r="O5" i="85" s="1"/>
  <c r="N67" i="30"/>
  <c r="K67" i="30" s="1"/>
  <c r="K58" i="69"/>
  <c r="K68" i="69" s="1"/>
  <c r="K69" i="69" s="1"/>
  <c r="N68" i="69"/>
  <c r="N69" i="69" s="1"/>
  <c r="K68" i="81"/>
  <c r="K69" i="81" s="1"/>
  <c r="K82" i="81" s="1"/>
  <c r="K68" i="45"/>
  <c r="K69" i="45" s="1"/>
  <c r="K82" i="45" s="1"/>
  <c r="N36" i="51" l="1"/>
  <c r="N37" i="51" s="1"/>
  <c r="N44" i="51" s="1"/>
  <c r="N23" i="74"/>
  <c r="N24" i="74" s="1"/>
  <c r="N31" i="74" s="1"/>
  <c r="N68" i="43"/>
  <c r="N69" i="43" s="1"/>
  <c r="N82" i="43" s="1"/>
  <c r="K36" i="92"/>
  <c r="K37" i="92" s="1"/>
  <c r="K44" i="92" s="1"/>
  <c r="K23" i="97"/>
  <c r="K24" i="97" s="1"/>
  <c r="K31" i="97" s="1"/>
  <c r="N68" i="62"/>
  <c r="N69" i="62" s="1"/>
  <c r="N82" i="62" s="1"/>
  <c r="N23" i="62"/>
  <c r="N24" i="62" s="1"/>
  <c r="N31" i="62" s="1"/>
  <c r="K23" i="57"/>
  <c r="K24" i="57" s="1"/>
  <c r="K31" i="57" s="1"/>
  <c r="K23" i="74"/>
  <c r="K24" i="74" s="1"/>
  <c r="K31" i="74" s="1"/>
  <c r="N11" i="89"/>
  <c r="N12" i="89" s="1"/>
  <c r="N18" i="89" s="1"/>
  <c r="N23" i="97"/>
  <c r="N24" i="97" s="1"/>
  <c r="N31" i="97" s="1"/>
  <c r="K68" i="62"/>
  <c r="K69" i="62" s="1"/>
  <c r="K82" i="62" s="1"/>
  <c r="N68" i="79"/>
  <c r="N69" i="79" s="1"/>
  <c r="N82" i="79" s="1"/>
  <c r="N11" i="16"/>
  <c r="N12" i="16" s="1"/>
  <c r="N18" i="16" s="1"/>
  <c r="K23" i="62"/>
  <c r="K24" i="62" s="1"/>
  <c r="K31" i="62" s="1"/>
  <c r="K48" i="100"/>
  <c r="K49" i="100" s="1"/>
  <c r="K50" i="100" s="1"/>
  <c r="N49" i="100"/>
  <c r="N50" i="100" s="1"/>
  <c r="N57" i="100" s="1"/>
  <c r="N83" i="100" s="1"/>
  <c r="K11" i="16"/>
  <c r="K12" i="16" s="1"/>
  <c r="K18" i="16" s="1"/>
  <c r="N23" i="26"/>
  <c r="N24" i="26" s="1"/>
  <c r="N31" i="26" s="1"/>
  <c r="N49" i="66"/>
  <c r="N50" i="66" s="1"/>
  <c r="N49" i="39"/>
  <c r="N50" i="39" s="1"/>
  <c r="N57" i="39" s="1"/>
  <c r="K11" i="47"/>
  <c r="K12" i="47" s="1"/>
  <c r="K18" i="47" s="1"/>
  <c r="N49" i="23"/>
  <c r="N50" i="23" s="1"/>
  <c r="K36" i="30"/>
  <c r="K37" i="30" s="1"/>
  <c r="K44" i="30" s="1"/>
  <c r="K57" i="100"/>
  <c r="K57" i="101"/>
  <c r="N68" i="96"/>
  <c r="N69" i="96" s="1"/>
  <c r="K68" i="97"/>
  <c r="K69" i="97" s="1"/>
  <c r="K82" i="97" s="1"/>
  <c r="N68" i="97"/>
  <c r="N69" i="97" s="1"/>
  <c r="N82" i="97" s="1"/>
  <c r="N82" i="76"/>
  <c r="K82" i="77"/>
  <c r="N36" i="99"/>
  <c r="N37" i="99" s="1"/>
  <c r="N44" i="99" s="1"/>
  <c r="N36" i="97"/>
  <c r="N37" i="97" s="1"/>
  <c r="N44" i="97" s="1"/>
  <c r="K36" i="99"/>
  <c r="K37" i="99" s="1"/>
  <c r="K44" i="99" s="1"/>
  <c r="K36" i="97"/>
  <c r="K37" i="97" s="1"/>
  <c r="K44" i="97" s="1"/>
  <c r="N83" i="75"/>
  <c r="K58" i="96"/>
  <c r="K68" i="96" s="1"/>
  <c r="K69" i="96" s="1"/>
  <c r="N82" i="88"/>
  <c r="K23" i="72"/>
  <c r="K24" i="72" s="1"/>
  <c r="K31" i="72" s="1"/>
  <c r="N23" i="72"/>
  <c r="N24" i="72" s="1"/>
  <c r="N31" i="72" s="1"/>
  <c r="N23" i="96"/>
  <c r="N24" i="96" s="1"/>
  <c r="N31" i="96" s="1"/>
  <c r="K23" i="96"/>
  <c r="K24" i="96" s="1"/>
  <c r="K31" i="96" s="1"/>
  <c r="N23" i="95"/>
  <c r="N24" i="95" s="1"/>
  <c r="N31" i="95" s="1"/>
  <c r="K23" i="95"/>
  <c r="K24" i="95" s="1"/>
  <c r="K31" i="95" s="1"/>
  <c r="K83" i="75"/>
  <c r="N82" i="69"/>
  <c r="K11" i="95"/>
  <c r="K12" i="95" s="1"/>
  <c r="K18" i="95" s="1"/>
  <c r="N11" i="95"/>
  <c r="N12" i="95" s="1"/>
  <c r="N18" i="95" s="1"/>
  <c r="K11" i="92"/>
  <c r="K12" i="92" s="1"/>
  <c r="K18" i="92" s="1"/>
  <c r="N83" i="102"/>
  <c r="K82" i="69"/>
  <c r="N48" i="97"/>
  <c r="K48" i="97" s="1"/>
  <c r="K49" i="97" s="1"/>
  <c r="K50" i="97" s="1"/>
  <c r="K57" i="97" s="1"/>
  <c r="K82" i="34"/>
  <c r="K83" i="34" s="1"/>
  <c r="N82" i="34"/>
  <c r="N82" i="39"/>
  <c r="N57" i="66"/>
  <c r="K11" i="56"/>
  <c r="K12" i="56" s="1"/>
  <c r="K18" i="56" s="1"/>
  <c r="K82" i="39"/>
  <c r="K83" i="39" s="1"/>
  <c r="K11" i="65"/>
  <c r="K12" i="65" s="1"/>
  <c r="K18" i="65" s="1"/>
  <c r="N82" i="58"/>
  <c r="N48" i="38"/>
  <c r="N82" i="23"/>
  <c r="K82" i="31"/>
  <c r="N36" i="30"/>
  <c r="N37" i="30" s="1"/>
  <c r="N44" i="30" s="1"/>
  <c r="N82" i="31"/>
  <c r="K57" i="23"/>
  <c r="K83" i="23" s="1"/>
  <c r="K58" i="118"/>
  <c r="N58" i="118" s="1"/>
  <c r="N54" i="124" s="1"/>
  <c r="N11" i="19"/>
  <c r="N12" i="19" s="1"/>
  <c r="N18" i="19" s="1"/>
  <c r="K57" i="46"/>
  <c r="K13" i="118"/>
  <c r="N13" i="118" s="1"/>
  <c r="N9" i="124" s="1"/>
  <c r="K11" i="19"/>
  <c r="K12" i="19" s="1"/>
  <c r="K18" i="19" s="1"/>
  <c r="K23" i="19"/>
  <c r="K24" i="19" s="1"/>
  <c r="K31" i="19" s="1"/>
  <c r="N36" i="56"/>
  <c r="N37" i="56" s="1"/>
  <c r="N44" i="56" s="1"/>
  <c r="N83" i="25"/>
  <c r="K48" i="71"/>
  <c r="K49" i="71" s="1"/>
  <c r="K50" i="71" s="1"/>
  <c r="K57" i="71" s="1"/>
  <c r="K83" i="71" s="1"/>
  <c r="N49" i="71"/>
  <c r="N50" i="71" s="1"/>
  <c r="N57" i="71" s="1"/>
  <c r="N83" i="71" s="1"/>
  <c r="N11" i="44"/>
  <c r="N12" i="44" s="1"/>
  <c r="N18" i="44" s="1"/>
  <c r="K23" i="51"/>
  <c r="K24" i="51" s="1"/>
  <c r="K31" i="51" s="1"/>
  <c r="K103" i="118"/>
  <c r="N103" i="118" s="1"/>
  <c r="N99" i="124" s="1"/>
  <c r="N36" i="17"/>
  <c r="N37" i="17" s="1"/>
  <c r="N44" i="17" s="1"/>
  <c r="K23" i="21"/>
  <c r="K24" i="21" s="1"/>
  <c r="K31" i="21" s="1"/>
  <c r="K11" i="85"/>
  <c r="K12" i="85" s="1"/>
  <c r="K18" i="85" s="1"/>
  <c r="N48" i="103"/>
  <c r="N11" i="21"/>
  <c r="N12" i="21" s="1"/>
  <c r="N18" i="21" s="1"/>
  <c r="N11" i="52"/>
  <c r="N12" i="52" s="1"/>
  <c r="N18" i="52" s="1"/>
  <c r="K11" i="44"/>
  <c r="K12" i="44" s="1"/>
  <c r="K18" i="44" s="1"/>
  <c r="N36" i="44"/>
  <c r="N37" i="44" s="1"/>
  <c r="N44" i="44" s="1"/>
  <c r="K36" i="36"/>
  <c r="K37" i="36" s="1"/>
  <c r="K44" i="36" s="1"/>
  <c r="K68" i="52"/>
  <c r="K69" i="52" s="1"/>
  <c r="K82" i="52" s="1"/>
  <c r="N48" i="21"/>
  <c r="K48" i="21" s="1"/>
  <c r="K49" i="21" s="1"/>
  <c r="K50" i="21" s="1"/>
  <c r="K11" i="104"/>
  <c r="K12" i="104" s="1"/>
  <c r="K18" i="104" s="1"/>
  <c r="N36" i="62"/>
  <c r="N37" i="62" s="1"/>
  <c r="N44" i="62" s="1"/>
  <c r="N23" i="24"/>
  <c r="N24" i="24" s="1"/>
  <c r="N31" i="24" s="1"/>
  <c r="N68" i="52"/>
  <c r="N69" i="52" s="1"/>
  <c r="N82" i="52" s="1"/>
  <c r="K36" i="72"/>
  <c r="K37" i="72" s="1"/>
  <c r="K44" i="72" s="1"/>
  <c r="N23" i="35"/>
  <c r="N24" i="35" s="1"/>
  <c r="N31" i="35" s="1"/>
  <c r="K23" i="35"/>
  <c r="K24" i="35" s="1"/>
  <c r="K31" i="35" s="1"/>
  <c r="K23" i="24"/>
  <c r="K24" i="24" s="1"/>
  <c r="K31" i="24" s="1"/>
  <c r="K11" i="89"/>
  <c r="K12" i="89" s="1"/>
  <c r="K18" i="89" s="1"/>
  <c r="N23" i="49"/>
  <c r="N24" i="49" s="1"/>
  <c r="N31" i="49" s="1"/>
  <c r="N36" i="72"/>
  <c r="N37" i="72" s="1"/>
  <c r="N44" i="72" s="1"/>
  <c r="N48" i="89"/>
  <c r="K57" i="66"/>
  <c r="K83" i="66" s="1"/>
  <c r="N117" i="127"/>
  <c r="M88" i="124"/>
  <c r="M88" i="127" s="1"/>
  <c r="J88" i="127"/>
  <c r="M115" i="124"/>
  <c r="M115" i="127" s="1"/>
  <c r="L115" i="127"/>
  <c r="N119" i="127"/>
  <c r="M40" i="124"/>
  <c r="M40" i="127" s="1"/>
  <c r="J40" i="127"/>
  <c r="M63" i="124"/>
  <c r="M63" i="127" s="1"/>
  <c r="J63" i="127"/>
  <c r="N121" i="127"/>
  <c r="N118" i="127"/>
  <c r="K58" i="99"/>
  <c r="K68" i="99" s="1"/>
  <c r="K69" i="99" s="1"/>
  <c r="K82" i="99" s="1"/>
  <c r="N68" i="99"/>
  <c r="N69" i="99" s="1"/>
  <c r="N82" i="99" s="1"/>
  <c r="N89" i="118"/>
  <c r="N48" i="17"/>
  <c r="N48" i="43"/>
  <c r="N48" i="94"/>
  <c r="N36" i="35"/>
  <c r="N37" i="35" s="1"/>
  <c r="N44" i="35" s="1"/>
  <c r="K68" i="43"/>
  <c r="K69" i="43" s="1"/>
  <c r="K82" i="43" s="1"/>
  <c r="N48" i="49"/>
  <c r="K68" i="57"/>
  <c r="K69" i="57" s="1"/>
  <c r="K82" i="57" s="1"/>
  <c r="N23" i="91"/>
  <c r="N24" i="91" s="1"/>
  <c r="N31" i="91" s="1"/>
  <c r="N11" i="85"/>
  <c r="N12" i="85" s="1"/>
  <c r="N18" i="85" s="1"/>
  <c r="L41" i="124"/>
  <c r="L41" i="127" s="1"/>
  <c r="K41" i="124"/>
  <c r="K41" i="127" s="1"/>
  <c r="J41" i="124"/>
  <c r="K58" i="35"/>
  <c r="K68" i="35" s="1"/>
  <c r="K69" i="35" s="1"/>
  <c r="K82" i="35" s="1"/>
  <c r="N68" i="35"/>
  <c r="N69" i="35" s="1"/>
  <c r="N82" i="35" s="1"/>
  <c r="N48" i="19"/>
  <c r="K58" i="44"/>
  <c r="K68" i="44" s="1"/>
  <c r="K69" i="44" s="1"/>
  <c r="K82" i="44" s="1"/>
  <c r="N68" i="44"/>
  <c r="N69" i="44" s="1"/>
  <c r="N82" i="44" s="1"/>
  <c r="K48" i="37"/>
  <c r="K49" i="37" s="1"/>
  <c r="K50" i="37" s="1"/>
  <c r="K57" i="37" s="1"/>
  <c r="K83" i="37" s="1"/>
  <c r="N49" i="37"/>
  <c r="N50" i="37" s="1"/>
  <c r="N57" i="37" s="1"/>
  <c r="N83" i="37" s="1"/>
  <c r="K58" i="51"/>
  <c r="K68" i="51" s="1"/>
  <c r="K69" i="51" s="1"/>
  <c r="K82" i="51" s="1"/>
  <c r="N68" i="51"/>
  <c r="N69" i="51" s="1"/>
  <c r="N82" i="51" s="1"/>
  <c r="K48" i="86"/>
  <c r="K49" i="86" s="1"/>
  <c r="K50" i="86" s="1"/>
  <c r="K57" i="86" s="1"/>
  <c r="N49" i="86"/>
  <c r="N50" i="86" s="1"/>
  <c r="N57" i="86" s="1"/>
  <c r="N83" i="86" s="1"/>
  <c r="K11" i="36"/>
  <c r="K12" i="36" s="1"/>
  <c r="K18" i="36" s="1"/>
  <c r="K23" i="64"/>
  <c r="K24" i="64" s="1"/>
  <c r="K31" i="64" s="1"/>
  <c r="K11" i="52"/>
  <c r="K12" i="52" s="1"/>
  <c r="K18" i="52" s="1"/>
  <c r="N23" i="56"/>
  <c r="N24" i="56" s="1"/>
  <c r="N31" i="56" s="1"/>
  <c r="K83" i="102"/>
  <c r="N48" i="68"/>
  <c r="K36" i="61"/>
  <c r="K37" i="61" s="1"/>
  <c r="K44" i="61" s="1"/>
  <c r="K36" i="62"/>
  <c r="K37" i="62" s="1"/>
  <c r="K44" i="62" s="1"/>
  <c r="N36" i="67"/>
  <c r="N37" i="67" s="1"/>
  <c r="N44" i="67" s="1"/>
  <c r="N11" i="38"/>
  <c r="N12" i="38" s="1"/>
  <c r="N18" i="38" s="1"/>
  <c r="N23" i="65"/>
  <c r="N24" i="65" s="1"/>
  <c r="N31" i="65" s="1"/>
  <c r="K11" i="61"/>
  <c r="K12" i="61" s="1"/>
  <c r="K18" i="61" s="1"/>
  <c r="K48" i="60"/>
  <c r="K49" i="60" s="1"/>
  <c r="K50" i="60" s="1"/>
  <c r="K57" i="60" s="1"/>
  <c r="K83" i="60" s="1"/>
  <c r="N49" i="60"/>
  <c r="N50" i="60" s="1"/>
  <c r="N57" i="60" s="1"/>
  <c r="N83" i="60" s="1"/>
  <c r="N11" i="106"/>
  <c r="N12" i="106" s="1"/>
  <c r="N18" i="106" s="1"/>
  <c r="K11" i="64"/>
  <c r="K12" i="64" s="1"/>
  <c r="K18" i="64" s="1"/>
  <c r="N23" i="52"/>
  <c r="N24" i="52" s="1"/>
  <c r="N31" i="52" s="1"/>
  <c r="K65" i="124"/>
  <c r="K65" i="127" s="1"/>
  <c r="J65" i="124"/>
  <c r="J65" i="127" s="1"/>
  <c r="L65" i="124"/>
  <c r="L65" i="127" s="1"/>
  <c r="K23" i="38"/>
  <c r="K24" i="38" s="1"/>
  <c r="K31" i="38" s="1"/>
  <c r="K23" i="104"/>
  <c r="K24" i="104" s="1"/>
  <c r="K31" i="104" s="1"/>
  <c r="K36" i="44"/>
  <c r="K37" i="44" s="1"/>
  <c r="K44" i="44" s="1"/>
  <c r="K48" i="55"/>
  <c r="K49" i="55" s="1"/>
  <c r="K50" i="55" s="1"/>
  <c r="K57" i="55" s="1"/>
  <c r="K83" i="55" s="1"/>
  <c r="N49" i="55"/>
  <c r="N50" i="55" s="1"/>
  <c r="N57" i="55" s="1"/>
  <c r="N11" i="17"/>
  <c r="N12" i="17" s="1"/>
  <c r="N18" i="17" s="1"/>
  <c r="N23" i="111"/>
  <c r="N24" i="111" s="1"/>
  <c r="N31" i="111" s="1"/>
  <c r="K82" i="46"/>
  <c r="K23" i="99"/>
  <c r="K24" i="99" s="1"/>
  <c r="K31" i="99" s="1"/>
  <c r="N68" i="67"/>
  <c r="N69" i="67" s="1"/>
  <c r="N82" i="67" s="1"/>
  <c r="K58" i="67"/>
  <c r="K68" i="67" s="1"/>
  <c r="K69" i="67" s="1"/>
  <c r="K82" i="67" s="1"/>
  <c r="K36" i="106"/>
  <c r="K37" i="106" s="1"/>
  <c r="K44" i="106" s="1"/>
  <c r="K48" i="82"/>
  <c r="K49" i="82" s="1"/>
  <c r="K50" i="82" s="1"/>
  <c r="K57" i="82" s="1"/>
  <c r="K83" i="82" s="1"/>
  <c r="N49" i="82"/>
  <c r="N50" i="82" s="1"/>
  <c r="N57" i="82" s="1"/>
  <c r="N83" i="82" s="1"/>
  <c r="K36" i="64"/>
  <c r="K37" i="64" s="1"/>
  <c r="K44" i="64" s="1"/>
  <c r="K11" i="22"/>
  <c r="K12" i="22" s="1"/>
  <c r="K18" i="22" s="1"/>
  <c r="N77" i="124"/>
  <c r="N68" i="59"/>
  <c r="N69" i="59" s="1"/>
  <c r="N82" i="59" s="1"/>
  <c r="K68" i="72"/>
  <c r="K69" i="72" s="1"/>
  <c r="K82" i="72" s="1"/>
  <c r="N68" i="21"/>
  <c r="N69" i="21" s="1"/>
  <c r="N82" i="21" s="1"/>
  <c r="K34" i="118"/>
  <c r="N34" i="118" s="1"/>
  <c r="K48" i="50"/>
  <c r="K49" i="50" s="1"/>
  <c r="K50" i="50" s="1"/>
  <c r="K57" i="50" s="1"/>
  <c r="K83" i="50" s="1"/>
  <c r="N49" i="50"/>
  <c r="N50" i="50" s="1"/>
  <c r="N57" i="50" s="1"/>
  <c r="N83" i="50" s="1"/>
  <c r="K48" i="29"/>
  <c r="K49" i="29" s="1"/>
  <c r="K50" i="29" s="1"/>
  <c r="K57" i="29" s="1"/>
  <c r="K83" i="29" s="1"/>
  <c r="N49" i="29"/>
  <c r="N50" i="29" s="1"/>
  <c r="N57" i="29" s="1"/>
  <c r="N83" i="29" s="1"/>
  <c r="K93" i="118"/>
  <c r="N93" i="118" s="1"/>
  <c r="K36" i="35"/>
  <c r="K37" i="35" s="1"/>
  <c r="K44" i="35" s="1"/>
  <c r="K36" i="38"/>
  <c r="K37" i="38" s="1"/>
  <c r="K44" i="38" s="1"/>
  <c r="N48" i="59"/>
  <c r="K109" i="118"/>
  <c r="N109" i="118" s="1"/>
  <c r="K23" i="91"/>
  <c r="K24" i="91" s="1"/>
  <c r="K31" i="91" s="1"/>
  <c r="K58" i="30"/>
  <c r="K68" i="30" s="1"/>
  <c r="K69" i="30" s="1"/>
  <c r="K82" i="30" s="1"/>
  <c r="N68" i="30"/>
  <c r="N69" i="30" s="1"/>
  <c r="N82" i="30" s="1"/>
  <c r="N83" i="90"/>
  <c r="N48" i="62"/>
  <c r="N36" i="92"/>
  <c r="N37" i="92" s="1"/>
  <c r="N44" i="92" s="1"/>
  <c r="N49" i="79"/>
  <c r="N50" i="79" s="1"/>
  <c r="N57" i="79" s="1"/>
  <c r="N83" i="79" s="1"/>
  <c r="N48" i="61"/>
  <c r="K23" i="49"/>
  <c r="K24" i="49" s="1"/>
  <c r="K31" i="49" s="1"/>
  <c r="K23" i="56"/>
  <c r="K24" i="56" s="1"/>
  <c r="K31" i="56" s="1"/>
  <c r="N48" i="96"/>
  <c r="N36" i="61"/>
  <c r="N37" i="61" s="1"/>
  <c r="N44" i="61" s="1"/>
  <c r="N11" i="92"/>
  <c r="N12" i="92" s="1"/>
  <c r="N18" i="92" s="1"/>
  <c r="N49" i="21"/>
  <c r="N50" i="21" s="1"/>
  <c r="N57" i="21" s="1"/>
  <c r="N83" i="41"/>
  <c r="K48" i="110"/>
  <c r="K49" i="110" s="1"/>
  <c r="K50" i="110" s="1"/>
  <c r="K57" i="110" s="1"/>
  <c r="K83" i="110" s="1"/>
  <c r="N49" i="110"/>
  <c r="N50" i="110" s="1"/>
  <c r="N57" i="110" s="1"/>
  <c r="N83" i="110" s="1"/>
  <c r="K36" i="42"/>
  <c r="K37" i="42" s="1"/>
  <c r="K44" i="42" s="1"/>
  <c r="K23" i="65"/>
  <c r="K24" i="65" s="1"/>
  <c r="K31" i="65" s="1"/>
  <c r="N11" i="61"/>
  <c r="N12" i="61" s="1"/>
  <c r="N18" i="61" s="1"/>
  <c r="N49" i="76"/>
  <c r="N50" i="76" s="1"/>
  <c r="N57" i="76" s="1"/>
  <c r="N83" i="76" s="1"/>
  <c r="K48" i="76"/>
  <c r="K49" i="76" s="1"/>
  <c r="K50" i="76" s="1"/>
  <c r="K57" i="76" s="1"/>
  <c r="K11" i="106"/>
  <c r="K12" i="106" s="1"/>
  <c r="K18" i="106" s="1"/>
  <c r="K82" i="76"/>
  <c r="N68" i="17"/>
  <c r="N69" i="17" s="1"/>
  <c r="N82" i="17" s="1"/>
  <c r="K58" i="17"/>
  <c r="N11" i="103"/>
  <c r="N12" i="103" s="1"/>
  <c r="N18" i="103" s="1"/>
  <c r="K48" i="34"/>
  <c r="K49" i="34" s="1"/>
  <c r="K50" i="34" s="1"/>
  <c r="K57" i="34" s="1"/>
  <c r="N49" i="34"/>
  <c r="N50" i="34" s="1"/>
  <c r="N57" i="34" s="1"/>
  <c r="K48" i="107"/>
  <c r="K49" i="107" s="1"/>
  <c r="K50" i="107" s="1"/>
  <c r="K57" i="107" s="1"/>
  <c r="K83" i="107" s="1"/>
  <c r="N49" i="107"/>
  <c r="N50" i="107" s="1"/>
  <c r="N57" i="107" s="1"/>
  <c r="N83" i="107" s="1"/>
  <c r="K58" i="47"/>
  <c r="K68" i="47" s="1"/>
  <c r="K69" i="47" s="1"/>
  <c r="K82" i="47" s="1"/>
  <c r="N68" i="47"/>
  <c r="N69" i="47" s="1"/>
  <c r="N82" i="47" s="1"/>
  <c r="N11" i="94"/>
  <c r="N12" i="94" s="1"/>
  <c r="N18" i="94" s="1"/>
  <c r="N48" i="95"/>
  <c r="K48" i="20"/>
  <c r="K49" i="20" s="1"/>
  <c r="K50" i="20" s="1"/>
  <c r="K57" i="20" s="1"/>
  <c r="N49" i="20"/>
  <c r="N50" i="20" s="1"/>
  <c r="N57" i="20" s="1"/>
  <c r="N82" i="46"/>
  <c r="K48" i="27"/>
  <c r="K49" i="27" s="1"/>
  <c r="K50" i="27" s="1"/>
  <c r="K57" i="27" s="1"/>
  <c r="N49" i="27"/>
  <c r="N50" i="27" s="1"/>
  <c r="N57" i="27" s="1"/>
  <c r="K48" i="31"/>
  <c r="K49" i="31" s="1"/>
  <c r="K50" i="31" s="1"/>
  <c r="K57" i="31" s="1"/>
  <c r="N49" i="31"/>
  <c r="N50" i="31" s="1"/>
  <c r="N57" i="31" s="1"/>
  <c r="K48" i="33"/>
  <c r="K49" i="33" s="1"/>
  <c r="K50" i="33" s="1"/>
  <c r="K57" i="33" s="1"/>
  <c r="K83" i="33" s="1"/>
  <c r="N49" i="33"/>
  <c r="N50" i="33" s="1"/>
  <c r="N57" i="33" s="1"/>
  <c r="N83" i="33" s="1"/>
  <c r="K11" i="67"/>
  <c r="K12" i="67" s="1"/>
  <c r="K18" i="67" s="1"/>
  <c r="N11" i="22"/>
  <c r="N12" i="22" s="1"/>
  <c r="N18" i="22" s="1"/>
  <c r="N68" i="74"/>
  <c r="N69" i="74" s="1"/>
  <c r="N82" i="74" s="1"/>
  <c r="K68" i="59"/>
  <c r="K69" i="59" s="1"/>
  <c r="K82" i="59" s="1"/>
  <c r="K68" i="21"/>
  <c r="K69" i="21" s="1"/>
  <c r="K82" i="21" s="1"/>
  <c r="K48" i="48"/>
  <c r="K49" i="48" s="1"/>
  <c r="K50" i="48" s="1"/>
  <c r="K57" i="48" s="1"/>
  <c r="K83" i="48" s="1"/>
  <c r="N49" i="48"/>
  <c r="N50" i="48" s="1"/>
  <c r="N57" i="48" s="1"/>
  <c r="N83" i="48" s="1"/>
  <c r="K58" i="65"/>
  <c r="K68" i="65" s="1"/>
  <c r="K69" i="65" s="1"/>
  <c r="K82" i="65" s="1"/>
  <c r="N68" i="65"/>
  <c r="N69" i="65" s="1"/>
  <c r="N82" i="65" s="1"/>
  <c r="N23" i="17"/>
  <c r="N24" i="17" s="1"/>
  <c r="N31" i="17" s="1"/>
  <c r="K58" i="38"/>
  <c r="K68" i="38" s="1"/>
  <c r="K69" i="38" s="1"/>
  <c r="K82" i="38" s="1"/>
  <c r="N68" i="38"/>
  <c r="N69" i="38" s="1"/>
  <c r="N82" i="38" s="1"/>
  <c r="N11" i="104"/>
  <c r="N12" i="104" s="1"/>
  <c r="N18" i="104" s="1"/>
  <c r="K48" i="73"/>
  <c r="K49" i="73" s="1"/>
  <c r="K50" i="73" s="1"/>
  <c r="K57" i="73" s="1"/>
  <c r="K83" i="73" s="1"/>
  <c r="N49" i="73"/>
  <c r="N50" i="73" s="1"/>
  <c r="N57" i="73" s="1"/>
  <c r="N83" i="73" s="1"/>
  <c r="N68" i="91"/>
  <c r="N69" i="91" s="1"/>
  <c r="N82" i="91" s="1"/>
  <c r="K58" i="91"/>
  <c r="K68" i="91" s="1"/>
  <c r="K69" i="91" s="1"/>
  <c r="K82" i="91" s="1"/>
  <c r="K49" i="79"/>
  <c r="K50" i="79" s="1"/>
  <c r="K57" i="79" s="1"/>
  <c r="K83" i="79" s="1"/>
  <c r="K78" i="118"/>
  <c r="N23" i="36"/>
  <c r="N24" i="36" s="1"/>
  <c r="N31" i="36" s="1"/>
  <c r="N11" i="42"/>
  <c r="N12" i="42" s="1"/>
  <c r="N18" i="42" s="1"/>
  <c r="K48" i="83"/>
  <c r="K49" i="83" s="1"/>
  <c r="K50" i="83" s="1"/>
  <c r="K57" i="83" s="1"/>
  <c r="K83" i="83" s="1"/>
  <c r="N49" i="83"/>
  <c r="N50" i="83" s="1"/>
  <c r="N57" i="83" s="1"/>
  <c r="N83" i="83" s="1"/>
  <c r="N23" i="43"/>
  <c r="N24" i="43" s="1"/>
  <c r="N31" i="43" s="1"/>
  <c r="N36" i="42"/>
  <c r="N37" i="42" s="1"/>
  <c r="N44" i="42" s="1"/>
  <c r="N116" i="124"/>
  <c r="N23" i="92"/>
  <c r="N24" i="92" s="1"/>
  <c r="N31" i="92" s="1"/>
  <c r="K11" i="103"/>
  <c r="K12" i="103" s="1"/>
  <c r="K18" i="103" s="1"/>
  <c r="N36" i="74"/>
  <c r="N37" i="74" s="1"/>
  <c r="N44" i="74" s="1"/>
  <c r="N76" i="124"/>
  <c r="N11" i="26"/>
  <c r="N12" i="26" s="1"/>
  <c r="N18" i="26" s="1"/>
  <c r="N36" i="65"/>
  <c r="N37" i="65" s="1"/>
  <c r="N44" i="65" s="1"/>
  <c r="K11" i="94"/>
  <c r="K12" i="94" s="1"/>
  <c r="K18" i="94" s="1"/>
  <c r="N83" i="55"/>
  <c r="N36" i="59"/>
  <c r="N37" i="59" s="1"/>
  <c r="N44" i="59" s="1"/>
  <c r="N36" i="43"/>
  <c r="N37" i="43" s="1"/>
  <c r="N44" i="43" s="1"/>
  <c r="N57" i="23"/>
  <c r="N83" i="23" s="1"/>
  <c r="N23" i="61"/>
  <c r="N24" i="61" s="1"/>
  <c r="N31" i="61" s="1"/>
  <c r="N11" i="67"/>
  <c r="N12" i="67" s="1"/>
  <c r="N18" i="67" s="1"/>
  <c r="N36" i="68"/>
  <c r="N37" i="68" s="1"/>
  <c r="N44" i="68" s="1"/>
  <c r="K36" i="24"/>
  <c r="K37" i="24" s="1"/>
  <c r="K44" i="24" s="1"/>
  <c r="K68" i="74"/>
  <c r="K69" i="74" s="1"/>
  <c r="K82" i="74" s="1"/>
  <c r="N82" i="96"/>
  <c r="N36" i="57"/>
  <c r="N37" i="57" s="1"/>
  <c r="N44" i="57" s="1"/>
  <c r="K55" i="118"/>
  <c r="K36" i="17"/>
  <c r="K37" i="17" s="1"/>
  <c r="K44" i="17" s="1"/>
  <c r="K48" i="54"/>
  <c r="K49" i="54" s="1"/>
  <c r="K50" i="54" s="1"/>
  <c r="K57" i="54" s="1"/>
  <c r="K83" i="54" s="1"/>
  <c r="N49" i="54"/>
  <c r="N50" i="54" s="1"/>
  <c r="N57" i="54" s="1"/>
  <c r="K36" i="57"/>
  <c r="K37" i="57" s="1"/>
  <c r="K44" i="57" s="1"/>
  <c r="L18" i="124"/>
  <c r="K18" i="124"/>
  <c r="K18" i="127" s="1"/>
  <c r="J18" i="124"/>
  <c r="J18" i="127" s="1"/>
  <c r="K48" i="93"/>
  <c r="K49" i="93" s="1"/>
  <c r="K50" i="93" s="1"/>
  <c r="K57" i="93" s="1"/>
  <c r="K83" i="93" s="1"/>
  <c r="N49" i="93"/>
  <c r="N50" i="93" s="1"/>
  <c r="N57" i="93" s="1"/>
  <c r="N83" i="93" s="1"/>
  <c r="N68" i="95"/>
  <c r="N69" i="95" s="1"/>
  <c r="N82" i="95" s="1"/>
  <c r="N83" i="54"/>
  <c r="K23" i="17"/>
  <c r="K24" i="17" s="1"/>
  <c r="K31" i="17" s="1"/>
  <c r="K32" i="118"/>
  <c r="K68" i="89"/>
  <c r="K69" i="89" s="1"/>
  <c r="K82" i="89" s="1"/>
  <c r="K36" i="103"/>
  <c r="K37" i="103" s="1"/>
  <c r="K44" i="103" s="1"/>
  <c r="K23" i="36"/>
  <c r="K24" i="36" s="1"/>
  <c r="K31" i="36" s="1"/>
  <c r="N36" i="19"/>
  <c r="N37" i="19" s="1"/>
  <c r="N44" i="19" s="1"/>
  <c r="K11" i="42"/>
  <c r="K12" i="42" s="1"/>
  <c r="K18" i="42" s="1"/>
  <c r="N21" i="118"/>
  <c r="K26" i="118"/>
  <c r="K27" i="118" s="1"/>
  <c r="N23" i="103"/>
  <c r="N24" i="103" s="1"/>
  <c r="N31" i="103" s="1"/>
  <c r="N23" i="85"/>
  <c r="N24" i="85" s="1"/>
  <c r="N31" i="85" s="1"/>
  <c r="K36" i="56"/>
  <c r="K37" i="56" s="1"/>
  <c r="K44" i="56" s="1"/>
  <c r="K23" i="43"/>
  <c r="K24" i="43" s="1"/>
  <c r="K31" i="43" s="1"/>
  <c r="N48" i="56"/>
  <c r="N36" i="26"/>
  <c r="N37" i="26" s="1"/>
  <c r="N44" i="26" s="1"/>
  <c r="N48" i="30"/>
  <c r="N57" i="109"/>
  <c r="N83" i="109" s="1"/>
  <c r="K23" i="92"/>
  <c r="K24" i="92" s="1"/>
  <c r="K31" i="92" s="1"/>
  <c r="N82" i="27"/>
  <c r="K68" i="106"/>
  <c r="K69" i="106" s="1"/>
  <c r="K82" i="106" s="1"/>
  <c r="K83" i="41"/>
  <c r="K36" i="74"/>
  <c r="K37" i="74" s="1"/>
  <c r="K44" i="74" s="1"/>
  <c r="K11" i="26"/>
  <c r="K12" i="26" s="1"/>
  <c r="K18" i="26" s="1"/>
  <c r="K83" i="86"/>
  <c r="N57" i="78"/>
  <c r="N83" i="78" s="1"/>
  <c r="K23" i="68"/>
  <c r="K24" i="68" s="1"/>
  <c r="K31" i="68" s="1"/>
  <c r="N8" i="124"/>
  <c r="K36" i="59"/>
  <c r="K37" i="59" s="1"/>
  <c r="K44" i="59" s="1"/>
  <c r="K36" i="43"/>
  <c r="K37" i="43" s="1"/>
  <c r="K44" i="43" s="1"/>
  <c r="K23" i="61"/>
  <c r="K24" i="61" s="1"/>
  <c r="K31" i="61" s="1"/>
  <c r="K48" i="40"/>
  <c r="K49" i="40" s="1"/>
  <c r="K50" i="40" s="1"/>
  <c r="K57" i="40" s="1"/>
  <c r="N49" i="40"/>
  <c r="N50" i="40" s="1"/>
  <c r="N57" i="40" s="1"/>
  <c r="N83" i="40" s="1"/>
  <c r="N48" i="51"/>
  <c r="N11" i="108"/>
  <c r="N12" i="108" s="1"/>
  <c r="N18" i="108" s="1"/>
  <c r="K36" i="68"/>
  <c r="K37" i="68" s="1"/>
  <c r="K44" i="68" s="1"/>
  <c r="N36" i="24"/>
  <c r="N37" i="24" s="1"/>
  <c r="N44" i="24" s="1"/>
  <c r="N68" i="49"/>
  <c r="N69" i="49" s="1"/>
  <c r="N82" i="49" s="1"/>
  <c r="K82" i="96"/>
  <c r="K68" i="103"/>
  <c r="K69" i="103" s="1"/>
  <c r="K82" i="103" s="1"/>
  <c r="K58" i="94"/>
  <c r="K68" i="94" s="1"/>
  <c r="K69" i="94" s="1"/>
  <c r="K82" i="94" s="1"/>
  <c r="N68" i="94"/>
  <c r="N69" i="94" s="1"/>
  <c r="N82" i="94" s="1"/>
  <c r="N52" i="124"/>
  <c r="N48" i="85"/>
  <c r="N102" i="124"/>
  <c r="N48" i="42"/>
  <c r="N48" i="67"/>
  <c r="N48" i="91"/>
  <c r="K58" i="85"/>
  <c r="K68" i="85" s="1"/>
  <c r="K69" i="85" s="1"/>
  <c r="K82" i="85" s="1"/>
  <c r="N68" i="85"/>
  <c r="N69" i="85" s="1"/>
  <c r="N82" i="85" s="1"/>
  <c r="N48" i="36"/>
  <c r="K83" i="100"/>
  <c r="K68" i="95"/>
  <c r="K69" i="95" s="1"/>
  <c r="K82" i="95" s="1"/>
  <c r="K116" i="118"/>
  <c r="N29" i="124"/>
  <c r="N48" i="74"/>
  <c r="K48" i="87"/>
  <c r="K49" i="87" s="1"/>
  <c r="K50" i="87" s="1"/>
  <c r="K57" i="87" s="1"/>
  <c r="K83" i="87" s="1"/>
  <c r="N49" i="87"/>
  <c r="N50" i="87" s="1"/>
  <c r="N57" i="87" s="1"/>
  <c r="N83" i="87" s="1"/>
  <c r="N48" i="92"/>
  <c r="N68" i="89"/>
  <c r="N69" i="89" s="1"/>
  <c r="N82" i="89" s="1"/>
  <c r="N36" i="103"/>
  <c r="N37" i="103" s="1"/>
  <c r="N44" i="103" s="1"/>
  <c r="K36" i="19"/>
  <c r="K37" i="19" s="1"/>
  <c r="K44" i="19" s="1"/>
  <c r="N11" i="65"/>
  <c r="N12" i="65" s="1"/>
  <c r="N18" i="65" s="1"/>
  <c r="N48" i="22"/>
  <c r="K23" i="103"/>
  <c r="K24" i="103" s="1"/>
  <c r="K31" i="103" s="1"/>
  <c r="K23" i="85"/>
  <c r="K24" i="85" s="1"/>
  <c r="K31" i="85" s="1"/>
  <c r="N48" i="108"/>
  <c r="N23" i="22"/>
  <c r="N24" i="22" s="1"/>
  <c r="N31" i="22" s="1"/>
  <c r="K36" i="26"/>
  <c r="K37" i="26" s="1"/>
  <c r="K44" i="26" s="1"/>
  <c r="K57" i="109"/>
  <c r="K83" i="109" s="1"/>
  <c r="N96" i="124"/>
  <c r="N49" i="84"/>
  <c r="N50" i="84" s="1"/>
  <c r="N57" i="84" s="1"/>
  <c r="N83" i="84" s="1"/>
  <c r="K48" i="84"/>
  <c r="K49" i="84" s="1"/>
  <c r="K50" i="84" s="1"/>
  <c r="K57" i="84" s="1"/>
  <c r="K83" i="84" s="1"/>
  <c r="K82" i="27"/>
  <c r="N68" i="106"/>
  <c r="N69" i="106" s="1"/>
  <c r="N82" i="106" s="1"/>
  <c r="J19" i="124"/>
  <c r="K19" i="124"/>
  <c r="K19" i="127" s="1"/>
  <c r="L19" i="124"/>
  <c r="L19" i="127" s="1"/>
  <c r="K48" i="70"/>
  <c r="K49" i="70" s="1"/>
  <c r="K50" i="70" s="1"/>
  <c r="K57" i="70" s="1"/>
  <c r="K83" i="70" s="1"/>
  <c r="N49" i="70"/>
  <c r="N50" i="70" s="1"/>
  <c r="N57" i="70" s="1"/>
  <c r="N83" i="70" s="1"/>
  <c r="K48" i="53"/>
  <c r="K49" i="53" s="1"/>
  <c r="K50" i="53" s="1"/>
  <c r="K57" i="53" s="1"/>
  <c r="N49" i="53"/>
  <c r="N50" i="53" s="1"/>
  <c r="N57" i="53" s="1"/>
  <c r="K48" i="105"/>
  <c r="K49" i="105" s="1"/>
  <c r="K50" i="105" s="1"/>
  <c r="K57" i="105" s="1"/>
  <c r="N49" i="105"/>
  <c r="N50" i="105" s="1"/>
  <c r="N57" i="105" s="1"/>
  <c r="N23" i="57"/>
  <c r="N24" i="57" s="1"/>
  <c r="N31" i="57" s="1"/>
  <c r="N11" i="99"/>
  <c r="N12" i="99" s="1"/>
  <c r="N18" i="99" s="1"/>
  <c r="K57" i="78"/>
  <c r="K83" i="78" s="1"/>
  <c r="N23" i="68"/>
  <c r="N24" i="68" s="1"/>
  <c r="N31" i="68" s="1"/>
  <c r="N36" i="94"/>
  <c r="N37" i="94" s="1"/>
  <c r="N44" i="94" s="1"/>
  <c r="N23" i="51"/>
  <c r="N24" i="51" s="1"/>
  <c r="N31" i="51" s="1"/>
  <c r="K11" i="108"/>
  <c r="K12" i="108" s="1"/>
  <c r="K18" i="108" s="1"/>
  <c r="N49" i="101"/>
  <c r="N50" i="101" s="1"/>
  <c r="N57" i="101" s="1"/>
  <c r="N68" i="64"/>
  <c r="N69" i="64" s="1"/>
  <c r="N82" i="64" s="1"/>
  <c r="K68" i="49"/>
  <c r="K69" i="49" s="1"/>
  <c r="K82" i="49" s="1"/>
  <c r="N68" i="103"/>
  <c r="N69" i="103" s="1"/>
  <c r="N82" i="103" s="1"/>
  <c r="K58" i="68"/>
  <c r="K68" i="68" s="1"/>
  <c r="K69" i="68" s="1"/>
  <c r="K82" i="68" s="1"/>
  <c r="N68" i="68"/>
  <c r="N69" i="68" s="1"/>
  <c r="N82" i="68" s="1"/>
  <c r="K58" i="92"/>
  <c r="K68" i="92" s="1"/>
  <c r="K69" i="92" s="1"/>
  <c r="K82" i="92" s="1"/>
  <c r="N68" i="92"/>
  <c r="N69" i="92" s="1"/>
  <c r="N82" i="92" s="1"/>
  <c r="K58" i="19"/>
  <c r="K68" i="19" s="1"/>
  <c r="K69" i="19" s="1"/>
  <c r="K82" i="19" s="1"/>
  <c r="N68" i="19"/>
  <c r="N69" i="19" s="1"/>
  <c r="N82" i="19" s="1"/>
  <c r="N68" i="101"/>
  <c r="N69" i="101" s="1"/>
  <c r="N82" i="101" s="1"/>
  <c r="K58" i="101"/>
  <c r="K68" i="101" s="1"/>
  <c r="K69" i="101" s="1"/>
  <c r="K82" i="101" s="1"/>
  <c r="K83" i="101" s="1"/>
  <c r="N68" i="24"/>
  <c r="N69" i="24" s="1"/>
  <c r="N82" i="24" s="1"/>
  <c r="K58" i="24"/>
  <c r="K68" i="24" s="1"/>
  <c r="K69" i="24" s="1"/>
  <c r="K82" i="24" s="1"/>
  <c r="K48" i="28"/>
  <c r="K49" i="28" s="1"/>
  <c r="K50" i="28" s="1"/>
  <c r="K57" i="28" s="1"/>
  <c r="K83" i="28" s="1"/>
  <c r="N49" i="28"/>
  <c r="N50" i="28" s="1"/>
  <c r="N57" i="28" s="1"/>
  <c r="N83" i="28" s="1"/>
  <c r="N68" i="61"/>
  <c r="N69" i="61" s="1"/>
  <c r="N82" i="61" s="1"/>
  <c r="K58" i="61"/>
  <c r="K68" i="61" s="1"/>
  <c r="K69" i="61" s="1"/>
  <c r="K82" i="61" s="1"/>
  <c r="K82" i="105"/>
  <c r="N23" i="59"/>
  <c r="N24" i="59" s="1"/>
  <c r="N31" i="59" s="1"/>
  <c r="N48" i="35"/>
  <c r="L64" i="124"/>
  <c r="L64" i="127" s="1"/>
  <c r="J64" i="124"/>
  <c r="K64" i="124"/>
  <c r="K64" i="127" s="1"/>
  <c r="N11" i="91"/>
  <c r="N12" i="91" s="1"/>
  <c r="N18" i="91" s="1"/>
  <c r="N104" i="124"/>
  <c r="N82" i="20"/>
  <c r="N43" i="118"/>
  <c r="K49" i="118"/>
  <c r="K50" i="118" s="1"/>
  <c r="N48" i="26"/>
  <c r="K23" i="106"/>
  <c r="K24" i="106" s="1"/>
  <c r="K31" i="106" s="1"/>
  <c r="N11" i="30"/>
  <c r="N12" i="30" s="1"/>
  <c r="N18" i="30" s="1"/>
  <c r="N103" i="124"/>
  <c r="K36" i="49"/>
  <c r="K37" i="49" s="1"/>
  <c r="K44" i="49" s="1"/>
  <c r="K83" i="25"/>
  <c r="N48" i="44"/>
  <c r="K23" i="22"/>
  <c r="K24" i="22" s="1"/>
  <c r="K31" i="22" s="1"/>
  <c r="N11" i="57"/>
  <c r="N12" i="57" s="1"/>
  <c r="N18" i="57" s="1"/>
  <c r="N11" i="96"/>
  <c r="N12" i="96" s="1"/>
  <c r="N18" i="96" s="1"/>
  <c r="K83" i="40"/>
  <c r="N68" i="16"/>
  <c r="N69" i="16" s="1"/>
  <c r="N82" i="16" s="1"/>
  <c r="N36" i="85"/>
  <c r="N37" i="85" s="1"/>
  <c r="N44" i="85" s="1"/>
  <c r="K11" i="59"/>
  <c r="K12" i="59" s="1"/>
  <c r="K18" i="59" s="1"/>
  <c r="K11" i="43"/>
  <c r="K12" i="43" s="1"/>
  <c r="K18" i="43" s="1"/>
  <c r="K11" i="99"/>
  <c r="K12" i="99" s="1"/>
  <c r="K18" i="99" s="1"/>
  <c r="N11" i="35"/>
  <c r="N12" i="35" s="1"/>
  <c r="N18" i="35" s="1"/>
  <c r="N66" i="118"/>
  <c r="K72" i="118"/>
  <c r="K73" i="118" s="1"/>
  <c r="K36" i="94"/>
  <c r="K37" i="94" s="1"/>
  <c r="K44" i="94" s="1"/>
  <c r="K48" i="45"/>
  <c r="K49" i="45" s="1"/>
  <c r="K50" i="45" s="1"/>
  <c r="K57" i="45" s="1"/>
  <c r="K83" i="45" s="1"/>
  <c r="N49" i="45"/>
  <c r="N50" i="45" s="1"/>
  <c r="N57" i="45" s="1"/>
  <c r="N83" i="45" s="1"/>
  <c r="K58" i="108"/>
  <c r="K68" i="108" s="1"/>
  <c r="K69" i="108" s="1"/>
  <c r="K82" i="108" s="1"/>
  <c r="N68" i="108"/>
  <c r="N69" i="108" s="1"/>
  <c r="N82" i="108" s="1"/>
  <c r="N23" i="67"/>
  <c r="N24" i="67" s="1"/>
  <c r="N31" i="67" s="1"/>
  <c r="N36" i="108"/>
  <c r="N37" i="108" s="1"/>
  <c r="N44" i="108" s="1"/>
  <c r="K68" i="64"/>
  <c r="K69" i="64" s="1"/>
  <c r="K82" i="64" s="1"/>
  <c r="N100" i="124"/>
  <c r="K58" i="56"/>
  <c r="K68" i="56" s="1"/>
  <c r="K69" i="56" s="1"/>
  <c r="K82" i="56" s="1"/>
  <c r="N68" i="56"/>
  <c r="N69" i="56" s="1"/>
  <c r="N82" i="56" s="1"/>
  <c r="N53" i="124"/>
  <c r="N98" i="124"/>
  <c r="N48" i="52"/>
  <c r="N48" i="106"/>
  <c r="K11" i="49"/>
  <c r="K12" i="49" s="1"/>
  <c r="K18" i="49" s="1"/>
  <c r="K58" i="26"/>
  <c r="K68" i="26" s="1"/>
  <c r="K69" i="26" s="1"/>
  <c r="K82" i="26" s="1"/>
  <c r="N68" i="26"/>
  <c r="N69" i="26" s="1"/>
  <c r="N82" i="26" s="1"/>
  <c r="N82" i="105"/>
  <c r="K23" i="59"/>
  <c r="K24" i="59" s="1"/>
  <c r="K31" i="59" s="1"/>
  <c r="M87" i="124"/>
  <c r="M87" i="127" s="1"/>
  <c r="N87" i="127" s="1"/>
  <c r="N36" i="52"/>
  <c r="N37" i="52" s="1"/>
  <c r="N44" i="52" s="1"/>
  <c r="N101" i="124"/>
  <c r="N23" i="94"/>
  <c r="N24" i="94" s="1"/>
  <c r="N31" i="94" s="1"/>
  <c r="N11" i="62"/>
  <c r="N12" i="62" s="1"/>
  <c r="N18" i="62" s="1"/>
  <c r="K11" i="21"/>
  <c r="K12" i="21" s="1"/>
  <c r="K18" i="21" s="1"/>
  <c r="K23" i="42"/>
  <c r="K24" i="42" s="1"/>
  <c r="K31" i="42" s="1"/>
  <c r="K11" i="91"/>
  <c r="K12" i="91" s="1"/>
  <c r="K18" i="91" s="1"/>
  <c r="K36" i="104"/>
  <c r="K37" i="104" s="1"/>
  <c r="K44" i="104" s="1"/>
  <c r="K82" i="20"/>
  <c r="K83" i="20" s="1"/>
  <c r="N48" i="65"/>
  <c r="N48" i="99"/>
  <c r="N23" i="106"/>
  <c r="N24" i="106" s="1"/>
  <c r="N31" i="106" s="1"/>
  <c r="K23" i="108"/>
  <c r="K24" i="108" s="1"/>
  <c r="K31" i="108" s="1"/>
  <c r="K11" i="30"/>
  <c r="K12" i="30" s="1"/>
  <c r="K18" i="30" s="1"/>
  <c r="N82" i="53"/>
  <c r="N36" i="49"/>
  <c r="N37" i="49" s="1"/>
  <c r="N44" i="49" s="1"/>
  <c r="M113" i="124"/>
  <c r="M113" i="127" s="1"/>
  <c r="N113" i="127" s="1"/>
  <c r="K11" i="96"/>
  <c r="K12" i="96" s="1"/>
  <c r="K18" i="96" s="1"/>
  <c r="N36" i="21"/>
  <c r="N37" i="21" s="1"/>
  <c r="N44" i="21" s="1"/>
  <c r="N48" i="111"/>
  <c r="K68" i="16"/>
  <c r="K69" i="16" s="1"/>
  <c r="K82" i="16" s="1"/>
  <c r="K36" i="85"/>
  <c r="K37" i="85" s="1"/>
  <c r="K44" i="85" s="1"/>
  <c r="K83" i="90"/>
  <c r="K48" i="77"/>
  <c r="K49" i="77" s="1"/>
  <c r="K50" i="77" s="1"/>
  <c r="K57" i="77" s="1"/>
  <c r="N49" i="77"/>
  <c r="N50" i="77" s="1"/>
  <c r="N57" i="77" s="1"/>
  <c r="N83" i="77" s="1"/>
  <c r="N11" i="59"/>
  <c r="N12" i="59" s="1"/>
  <c r="N18" i="59" s="1"/>
  <c r="N11" i="43"/>
  <c r="N12" i="43" s="1"/>
  <c r="N18" i="43" s="1"/>
  <c r="N48" i="72"/>
  <c r="K11" i="35"/>
  <c r="K12" i="35" s="1"/>
  <c r="K18" i="35" s="1"/>
  <c r="N11" i="47"/>
  <c r="N12" i="47" s="1"/>
  <c r="N18" i="47" s="1"/>
  <c r="N48" i="24"/>
  <c r="N48" i="47"/>
  <c r="K36" i="91"/>
  <c r="K37" i="91" s="1"/>
  <c r="K44" i="91" s="1"/>
  <c r="K48" i="69"/>
  <c r="K49" i="69" s="1"/>
  <c r="K50" i="69" s="1"/>
  <c r="K57" i="69" s="1"/>
  <c r="N49" i="69"/>
  <c r="N50" i="69" s="1"/>
  <c r="N57" i="69" s="1"/>
  <c r="K23" i="67"/>
  <c r="K24" i="67" s="1"/>
  <c r="K31" i="67" s="1"/>
  <c r="K36" i="108"/>
  <c r="K37" i="108" s="1"/>
  <c r="K44" i="108" s="1"/>
  <c r="N57" i="46"/>
  <c r="N68" i="36"/>
  <c r="N69" i="36" s="1"/>
  <c r="N82" i="36" s="1"/>
  <c r="N68" i="111"/>
  <c r="N69" i="111" s="1"/>
  <c r="N82" i="111" s="1"/>
  <c r="K48" i="63"/>
  <c r="K49" i="63" s="1"/>
  <c r="K50" i="63" s="1"/>
  <c r="K57" i="63" s="1"/>
  <c r="K83" i="63" s="1"/>
  <c r="N49" i="63"/>
  <c r="N50" i="63" s="1"/>
  <c r="N57" i="63" s="1"/>
  <c r="N83" i="63" s="1"/>
  <c r="N48" i="64"/>
  <c r="K58" i="104"/>
  <c r="K68" i="104" s="1"/>
  <c r="K69" i="104" s="1"/>
  <c r="K82" i="104" s="1"/>
  <c r="N68" i="104"/>
  <c r="N69" i="104" s="1"/>
  <c r="N82" i="104" s="1"/>
  <c r="K58" i="42"/>
  <c r="K68" i="42" s="1"/>
  <c r="K69" i="42" s="1"/>
  <c r="K82" i="42" s="1"/>
  <c r="N68" i="42"/>
  <c r="N69" i="42" s="1"/>
  <c r="N82" i="42" s="1"/>
  <c r="K48" i="80"/>
  <c r="K49" i="80" s="1"/>
  <c r="K50" i="80" s="1"/>
  <c r="K57" i="80" s="1"/>
  <c r="K83" i="80" s="1"/>
  <c r="N49" i="80"/>
  <c r="N50" i="80" s="1"/>
  <c r="N57" i="80" s="1"/>
  <c r="N83" i="80" s="1"/>
  <c r="N48" i="57"/>
  <c r="K48" i="32"/>
  <c r="K49" i="32" s="1"/>
  <c r="K50" i="32" s="1"/>
  <c r="K57" i="32" s="1"/>
  <c r="K83" i="32" s="1"/>
  <c r="N49" i="32"/>
  <c r="N50" i="32" s="1"/>
  <c r="N57" i="32" s="1"/>
  <c r="N83" i="32" s="1"/>
  <c r="N11" i="49"/>
  <c r="N12" i="49" s="1"/>
  <c r="N18" i="49" s="1"/>
  <c r="N68" i="57"/>
  <c r="N69" i="57" s="1"/>
  <c r="N82" i="57" s="1"/>
  <c r="N48" i="104"/>
  <c r="K122" i="124"/>
  <c r="K122" i="127" s="1"/>
  <c r="L122" i="124"/>
  <c r="L122" i="127" s="1"/>
  <c r="J122" i="124"/>
  <c r="K57" i="21"/>
  <c r="K36" i="52"/>
  <c r="K37" i="52" s="1"/>
  <c r="K44" i="52" s="1"/>
  <c r="K58" i="22"/>
  <c r="K68" i="22" s="1"/>
  <c r="K69" i="22" s="1"/>
  <c r="K82" i="22" s="1"/>
  <c r="N68" i="22"/>
  <c r="N69" i="22" s="1"/>
  <c r="N82" i="22" s="1"/>
  <c r="K23" i="94"/>
  <c r="K24" i="94" s="1"/>
  <c r="K31" i="94" s="1"/>
  <c r="K11" i="62"/>
  <c r="K12" i="62" s="1"/>
  <c r="K18" i="62" s="1"/>
  <c r="N11" i="36"/>
  <c r="N12" i="36" s="1"/>
  <c r="N18" i="36" s="1"/>
  <c r="N23" i="42"/>
  <c r="N24" i="42" s="1"/>
  <c r="N31" i="42" s="1"/>
  <c r="N23" i="64"/>
  <c r="N24" i="64" s="1"/>
  <c r="N31" i="64" s="1"/>
  <c r="N36" i="104"/>
  <c r="N37" i="104" s="1"/>
  <c r="N44" i="104" s="1"/>
  <c r="K36" i="67"/>
  <c r="K37" i="67" s="1"/>
  <c r="K44" i="67" s="1"/>
  <c r="K11" i="38"/>
  <c r="K12" i="38" s="1"/>
  <c r="K18" i="38" s="1"/>
  <c r="K82" i="53"/>
  <c r="K48" i="88"/>
  <c r="K49" i="88" s="1"/>
  <c r="K50" i="88" s="1"/>
  <c r="K57" i="88" s="1"/>
  <c r="K83" i="88" s="1"/>
  <c r="N49" i="88"/>
  <c r="N50" i="88" s="1"/>
  <c r="N57" i="88" s="1"/>
  <c r="K48" i="81"/>
  <c r="K49" i="81" s="1"/>
  <c r="K50" i="81" s="1"/>
  <c r="K57" i="81" s="1"/>
  <c r="K83" i="81" s="1"/>
  <c r="N49" i="81"/>
  <c r="N50" i="81" s="1"/>
  <c r="N57" i="81" s="1"/>
  <c r="N83" i="81" s="1"/>
  <c r="K48" i="58"/>
  <c r="K49" i="58" s="1"/>
  <c r="K50" i="58" s="1"/>
  <c r="K57" i="58" s="1"/>
  <c r="K83" i="58" s="1"/>
  <c r="N49" i="58"/>
  <c r="N50" i="58" s="1"/>
  <c r="N57" i="58" s="1"/>
  <c r="K36" i="21"/>
  <c r="K37" i="21" s="1"/>
  <c r="K44" i="21" s="1"/>
  <c r="N11" i="64"/>
  <c r="N12" i="64" s="1"/>
  <c r="N18" i="64" s="1"/>
  <c r="K23" i="52"/>
  <c r="K24" i="52" s="1"/>
  <c r="K31" i="52" s="1"/>
  <c r="N23" i="38"/>
  <c r="N24" i="38" s="1"/>
  <c r="N31" i="38" s="1"/>
  <c r="N23" i="104"/>
  <c r="N24" i="104" s="1"/>
  <c r="N31" i="104" s="1"/>
  <c r="K48" i="18"/>
  <c r="K49" i="18" s="1"/>
  <c r="K50" i="18" s="1"/>
  <c r="K57" i="18" s="1"/>
  <c r="K83" i="18" s="1"/>
  <c r="N49" i="18"/>
  <c r="N50" i="18" s="1"/>
  <c r="N57" i="18" s="1"/>
  <c r="N83" i="18" s="1"/>
  <c r="N83" i="66"/>
  <c r="K11" i="118"/>
  <c r="K11" i="17"/>
  <c r="K12" i="17" s="1"/>
  <c r="K18" i="17" s="1"/>
  <c r="K48" i="98"/>
  <c r="K49" i="98" s="1"/>
  <c r="K50" i="98" s="1"/>
  <c r="K57" i="98" s="1"/>
  <c r="K83" i="98" s="1"/>
  <c r="N49" i="98"/>
  <c r="N50" i="98" s="1"/>
  <c r="N57" i="98" s="1"/>
  <c r="N83" i="98" s="1"/>
  <c r="N48" i="16"/>
  <c r="K23" i="111"/>
  <c r="K24" i="111" s="1"/>
  <c r="K31" i="111" s="1"/>
  <c r="N23" i="99"/>
  <c r="N24" i="99" s="1"/>
  <c r="N31" i="99" s="1"/>
  <c r="N36" i="91"/>
  <c r="N37" i="91" s="1"/>
  <c r="N44" i="91" s="1"/>
  <c r="N36" i="106"/>
  <c r="N37" i="106" s="1"/>
  <c r="N44" i="106" s="1"/>
  <c r="N36" i="64"/>
  <c r="N37" i="64" s="1"/>
  <c r="N44" i="64" s="1"/>
  <c r="K68" i="36"/>
  <c r="K69" i="36" s="1"/>
  <c r="K82" i="36" s="1"/>
  <c r="N68" i="72"/>
  <c r="N69" i="72" s="1"/>
  <c r="N82" i="72" s="1"/>
  <c r="K68" i="111"/>
  <c r="K69" i="111" s="1"/>
  <c r="K82" i="111" s="1"/>
  <c r="N115" i="127" l="1"/>
  <c r="K48" i="38"/>
  <c r="K49" i="38" s="1"/>
  <c r="K50" i="38" s="1"/>
  <c r="K57" i="38" s="1"/>
  <c r="N49" i="38"/>
  <c r="N50" i="38" s="1"/>
  <c r="N57" i="38" s="1"/>
  <c r="N49" i="97"/>
  <c r="N50" i="97" s="1"/>
  <c r="N57" i="97" s="1"/>
  <c r="N83" i="39"/>
  <c r="K83" i="77"/>
  <c r="N83" i="97"/>
  <c r="N83" i="88"/>
  <c r="K83" i="97"/>
  <c r="K83" i="76"/>
  <c r="N83" i="69"/>
  <c r="N83" i="105"/>
  <c r="K83" i="105"/>
  <c r="K83" i="69"/>
  <c r="N83" i="34"/>
  <c r="K83" i="46"/>
  <c r="N83" i="58"/>
  <c r="N83" i="46"/>
  <c r="K83" i="31"/>
  <c r="N83" i="21"/>
  <c r="K83" i="27"/>
  <c r="N83" i="31"/>
  <c r="N83" i="27"/>
  <c r="K95" i="118"/>
  <c r="K96" i="118" s="1"/>
  <c r="N83" i="101"/>
  <c r="K48" i="89"/>
  <c r="K49" i="89" s="1"/>
  <c r="K50" i="89" s="1"/>
  <c r="K57" i="89" s="1"/>
  <c r="K83" i="89" s="1"/>
  <c r="N49" i="89"/>
  <c r="N50" i="89" s="1"/>
  <c r="N57" i="89" s="1"/>
  <c r="N83" i="89" s="1"/>
  <c r="N83" i="20"/>
  <c r="K48" i="103"/>
  <c r="K49" i="103" s="1"/>
  <c r="K50" i="103" s="1"/>
  <c r="K57" i="103" s="1"/>
  <c r="K83" i="103" s="1"/>
  <c r="N49" i="103"/>
  <c r="N50" i="103" s="1"/>
  <c r="N57" i="103" s="1"/>
  <c r="N83" i="103" s="1"/>
  <c r="K83" i="53"/>
  <c r="N83" i="53"/>
  <c r="M19" i="124"/>
  <c r="M19" i="127" s="1"/>
  <c r="J19" i="127"/>
  <c r="M122" i="124"/>
  <c r="M122" i="127" s="1"/>
  <c r="J122" i="127"/>
  <c r="M65" i="124"/>
  <c r="M65" i="127" s="1"/>
  <c r="N65" i="127" s="1"/>
  <c r="N40" i="127"/>
  <c r="M18" i="124"/>
  <c r="M18" i="127" s="1"/>
  <c r="L18" i="127"/>
  <c r="M41" i="124"/>
  <c r="M41" i="127" s="1"/>
  <c r="J41" i="127"/>
  <c r="M64" i="124"/>
  <c r="M64" i="127" s="1"/>
  <c r="J64" i="127"/>
  <c r="N63" i="127"/>
  <c r="N88" i="127"/>
  <c r="N11" i="118"/>
  <c r="K16" i="118"/>
  <c r="K17" i="118" s="1"/>
  <c r="K28" i="118" s="1"/>
  <c r="K48" i="111"/>
  <c r="K49" i="111" s="1"/>
  <c r="K50" i="111" s="1"/>
  <c r="K57" i="111" s="1"/>
  <c r="K83" i="111" s="1"/>
  <c r="N49" i="111"/>
  <c r="N50" i="111" s="1"/>
  <c r="N57" i="111" s="1"/>
  <c r="N83" i="111" s="1"/>
  <c r="K48" i="16"/>
  <c r="K49" i="16" s="1"/>
  <c r="K50" i="16" s="1"/>
  <c r="K57" i="16" s="1"/>
  <c r="K83" i="16" s="1"/>
  <c r="N49" i="16"/>
  <c r="N50" i="16" s="1"/>
  <c r="N57" i="16" s="1"/>
  <c r="N83" i="16" s="1"/>
  <c r="K48" i="104"/>
  <c r="K49" i="104" s="1"/>
  <c r="K50" i="104" s="1"/>
  <c r="K57" i="104" s="1"/>
  <c r="K83" i="104" s="1"/>
  <c r="N49" i="104"/>
  <c r="N50" i="104" s="1"/>
  <c r="N57" i="104" s="1"/>
  <c r="N83" i="104" s="1"/>
  <c r="K48" i="99"/>
  <c r="K49" i="99" s="1"/>
  <c r="K50" i="99" s="1"/>
  <c r="K57" i="99" s="1"/>
  <c r="K83" i="99" s="1"/>
  <c r="N49" i="99"/>
  <c r="N50" i="99" s="1"/>
  <c r="N57" i="99" s="1"/>
  <c r="N83" i="99" s="1"/>
  <c r="K83" i="21"/>
  <c r="J53" i="124"/>
  <c r="J53" i="127" s="1"/>
  <c r="L53" i="124"/>
  <c r="L53" i="127" s="1"/>
  <c r="K53" i="124"/>
  <c r="K53" i="127" s="1"/>
  <c r="N39" i="124"/>
  <c r="N49" i="118"/>
  <c r="N50" i="118" s="1"/>
  <c r="K48" i="67"/>
  <c r="K49" i="67" s="1"/>
  <c r="K50" i="67" s="1"/>
  <c r="K57" i="67" s="1"/>
  <c r="K83" i="67" s="1"/>
  <c r="N49" i="67"/>
  <c r="N50" i="67" s="1"/>
  <c r="N57" i="67" s="1"/>
  <c r="N83" i="67" s="1"/>
  <c r="J52" i="124"/>
  <c r="L52" i="124"/>
  <c r="L52" i="127" s="1"/>
  <c r="K52" i="124"/>
  <c r="K52" i="127" s="1"/>
  <c r="N30" i="124"/>
  <c r="K48" i="68"/>
  <c r="K49" i="68" s="1"/>
  <c r="K50" i="68" s="1"/>
  <c r="K57" i="68" s="1"/>
  <c r="K83" i="68" s="1"/>
  <c r="N49" i="68"/>
  <c r="N50" i="68" s="1"/>
  <c r="N57" i="68" s="1"/>
  <c r="N83" i="68" s="1"/>
  <c r="K48" i="94"/>
  <c r="K49" i="94" s="1"/>
  <c r="K50" i="94" s="1"/>
  <c r="K57" i="94" s="1"/>
  <c r="K83" i="94" s="1"/>
  <c r="N49" i="94"/>
  <c r="N50" i="94" s="1"/>
  <c r="N57" i="94" s="1"/>
  <c r="N83" i="94" s="1"/>
  <c r="K48" i="65"/>
  <c r="K49" i="65" s="1"/>
  <c r="K50" i="65" s="1"/>
  <c r="K57" i="65" s="1"/>
  <c r="K83" i="65" s="1"/>
  <c r="N49" i="65"/>
  <c r="N50" i="65" s="1"/>
  <c r="N57" i="65" s="1"/>
  <c r="N83" i="65" s="1"/>
  <c r="J96" i="124"/>
  <c r="L96" i="124"/>
  <c r="L96" i="127" s="1"/>
  <c r="K96" i="124"/>
  <c r="K96" i="127" s="1"/>
  <c r="K48" i="42"/>
  <c r="K49" i="42" s="1"/>
  <c r="K50" i="42" s="1"/>
  <c r="K57" i="42" s="1"/>
  <c r="K83" i="42" s="1"/>
  <c r="N49" i="42"/>
  <c r="N50" i="42" s="1"/>
  <c r="N57" i="42" s="1"/>
  <c r="N83" i="42" s="1"/>
  <c r="N55" i="118"/>
  <c r="K61" i="118"/>
  <c r="K62" i="118" s="1"/>
  <c r="K74" i="118" s="1"/>
  <c r="N78" i="118"/>
  <c r="K48" i="61"/>
  <c r="K49" i="61" s="1"/>
  <c r="K50" i="61" s="1"/>
  <c r="K57" i="61" s="1"/>
  <c r="K83" i="61" s="1"/>
  <c r="N49" i="61"/>
  <c r="N50" i="61" s="1"/>
  <c r="N57" i="61" s="1"/>
  <c r="N83" i="61" s="1"/>
  <c r="N89" i="124"/>
  <c r="K48" i="43"/>
  <c r="K49" i="43" s="1"/>
  <c r="K50" i="43" s="1"/>
  <c r="K57" i="43" s="1"/>
  <c r="K83" i="43" s="1"/>
  <c r="N49" i="43"/>
  <c r="N50" i="43" s="1"/>
  <c r="N57" i="43" s="1"/>
  <c r="N83" i="43" s="1"/>
  <c r="K48" i="57"/>
  <c r="K49" i="57" s="1"/>
  <c r="K50" i="57" s="1"/>
  <c r="K57" i="57" s="1"/>
  <c r="K83" i="57" s="1"/>
  <c r="N49" i="57"/>
  <c r="N50" i="57" s="1"/>
  <c r="N57" i="57" s="1"/>
  <c r="N83" i="57" s="1"/>
  <c r="K48" i="22"/>
  <c r="K49" i="22" s="1"/>
  <c r="K50" i="22" s="1"/>
  <c r="K57" i="22" s="1"/>
  <c r="K83" i="22" s="1"/>
  <c r="N49" i="22"/>
  <c r="N50" i="22" s="1"/>
  <c r="N57" i="22" s="1"/>
  <c r="N83" i="22" s="1"/>
  <c r="K48" i="47"/>
  <c r="K49" i="47" s="1"/>
  <c r="K50" i="47" s="1"/>
  <c r="K57" i="47" s="1"/>
  <c r="K83" i="47" s="1"/>
  <c r="N49" i="47"/>
  <c r="N50" i="47" s="1"/>
  <c r="N57" i="47" s="1"/>
  <c r="N83" i="47" s="1"/>
  <c r="K48" i="72"/>
  <c r="K49" i="72" s="1"/>
  <c r="K50" i="72" s="1"/>
  <c r="K57" i="72" s="1"/>
  <c r="K83" i="72" s="1"/>
  <c r="N49" i="72"/>
  <c r="N50" i="72" s="1"/>
  <c r="N57" i="72" s="1"/>
  <c r="N83" i="72" s="1"/>
  <c r="K48" i="106"/>
  <c r="K49" i="106" s="1"/>
  <c r="K50" i="106" s="1"/>
  <c r="K57" i="106" s="1"/>
  <c r="K83" i="106" s="1"/>
  <c r="N49" i="106"/>
  <c r="N50" i="106" s="1"/>
  <c r="N57" i="106" s="1"/>
  <c r="N83" i="106" s="1"/>
  <c r="L103" i="124"/>
  <c r="L103" i="127" s="1"/>
  <c r="K103" i="124"/>
  <c r="J103" i="124"/>
  <c r="J103" i="127" s="1"/>
  <c r="L102" i="124"/>
  <c r="L102" i="127" s="1"/>
  <c r="K102" i="124"/>
  <c r="J102" i="124"/>
  <c r="J102" i="127" s="1"/>
  <c r="L8" i="124"/>
  <c r="L8" i="127" s="1"/>
  <c r="J8" i="124"/>
  <c r="K8" i="124"/>
  <c r="K8" i="127" s="1"/>
  <c r="K48" i="95"/>
  <c r="K49" i="95" s="1"/>
  <c r="K50" i="95" s="1"/>
  <c r="K57" i="95" s="1"/>
  <c r="K83" i="95" s="1"/>
  <c r="N49" i="95"/>
  <c r="N50" i="95" s="1"/>
  <c r="N57" i="95" s="1"/>
  <c r="N83" i="95" s="1"/>
  <c r="K48" i="49"/>
  <c r="K49" i="49" s="1"/>
  <c r="K50" i="49" s="1"/>
  <c r="K57" i="49" s="1"/>
  <c r="K83" i="49" s="1"/>
  <c r="N49" i="49"/>
  <c r="N50" i="49" s="1"/>
  <c r="N57" i="49" s="1"/>
  <c r="N83" i="49" s="1"/>
  <c r="K48" i="17"/>
  <c r="N49" i="17"/>
  <c r="N50" i="17" s="1"/>
  <c r="N57" i="17" s="1"/>
  <c r="N83" i="17" s="1"/>
  <c r="K48" i="92"/>
  <c r="K49" i="92" s="1"/>
  <c r="K50" i="92" s="1"/>
  <c r="K57" i="92" s="1"/>
  <c r="K83" i="92" s="1"/>
  <c r="N49" i="92"/>
  <c r="N50" i="92" s="1"/>
  <c r="N57" i="92" s="1"/>
  <c r="N83" i="92" s="1"/>
  <c r="K48" i="24"/>
  <c r="K49" i="24" s="1"/>
  <c r="K50" i="24" s="1"/>
  <c r="K57" i="24" s="1"/>
  <c r="K83" i="24" s="1"/>
  <c r="N49" i="24"/>
  <c r="N50" i="24" s="1"/>
  <c r="N57" i="24" s="1"/>
  <c r="N83" i="24" s="1"/>
  <c r="K48" i="52"/>
  <c r="K49" i="52" s="1"/>
  <c r="K50" i="52" s="1"/>
  <c r="K57" i="52" s="1"/>
  <c r="K83" i="52" s="1"/>
  <c r="N49" i="52"/>
  <c r="N50" i="52" s="1"/>
  <c r="N57" i="52" s="1"/>
  <c r="N83" i="52" s="1"/>
  <c r="L104" i="124"/>
  <c r="L104" i="127" s="1"/>
  <c r="J104" i="124"/>
  <c r="K104" i="124"/>
  <c r="K104" i="127" s="1"/>
  <c r="K48" i="35"/>
  <c r="K49" i="35" s="1"/>
  <c r="K50" i="35" s="1"/>
  <c r="K57" i="35" s="1"/>
  <c r="K83" i="35" s="1"/>
  <c r="N49" i="35"/>
  <c r="N50" i="35" s="1"/>
  <c r="N57" i="35" s="1"/>
  <c r="N83" i="35" s="1"/>
  <c r="N116" i="118"/>
  <c r="K130" i="118"/>
  <c r="K131" i="118" s="1"/>
  <c r="K48" i="36"/>
  <c r="K49" i="36" s="1"/>
  <c r="K50" i="36" s="1"/>
  <c r="K57" i="36" s="1"/>
  <c r="K83" i="36" s="1"/>
  <c r="N49" i="36"/>
  <c r="N50" i="36" s="1"/>
  <c r="N57" i="36" s="1"/>
  <c r="N83" i="36" s="1"/>
  <c r="K48" i="85"/>
  <c r="K49" i="85" s="1"/>
  <c r="K50" i="85" s="1"/>
  <c r="K57" i="85" s="1"/>
  <c r="K83" i="85" s="1"/>
  <c r="N49" i="85"/>
  <c r="N50" i="85" s="1"/>
  <c r="N57" i="85" s="1"/>
  <c r="N83" i="85" s="1"/>
  <c r="K48" i="51"/>
  <c r="K49" i="51" s="1"/>
  <c r="K50" i="51" s="1"/>
  <c r="K57" i="51" s="1"/>
  <c r="K83" i="51" s="1"/>
  <c r="N49" i="51"/>
  <c r="N50" i="51" s="1"/>
  <c r="N57" i="51" s="1"/>
  <c r="N83" i="51" s="1"/>
  <c r="K83" i="38"/>
  <c r="K48" i="62"/>
  <c r="K49" i="62" s="1"/>
  <c r="K50" i="62" s="1"/>
  <c r="K57" i="62" s="1"/>
  <c r="K83" i="62" s="1"/>
  <c r="N49" i="62"/>
  <c r="N50" i="62" s="1"/>
  <c r="N57" i="62" s="1"/>
  <c r="N83" i="62" s="1"/>
  <c r="N83" i="38"/>
  <c r="K48" i="64"/>
  <c r="K49" i="64" s="1"/>
  <c r="K50" i="64" s="1"/>
  <c r="K57" i="64" s="1"/>
  <c r="K83" i="64" s="1"/>
  <c r="N49" i="64"/>
  <c r="N50" i="64" s="1"/>
  <c r="N57" i="64" s="1"/>
  <c r="N83" i="64" s="1"/>
  <c r="K101" i="124"/>
  <c r="K101" i="127" s="1"/>
  <c r="L101" i="124"/>
  <c r="L101" i="127" s="1"/>
  <c r="J101" i="124"/>
  <c r="J100" i="124"/>
  <c r="L100" i="124"/>
  <c r="L100" i="127" s="1"/>
  <c r="K100" i="124"/>
  <c r="K100" i="127" s="1"/>
  <c r="K48" i="74"/>
  <c r="K49" i="74" s="1"/>
  <c r="K50" i="74" s="1"/>
  <c r="K57" i="74" s="1"/>
  <c r="K83" i="74" s="1"/>
  <c r="N49" i="74"/>
  <c r="N50" i="74" s="1"/>
  <c r="N57" i="74" s="1"/>
  <c r="N83" i="74" s="1"/>
  <c r="K48" i="30"/>
  <c r="K49" i="30" s="1"/>
  <c r="K50" i="30" s="1"/>
  <c r="K57" i="30" s="1"/>
  <c r="K83" i="30" s="1"/>
  <c r="N49" i="30"/>
  <c r="N50" i="30" s="1"/>
  <c r="N57" i="30" s="1"/>
  <c r="N83" i="30" s="1"/>
  <c r="N26" i="118"/>
  <c r="N27" i="118" s="1"/>
  <c r="N17" i="124"/>
  <c r="L54" i="124"/>
  <c r="L54" i="127" s="1"/>
  <c r="K54" i="124"/>
  <c r="K54" i="127" s="1"/>
  <c r="J54" i="124"/>
  <c r="K68" i="17"/>
  <c r="K69" i="17" s="1"/>
  <c r="K82" i="17" s="1"/>
  <c r="K99" i="118"/>
  <c r="L98" i="124"/>
  <c r="L98" i="127" s="1"/>
  <c r="J98" i="124"/>
  <c r="J98" i="127" s="1"/>
  <c r="K98" i="124"/>
  <c r="K48" i="44"/>
  <c r="K49" i="44" s="1"/>
  <c r="K50" i="44" s="1"/>
  <c r="K57" i="44" s="1"/>
  <c r="K83" i="44" s="1"/>
  <c r="N49" i="44"/>
  <c r="N50" i="44" s="1"/>
  <c r="N57" i="44" s="1"/>
  <c r="N83" i="44" s="1"/>
  <c r="K48" i="26"/>
  <c r="K49" i="26" s="1"/>
  <c r="K50" i="26" s="1"/>
  <c r="K57" i="26" s="1"/>
  <c r="K83" i="26" s="1"/>
  <c r="N49" i="26"/>
  <c r="N50" i="26" s="1"/>
  <c r="N57" i="26" s="1"/>
  <c r="N83" i="26" s="1"/>
  <c r="N32" i="118"/>
  <c r="K38" i="118"/>
  <c r="K39" i="118" s="1"/>
  <c r="K51" i="118" s="1"/>
  <c r="J116" i="124"/>
  <c r="L116" i="124"/>
  <c r="L116" i="127" s="1"/>
  <c r="K116" i="124"/>
  <c r="K116" i="127" s="1"/>
  <c r="K48" i="96"/>
  <c r="K49" i="96" s="1"/>
  <c r="K50" i="96" s="1"/>
  <c r="K57" i="96" s="1"/>
  <c r="K83" i="96" s="1"/>
  <c r="N49" i="96"/>
  <c r="N50" i="96" s="1"/>
  <c r="N57" i="96" s="1"/>
  <c r="N83" i="96" s="1"/>
  <c r="N105" i="124"/>
  <c r="L77" i="124"/>
  <c r="L77" i="127" s="1"/>
  <c r="K77" i="124"/>
  <c r="J77" i="124"/>
  <c r="J77" i="127" s="1"/>
  <c r="K48" i="19"/>
  <c r="K49" i="19" s="1"/>
  <c r="K50" i="19" s="1"/>
  <c r="K57" i="19" s="1"/>
  <c r="K83" i="19" s="1"/>
  <c r="N49" i="19"/>
  <c r="N50" i="19" s="1"/>
  <c r="N57" i="19" s="1"/>
  <c r="N83" i="19" s="1"/>
  <c r="N72" i="118"/>
  <c r="N73" i="118" s="1"/>
  <c r="N62" i="124"/>
  <c r="K48" i="108"/>
  <c r="K49" i="108" s="1"/>
  <c r="K50" i="108" s="1"/>
  <c r="K57" i="108" s="1"/>
  <c r="K83" i="108" s="1"/>
  <c r="N49" i="108"/>
  <c r="N50" i="108" s="1"/>
  <c r="N57" i="108" s="1"/>
  <c r="N83" i="108" s="1"/>
  <c r="L29" i="124"/>
  <c r="L29" i="127" s="1"/>
  <c r="J29" i="124"/>
  <c r="J29" i="127" s="1"/>
  <c r="K29" i="124"/>
  <c r="K29" i="127" s="1"/>
  <c r="K48" i="91"/>
  <c r="K49" i="91" s="1"/>
  <c r="K50" i="91" s="1"/>
  <c r="K57" i="91" s="1"/>
  <c r="K83" i="91" s="1"/>
  <c r="N49" i="91"/>
  <c r="N50" i="91" s="1"/>
  <c r="N57" i="91" s="1"/>
  <c r="N83" i="91" s="1"/>
  <c r="K48" i="56"/>
  <c r="K49" i="56" s="1"/>
  <c r="K50" i="56" s="1"/>
  <c r="K57" i="56" s="1"/>
  <c r="K83" i="56" s="1"/>
  <c r="N49" i="56"/>
  <c r="N50" i="56" s="1"/>
  <c r="N57" i="56" s="1"/>
  <c r="N83" i="56" s="1"/>
  <c r="J9" i="124"/>
  <c r="L9" i="124"/>
  <c r="L9" i="127" s="1"/>
  <c r="K9" i="124"/>
  <c r="K9" i="127" s="1"/>
  <c r="J76" i="124"/>
  <c r="L76" i="124"/>
  <c r="L76" i="127" s="1"/>
  <c r="K76" i="124"/>
  <c r="K76" i="127" s="1"/>
  <c r="K48" i="59"/>
  <c r="K49" i="59" s="1"/>
  <c r="K50" i="59" s="1"/>
  <c r="K57" i="59" s="1"/>
  <c r="K83" i="59" s="1"/>
  <c r="N49" i="59"/>
  <c r="N50" i="59" s="1"/>
  <c r="N57" i="59" s="1"/>
  <c r="N83" i="59" s="1"/>
  <c r="N85" i="124"/>
  <c r="N95" i="118"/>
  <c r="N96" i="118" s="1"/>
  <c r="J99" i="124"/>
  <c r="L99" i="124"/>
  <c r="L99" i="127" s="1"/>
  <c r="K99" i="124"/>
  <c r="K99" i="127" s="1"/>
  <c r="N18" i="127" l="1"/>
  <c r="M100" i="124"/>
  <c r="M100" i="127" s="1"/>
  <c r="J100" i="127"/>
  <c r="M77" i="124"/>
  <c r="M77" i="127" s="1"/>
  <c r="K77" i="127"/>
  <c r="M116" i="124"/>
  <c r="M116" i="127" s="1"/>
  <c r="J116" i="127"/>
  <c r="M101" i="124"/>
  <c r="M101" i="127" s="1"/>
  <c r="J101" i="127"/>
  <c r="M53" i="124"/>
  <c r="M53" i="127" s="1"/>
  <c r="N53" i="127" s="1"/>
  <c r="M98" i="124"/>
  <c r="M98" i="127" s="1"/>
  <c r="K98" i="127"/>
  <c r="N98" i="127" s="1"/>
  <c r="M104" i="124"/>
  <c r="M104" i="127" s="1"/>
  <c r="J104" i="127"/>
  <c r="N64" i="127"/>
  <c r="M103" i="124"/>
  <c r="M103" i="127" s="1"/>
  <c r="K103" i="127"/>
  <c r="N103" i="127" s="1"/>
  <c r="M99" i="124"/>
  <c r="M99" i="127" s="1"/>
  <c r="J99" i="127"/>
  <c r="M8" i="124"/>
  <c r="M8" i="127" s="1"/>
  <c r="J8" i="127"/>
  <c r="M52" i="124"/>
  <c r="M52" i="127" s="1"/>
  <c r="J52" i="127"/>
  <c r="M96" i="124"/>
  <c r="M96" i="127" s="1"/>
  <c r="J96" i="127"/>
  <c r="N96" i="127" s="1"/>
  <c r="M76" i="124"/>
  <c r="M76" i="127" s="1"/>
  <c r="J76" i="127"/>
  <c r="M29" i="124"/>
  <c r="M29" i="127" s="1"/>
  <c r="N29" i="127" s="1"/>
  <c r="M54" i="124"/>
  <c r="M54" i="127" s="1"/>
  <c r="J54" i="127"/>
  <c r="N41" i="127"/>
  <c r="N122" i="127"/>
  <c r="M9" i="124"/>
  <c r="M9" i="127" s="1"/>
  <c r="J9" i="127"/>
  <c r="M102" i="124"/>
  <c r="M102" i="127" s="1"/>
  <c r="K102" i="127"/>
  <c r="N102" i="127" s="1"/>
  <c r="N19" i="127"/>
  <c r="J39" i="124"/>
  <c r="L39" i="124"/>
  <c r="N45" i="124"/>
  <c r="N46" i="124" s="1"/>
  <c r="K39" i="124"/>
  <c r="K105" i="124"/>
  <c r="K105" i="127" s="1"/>
  <c r="J105" i="124"/>
  <c r="L105" i="124"/>
  <c r="L105" i="127" s="1"/>
  <c r="K113" i="118"/>
  <c r="K114" i="118" s="1"/>
  <c r="K132" i="118" s="1"/>
  <c r="N99" i="118"/>
  <c r="N74" i="124"/>
  <c r="N38" i="118"/>
  <c r="N39" i="118" s="1"/>
  <c r="N51" i="118" s="1"/>
  <c r="N28" i="124"/>
  <c r="N130" i="118"/>
  <c r="N131" i="118" s="1"/>
  <c r="N112" i="124"/>
  <c r="K82" i="118"/>
  <c r="K49" i="17"/>
  <c r="K50" i="17" s="1"/>
  <c r="K57" i="17" s="1"/>
  <c r="K83" i="17" s="1"/>
  <c r="L85" i="124"/>
  <c r="L85" i="127" s="1"/>
  <c r="K85" i="124"/>
  <c r="J85" i="124"/>
  <c r="J85" i="127" s="1"/>
  <c r="J91" i="127" s="1"/>
  <c r="J92" i="127" s="1"/>
  <c r="N91" i="124"/>
  <c r="N92" i="124" s="1"/>
  <c r="N61" i="118"/>
  <c r="N62" i="118" s="1"/>
  <c r="N74" i="118" s="1"/>
  <c r="N51" i="124"/>
  <c r="L30" i="124"/>
  <c r="L30" i="127" s="1"/>
  <c r="K30" i="124"/>
  <c r="K30" i="127" s="1"/>
  <c r="J30" i="124"/>
  <c r="N7" i="124"/>
  <c r="N16" i="118"/>
  <c r="N17" i="118" s="1"/>
  <c r="N28" i="118" s="1"/>
  <c r="L17" i="124"/>
  <c r="K17" i="124"/>
  <c r="J17" i="124"/>
  <c r="N22" i="124"/>
  <c r="N23" i="124" s="1"/>
  <c r="J62" i="124"/>
  <c r="K62" i="124"/>
  <c r="L62" i="124"/>
  <c r="N68" i="124"/>
  <c r="N69" i="124" s="1"/>
  <c r="K89" i="124"/>
  <c r="K89" i="127" s="1"/>
  <c r="J89" i="124"/>
  <c r="J89" i="127" s="1"/>
  <c r="L89" i="124"/>
  <c r="N77" i="127" l="1"/>
  <c r="N52" i="127"/>
  <c r="M89" i="124"/>
  <c r="M89" i="127" s="1"/>
  <c r="M17" i="124"/>
  <c r="N54" i="127"/>
  <c r="N104" i="127"/>
  <c r="N8" i="127"/>
  <c r="J22" i="124"/>
  <c r="J23" i="124" s="1"/>
  <c r="J17" i="127"/>
  <c r="M85" i="124"/>
  <c r="M85" i="127" s="1"/>
  <c r="M91" i="127" s="1"/>
  <c r="M92" i="127" s="1"/>
  <c r="K85" i="127"/>
  <c r="K91" i="127" s="1"/>
  <c r="K92" i="127" s="1"/>
  <c r="M105" i="124"/>
  <c r="M105" i="127" s="1"/>
  <c r="J105" i="127"/>
  <c r="N101" i="127"/>
  <c r="L91" i="124"/>
  <c r="L92" i="124" s="1"/>
  <c r="L89" i="127"/>
  <c r="L91" i="127" s="1"/>
  <c r="L92" i="127" s="1"/>
  <c r="M30" i="124"/>
  <c r="M30" i="127" s="1"/>
  <c r="J30" i="127"/>
  <c r="K45" i="124"/>
  <c r="K46" i="124" s="1"/>
  <c r="K39" i="127"/>
  <c r="K45" i="127" s="1"/>
  <c r="K46" i="127" s="1"/>
  <c r="N9" i="127"/>
  <c r="N76" i="127"/>
  <c r="N116" i="127"/>
  <c r="M22" i="124"/>
  <c r="M23" i="124" s="1"/>
  <c r="M17" i="127"/>
  <c r="M22" i="127" s="1"/>
  <c r="M23" i="127" s="1"/>
  <c r="L68" i="124"/>
  <c r="L69" i="124" s="1"/>
  <c r="L62" i="127"/>
  <c r="L68" i="127" s="1"/>
  <c r="L69" i="127" s="1"/>
  <c r="N99" i="127"/>
  <c r="K22" i="124"/>
  <c r="K23" i="124" s="1"/>
  <c r="K17" i="127"/>
  <c r="K22" i="127" s="1"/>
  <c r="K23" i="127" s="1"/>
  <c r="L22" i="124"/>
  <c r="L23" i="124" s="1"/>
  <c r="L17" i="127"/>
  <c r="L22" i="127" s="1"/>
  <c r="L23" i="127" s="1"/>
  <c r="L45" i="124"/>
  <c r="L46" i="124" s="1"/>
  <c r="L39" i="127"/>
  <c r="L45" i="127" s="1"/>
  <c r="L46" i="127" s="1"/>
  <c r="K68" i="124"/>
  <c r="K69" i="124" s="1"/>
  <c r="K62" i="127"/>
  <c r="K68" i="127" s="1"/>
  <c r="K69" i="127" s="1"/>
  <c r="J68" i="124"/>
  <c r="J69" i="124" s="1"/>
  <c r="J62" i="127"/>
  <c r="J45" i="124"/>
  <c r="J46" i="124" s="1"/>
  <c r="J39" i="127"/>
  <c r="N100" i="127"/>
  <c r="K7" i="124"/>
  <c r="L7" i="124"/>
  <c r="J7" i="124"/>
  <c r="N12" i="124"/>
  <c r="N13" i="124" s="1"/>
  <c r="N24" i="124" s="1"/>
  <c r="J51" i="124"/>
  <c r="N57" i="124"/>
  <c r="N58" i="124" s="1"/>
  <c r="N70" i="124" s="1"/>
  <c r="L51" i="124"/>
  <c r="K51" i="124"/>
  <c r="J28" i="124"/>
  <c r="N34" i="124"/>
  <c r="N35" i="124" s="1"/>
  <c r="N47" i="124" s="1"/>
  <c r="L28" i="124"/>
  <c r="K28" i="124"/>
  <c r="K74" i="124"/>
  <c r="K74" i="127" s="1"/>
  <c r="L74" i="124"/>
  <c r="L74" i="127" s="1"/>
  <c r="J74" i="124"/>
  <c r="J74" i="127" s="1"/>
  <c r="N82" i="118"/>
  <c r="K84" i="118"/>
  <c r="K85" i="118" s="1"/>
  <c r="K97" i="118" s="1"/>
  <c r="K133" i="118" s="1"/>
  <c r="N113" i="118"/>
  <c r="N114" i="118" s="1"/>
  <c r="N132" i="118" s="1"/>
  <c r="N95" i="124"/>
  <c r="K112" i="124"/>
  <c r="N126" i="124"/>
  <c r="N127" i="124" s="1"/>
  <c r="J112" i="124"/>
  <c r="L112" i="124"/>
  <c r="K91" i="124"/>
  <c r="K92" i="124" s="1"/>
  <c r="M62" i="124"/>
  <c r="J91" i="124"/>
  <c r="J92" i="124" s="1"/>
  <c r="M39" i="124"/>
  <c r="M7" i="124" l="1"/>
  <c r="M12" i="124" s="1"/>
  <c r="M13" i="124" s="1"/>
  <c r="M24" i="124" s="1"/>
  <c r="M74" i="124"/>
  <c r="M74" i="127" s="1"/>
  <c r="N74" i="127" s="1"/>
  <c r="M91" i="124"/>
  <c r="M92" i="124" s="1"/>
  <c r="N30" i="127"/>
  <c r="J45" i="127"/>
  <c r="J46" i="127" s="1"/>
  <c r="N89" i="127"/>
  <c r="J12" i="124"/>
  <c r="J13" i="124" s="1"/>
  <c r="J24" i="124" s="1"/>
  <c r="J7" i="127"/>
  <c r="J68" i="127"/>
  <c r="J69" i="127" s="1"/>
  <c r="L12" i="124"/>
  <c r="L13" i="124" s="1"/>
  <c r="L24" i="124" s="1"/>
  <c r="L7" i="127"/>
  <c r="L12" i="127" s="1"/>
  <c r="L13" i="127" s="1"/>
  <c r="L24" i="127" s="1"/>
  <c r="N105" i="127"/>
  <c r="M68" i="124"/>
  <c r="M69" i="124" s="1"/>
  <c r="M62" i="127"/>
  <c r="M68" i="127" s="1"/>
  <c r="M69" i="127" s="1"/>
  <c r="K57" i="124"/>
  <c r="K58" i="124" s="1"/>
  <c r="K70" i="124" s="1"/>
  <c r="K51" i="127"/>
  <c r="K57" i="127" s="1"/>
  <c r="K58" i="127" s="1"/>
  <c r="K70" i="127" s="1"/>
  <c r="K12" i="124"/>
  <c r="K13" i="124" s="1"/>
  <c r="K24" i="124" s="1"/>
  <c r="K7" i="127"/>
  <c r="K12" i="127" s="1"/>
  <c r="K13" i="127" s="1"/>
  <c r="K24" i="127" s="1"/>
  <c r="L57" i="124"/>
  <c r="L58" i="124" s="1"/>
  <c r="L70" i="124" s="1"/>
  <c r="L51" i="127"/>
  <c r="L57" i="127" s="1"/>
  <c r="L58" i="127" s="1"/>
  <c r="L70" i="127" s="1"/>
  <c r="N85" i="127"/>
  <c r="L126" i="124"/>
  <c r="L127" i="124" s="1"/>
  <c r="L112" i="127"/>
  <c r="L126" i="127" s="1"/>
  <c r="L127" i="127" s="1"/>
  <c r="K34" i="124"/>
  <c r="K35" i="124" s="1"/>
  <c r="K47" i="124" s="1"/>
  <c r="K28" i="127"/>
  <c r="K34" i="127" s="1"/>
  <c r="K35" i="127" s="1"/>
  <c r="K47" i="127" s="1"/>
  <c r="J57" i="124"/>
  <c r="J58" i="124" s="1"/>
  <c r="J70" i="124" s="1"/>
  <c r="J51" i="127"/>
  <c r="N17" i="127"/>
  <c r="N22" i="127" s="1"/>
  <c r="N23" i="127" s="1"/>
  <c r="J22" i="127"/>
  <c r="J23" i="127" s="1"/>
  <c r="L34" i="124"/>
  <c r="L35" i="124" s="1"/>
  <c r="L47" i="124" s="1"/>
  <c r="L28" i="127"/>
  <c r="L34" i="127" s="1"/>
  <c r="L35" i="127" s="1"/>
  <c r="L47" i="127" s="1"/>
  <c r="J126" i="124"/>
  <c r="J127" i="124" s="1"/>
  <c r="J112" i="127"/>
  <c r="M7" i="127"/>
  <c r="M12" i="127" s="1"/>
  <c r="M13" i="127" s="1"/>
  <c r="M24" i="127" s="1"/>
  <c r="M45" i="124"/>
  <c r="M46" i="124" s="1"/>
  <c r="M39" i="127"/>
  <c r="M45" i="127" s="1"/>
  <c r="M46" i="127" s="1"/>
  <c r="K126" i="124"/>
  <c r="K127" i="124" s="1"/>
  <c r="K112" i="127"/>
  <c r="K126" i="127" s="1"/>
  <c r="K127" i="127" s="1"/>
  <c r="J34" i="124"/>
  <c r="J35" i="124" s="1"/>
  <c r="J47" i="124" s="1"/>
  <c r="J28" i="127"/>
  <c r="N78" i="124"/>
  <c r="N84" i="118"/>
  <c r="N85" i="118" s="1"/>
  <c r="N97" i="118" s="1"/>
  <c r="N133" i="118" s="1"/>
  <c r="K95" i="124"/>
  <c r="L95" i="124"/>
  <c r="N109" i="124"/>
  <c r="N110" i="124" s="1"/>
  <c r="N128" i="124" s="1"/>
  <c r="J95" i="124"/>
  <c r="M51" i="124"/>
  <c r="M112" i="124"/>
  <c r="M28" i="124"/>
  <c r="N91" i="127" l="1"/>
  <c r="N92" i="127" s="1"/>
  <c r="N39" i="127"/>
  <c r="N45" i="127" s="1"/>
  <c r="N46" i="127" s="1"/>
  <c r="M57" i="124"/>
  <c r="M58" i="124" s="1"/>
  <c r="M70" i="124" s="1"/>
  <c r="M51" i="127"/>
  <c r="M57" i="127" s="1"/>
  <c r="M58" i="127" s="1"/>
  <c r="M70" i="127" s="1"/>
  <c r="M34" i="124"/>
  <c r="M35" i="124" s="1"/>
  <c r="M47" i="124" s="1"/>
  <c r="M28" i="127"/>
  <c r="M34" i="127" s="1"/>
  <c r="M35" i="127" s="1"/>
  <c r="M47" i="127" s="1"/>
  <c r="N62" i="127"/>
  <c r="N68" i="127" s="1"/>
  <c r="N69" i="127" s="1"/>
  <c r="M126" i="124"/>
  <c r="M127" i="124" s="1"/>
  <c r="M112" i="127"/>
  <c r="M126" i="127" s="1"/>
  <c r="M127" i="127" s="1"/>
  <c r="J34" i="127"/>
  <c r="J35" i="127" s="1"/>
  <c r="J47" i="127" s="1"/>
  <c r="J109" i="124"/>
  <c r="J110" i="124" s="1"/>
  <c r="J128" i="124" s="1"/>
  <c r="J95" i="127"/>
  <c r="J126" i="127"/>
  <c r="J127" i="127" s="1"/>
  <c r="N7" i="127"/>
  <c r="N12" i="127" s="1"/>
  <c r="N13" i="127" s="1"/>
  <c r="N24" i="127" s="1"/>
  <c r="J12" i="127"/>
  <c r="J13" i="127" s="1"/>
  <c r="J24" i="127" s="1"/>
  <c r="J57" i="127"/>
  <c r="J58" i="127" s="1"/>
  <c r="J70" i="127" s="1"/>
  <c r="L109" i="124"/>
  <c r="L110" i="124" s="1"/>
  <c r="L128" i="124" s="1"/>
  <c r="L95" i="127"/>
  <c r="L109" i="127" s="1"/>
  <c r="L110" i="127" s="1"/>
  <c r="L128" i="127" s="1"/>
  <c r="K109" i="124"/>
  <c r="K110" i="124" s="1"/>
  <c r="K128" i="124" s="1"/>
  <c r="K95" i="127"/>
  <c r="K109" i="127" s="1"/>
  <c r="K110" i="127" s="1"/>
  <c r="K128" i="127" s="1"/>
  <c r="K78" i="124"/>
  <c r="J78" i="124"/>
  <c r="L78" i="124"/>
  <c r="N80" i="124"/>
  <c r="N81" i="124" s="1"/>
  <c r="N93" i="124" s="1"/>
  <c r="N129" i="124" s="1"/>
  <c r="M95" i="124"/>
  <c r="N135" i="118"/>
  <c r="N146" i="118" s="1"/>
  <c r="N131" i="124"/>
  <c r="M78" i="124" l="1"/>
  <c r="M78" i="127" s="1"/>
  <c r="M80" i="127" s="1"/>
  <c r="M81" i="127" s="1"/>
  <c r="M93" i="127" s="1"/>
  <c r="N51" i="127"/>
  <c r="N57" i="127" s="1"/>
  <c r="N58" i="127" s="1"/>
  <c r="N70" i="127" s="1"/>
  <c r="N112" i="127"/>
  <c r="N126" i="127" s="1"/>
  <c r="N127" i="127" s="1"/>
  <c r="L80" i="124"/>
  <c r="L81" i="124" s="1"/>
  <c r="L93" i="124" s="1"/>
  <c r="L129" i="124" s="1"/>
  <c r="L78" i="127"/>
  <c r="L80" i="127" s="1"/>
  <c r="L81" i="127" s="1"/>
  <c r="L93" i="127" s="1"/>
  <c r="L129" i="127" s="1"/>
  <c r="N28" i="127"/>
  <c r="N34" i="127" s="1"/>
  <c r="N35" i="127" s="1"/>
  <c r="N47" i="127" s="1"/>
  <c r="M109" i="124"/>
  <c r="M110" i="124" s="1"/>
  <c r="M128" i="124" s="1"/>
  <c r="M95" i="127"/>
  <c r="M109" i="127" s="1"/>
  <c r="M110" i="127" s="1"/>
  <c r="M128" i="127" s="1"/>
  <c r="J80" i="124"/>
  <c r="J81" i="124" s="1"/>
  <c r="J93" i="124" s="1"/>
  <c r="J129" i="124" s="1"/>
  <c r="J78" i="127"/>
  <c r="K80" i="124"/>
  <c r="K81" i="124" s="1"/>
  <c r="K93" i="124" s="1"/>
  <c r="K129" i="124" s="1"/>
  <c r="K78" i="127"/>
  <c r="K80" i="127" s="1"/>
  <c r="K81" i="127" s="1"/>
  <c r="K93" i="127" s="1"/>
  <c r="K129" i="127" s="1"/>
  <c r="J109" i="127"/>
  <c r="J110" i="127" s="1"/>
  <c r="J128" i="127" s="1"/>
  <c r="N141" i="124"/>
  <c r="N143" i="124" s="1"/>
  <c r="M80" i="124" l="1"/>
  <c r="M81" i="124" s="1"/>
  <c r="M93" i="124" s="1"/>
  <c r="M129" i="124" s="1"/>
  <c r="M129" i="127"/>
  <c r="N95" i="127"/>
  <c r="N109" i="127" s="1"/>
  <c r="N110" i="127" s="1"/>
  <c r="N128" i="127" s="1"/>
  <c r="N78" i="127"/>
  <c r="N80" i="127" s="1"/>
  <c r="N81" i="127" s="1"/>
  <c r="N93" i="127" s="1"/>
  <c r="J80" i="127"/>
  <c r="J81" i="127" s="1"/>
  <c r="J93" i="127" s="1"/>
  <c r="J129" i="127" s="1"/>
  <c r="N129" i="127" l="1"/>
  <c r="N131" i="12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<sst xmlns="http://schemas.openxmlformats.org/spreadsheetml/2006/main" count="34652" uniqueCount="679">
  <si>
    <t>Quantum Outcome 
(GEF Component)</t>
  </si>
  <si>
    <t>Quantum Activity 
(GEF Output)</t>
  </si>
  <si>
    <t>Quantum UNDP(UNDP, IP)</t>
  </si>
  <si>
    <t>Quantum Fund ID</t>
  </si>
  <si>
    <t>Quantum Donor ID</t>
  </si>
  <si>
    <t>Output</t>
  </si>
  <si>
    <t>Expenditure Category GEF</t>
  </si>
  <si>
    <t>Quantum Budgetary Account Code</t>
  </si>
  <si>
    <t>Quantum Budget Account Description</t>
  </si>
  <si>
    <t xml:space="preserve"> Amount Year 2025 </t>
  </si>
  <si>
    <t xml:space="preserve"> Amount Year 2026</t>
  </si>
  <si>
    <t xml:space="preserve"> Amount Year 2027</t>
  </si>
  <si>
    <t xml:space="preserve"> Amount Year 2028</t>
  </si>
  <si>
    <t>Total (USD)</t>
  </si>
  <si>
    <r>
      <t xml:space="preserve">See Budget Note: </t>
    </r>
    <r>
      <rPr>
        <b/>
        <i/>
        <sz val="9"/>
        <color rgb="FF000000"/>
        <rFont val="Calibri"/>
        <family val="2"/>
      </rPr>
      <t>(reference as number, not as letter)</t>
    </r>
  </si>
  <si>
    <t xml:space="preserve">Component 1: Strategic Planning and Multi-Stakeholder Governance </t>
  </si>
  <si>
    <t>Outcome  1.1. Enabling environment strengthened for effective community-driven integrated approaches_CORE</t>
  </si>
  <si>
    <t>UNDP</t>
  </si>
  <si>
    <t>Outcome 1.1_CORE</t>
  </si>
  <si>
    <t>International Consultants</t>
  </si>
  <si>
    <t>Local Consultants</t>
  </si>
  <si>
    <t>Contractual Services</t>
  </si>
  <si>
    <t>Contractual Services - Individ</t>
  </si>
  <si>
    <t>Travel</t>
  </si>
  <si>
    <t>Office Supplies</t>
  </si>
  <si>
    <t>Supplies</t>
  </si>
  <si>
    <t>Trainings, Workshops, Meetings</t>
  </si>
  <si>
    <t>Training, Workshops and Confer</t>
  </si>
  <si>
    <t>Salaries and Benefits</t>
  </si>
  <si>
    <t>Salaries Costs - GS Staff</t>
  </si>
  <si>
    <t xml:space="preserve"> Salary &amp; Post Adj Cst-IP Staff</t>
  </si>
  <si>
    <t>Total UNDP</t>
  </si>
  <si>
    <t>Total Outcome  1.1. Enabling environment strengthened for effective community-driven integrated approaches_CORE</t>
  </si>
  <si>
    <t>Outcome  1.1. Enabling environment strengthened for effective community-driven integrated approaches_STAR</t>
  </si>
  <si>
    <t>Outcome 1.1_STAR</t>
  </si>
  <si>
    <t>Total Outcome  1.1. Enabling environment strengthened for effective community-driven integrated approaches_STAR</t>
  </si>
  <si>
    <t>Total Component 1</t>
  </si>
  <si>
    <t xml:space="preserve">Component 2: Demand-driven grants to CSOs/CBOs (Grants) </t>
  </si>
  <si>
    <t>Outcome 2.1. Landscape-seascape strategic objectives advanced through community-led grants._CORE</t>
  </si>
  <si>
    <t>Outcome 2.1_CORE</t>
  </si>
  <si>
    <t>Grants</t>
  </si>
  <si>
    <t>Total Outcome 2.1. Landscape-seascape strategic objectives advanced through community-led grants._CORE</t>
  </si>
  <si>
    <t>Outcome 2.1. Landscape-seascape strategic objectives advanced through community-led grants._STAR</t>
  </si>
  <si>
    <t>Outcome 2.1_STAR</t>
  </si>
  <si>
    <t>Total Outcome 2.1. Landscape-seascape strategic objectives advanced through community-led grants._STAR</t>
  </si>
  <si>
    <t>Total Component 2</t>
  </si>
  <si>
    <t xml:space="preserve">Component 3: Knowledge Management and Learning </t>
  </si>
  <si>
    <t>Outcome 3.1. Sustainability and impact of community-led collective action enhanced through knowledge management and learning approaches across landscapes-seascapes and regions._CORE</t>
  </si>
  <si>
    <t>Outcome 3.1_CORE</t>
  </si>
  <si>
    <t>Miscellaneous Expenses</t>
  </si>
  <si>
    <t>Total Outcome 3.1. Sustainability and impact of community-led collective action enhanced through knowledge management and learning approaches across landscapes-seascapes and regions._CORE</t>
  </si>
  <si>
    <t>Outcome 3.1. Sustainability and impact of community-led collective action enhanced through knowledge management and learning approaches across landscapes-seascapes and regions._STAR</t>
  </si>
  <si>
    <t>Outcome 3.1_STAR</t>
  </si>
  <si>
    <t>Total Outcome 3.1. Sustainability and impact of community-led collective action enhanced through knowledge management and learning approaches across landscapes-seascapes and regions._STAR</t>
  </si>
  <si>
    <t>Total Component 3</t>
  </si>
  <si>
    <t xml:space="preserve">Component 4: Monitoring &amp; Evaluation  </t>
  </si>
  <si>
    <t>Outcome 4.1. Scale, durability and impact of locally-led community action strengthend through monitoring, evaluation and evidence-based learning._CORE</t>
  </si>
  <si>
    <t>Outcome 4.1_CORE</t>
  </si>
  <si>
    <t>Other Operating Costs</t>
  </si>
  <si>
    <t>Contractual Services-Companies</t>
  </si>
  <si>
    <t>Total Outcome 4.1. Scale, durability and impact of locally-led community action strengthend through monitoring, evaluation and evidence-based learning._CORE</t>
  </si>
  <si>
    <t>Outcome 4.1. Scale, durability and impact of locally-led community action strengthend through monitoring, evaluation and evidence-based learning._STAR</t>
  </si>
  <si>
    <t>Outcome 4.1_STAR</t>
  </si>
  <si>
    <t>Total Outcome 4.1. Scale, durability and impact of locally-led community action strengthend through monitoring, evaluation and evidence-based learning._STAR</t>
  </si>
  <si>
    <t>Total Component 4</t>
  </si>
  <si>
    <t>Project Management Cost (PMC)</t>
  </si>
  <si>
    <t>PMC_CORE</t>
  </si>
  <si>
    <t>Equipment and Furniture</t>
  </si>
  <si>
    <t>Materials &amp; Goods</t>
  </si>
  <si>
    <t>Communic &amp; Audio Visual Equip</t>
  </si>
  <si>
    <t>Information Technology Equipmt</t>
  </si>
  <si>
    <t>Premises (Office rental)</t>
  </si>
  <si>
    <t>Rental &amp; Maintenance-Premises</t>
  </si>
  <si>
    <t>Rental &amp; Maint of Other Equip</t>
  </si>
  <si>
    <t>Audits</t>
  </si>
  <si>
    <t>Professional Services</t>
  </si>
  <si>
    <t>Audio Visual&amp;Print Prod Costs</t>
  </si>
  <si>
    <t>Transport, Shipping and handle</t>
  </si>
  <si>
    <t>Total PMC_CORE</t>
  </si>
  <si>
    <t>PMC_STAR</t>
  </si>
  <si>
    <t>Total PMC_STAR</t>
  </si>
  <si>
    <t>Total PMC</t>
  </si>
  <si>
    <t>Total Project Grant</t>
  </si>
  <si>
    <t>Revised budget notes:</t>
  </si>
  <si>
    <t>total budget_OP8 part 1</t>
  </si>
  <si>
    <t>0. Management/administrative costs (up to 6%) by Responsible Parties (UN Agency and/or NGO), if applicable, are incorporated in individual budget lines and will be charged against the non-grants portion.</t>
  </si>
  <si>
    <t>variance</t>
  </si>
  <si>
    <t>1.Grants to CSOs/CBOs. Proportional amounts per country would be allocated for grant making from OP8-Part 1 under CORE Grants. STAR Grants will be allocated to the specific countries that have committed STAR resources approved under Part 1.</t>
  </si>
  <si>
    <r>
      <t>2. International consultants include project</t>
    </r>
    <r>
      <rPr>
        <sz val="9"/>
        <color rgb="FF000000"/>
        <rFont val="Calibri"/>
        <family val="2"/>
      </rPr>
      <t> </t>
    </r>
    <r>
      <rPr>
        <i/>
        <sz val="9"/>
        <color rgb="FF000000"/>
        <rFont val="Calibri"/>
        <family val="2"/>
      </rPr>
      <t>experts for M&amp;E, KM &amp; communication, and capacity development activities  </t>
    </r>
  </si>
  <si>
    <t>3. Local consultants include project experts for M&amp;E, KM &amp; communication, and capacity development activities  </t>
  </si>
  <si>
    <t>4. Salaries costs of NCs and PAs, and for Global project staff (Global Manager, Finance and Procurement specialist, Programme Associate, Knowledge Management and Communication Specialist, M&amp;E Specialist, and Regional Technical Specialists). CPMT and national project staff provide thematic expertise (e.g. in GEF focal areas) and technical inputs into program implementation.  In line with the established functions, the tasks of CPMT involve all three categories of PMC, TA, and M&amp;E as CPMT manages the SGP global portfolio, provide technical assistance and advice on focal areas and other thematic areas of work and undertakes M&amp;E, knowledge management and other services and support. The tasks of National Coordinators involve mainly TA and M&amp;E, including technical management of the country portfolio by providing thematic advice to the grantees capacity development, communication and policy advocacy, knowledge management with communities and civil society organizations that contribute directly to achieve global environmental benefits. The tasks of Programme Associate mainly involve PMC and M&amp;E, including working on finance, procurement, monitoring projects, and communication and knowledge management.</t>
  </si>
  <si>
    <t xml:space="preserve">5. NCs, PAs and others under local individual contracts, providing technical assistance and programme management at the country level.   </t>
  </si>
  <si>
    <t>6. Training/workshops on capacity development for (grantee and country stakeholders), project development, and CSO dialogues and events at the country level.  Organization of National Steering Committees and other coordination meetings.     </t>
  </si>
  <si>
    <t>7. Travel costs related to monitoring of grantee projects and country programme. Participation in MEA COPs, etc.  </t>
  </si>
  <si>
    <t>8. Office rent and maintenance at countries and global levels </t>
  </si>
  <si>
    <t>9. 10-12 country level audits per year by reputable international firm.  </t>
  </si>
  <si>
    <t>10. Cost of supplies for day-to-day operation of SGP global and country offices (e.g. stationaries) </t>
  </si>
  <si>
    <t>11. Miscellaneous Costs including bank charges</t>
  </si>
  <si>
    <t>12. Knowledge Management &amp; Communication product costs.</t>
  </si>
  <si>
    <t>13. Purchase of office equipment and furniture</t>
  </si>
  <si>
    <t>14. Materials &amp; Goods</t>
  </si>
  <si>
    <t>15. Acquisition of Audio Visual &amp; Communication equipments</t>
  </si>
  <si>
    <t>16. Acquisition of Information Technology supplies</t>
  </si>
  <si>
    <t>17. Rent and maintenance of office equipment.</t>
  </si>
  <si>
    <t>18. Payments for printing services</t>
  </si>
  <si>
    <t>19. Transport, Shipping and handle of goods.</t>
  </si>
  <si>
    <t>Grant</t>
  </si>
  <si>
    <t>Non-grant</t>
  </si>
  <si>
    <t>budget_RPA</t>
  </si>
  <si>
    <t>budget_COs</t>
  </si>
  <si>
    <t>(Multiple Items)</t>
  </si>
  <si>
    <t>Row Labels</t>
  </si>
  <si>
    <t>Sum of Total (USD)</t>
  </si>
  <si>
    <t>Outcome 1</t>
  </si>
  <si>
    <t>Outcome 2</t>
  </si>
  <si>
    <t>Outcome 3</t>
  </si>
  <si>
    <t>Outcome 4</t>
  </si>
  <si>
    <t>Grand Total</t>
  </si>
  <si>
    <t>PMC</t>
  </si>
  <si>
    <t>Difference</t>
  </si>
  <si>
    <t>total</t>
  </si>
  <si>
    <t>PIMS No.</t>
  </si>
  <si>
    <t>Country</t>
  </si>
  <si>
    <t>Business Unit</t>
  </si>
  <si>
    <t>ratio</t>
  </si>
  <si>
    <t>RPA budget summary</t>
  </si>
  <si>
    <t>Brazil</t>
  </si>
  <si>
    <t>B0488</t>
  </si>
  <si>
    <t>CORE grant</t>
  </si>
  <si>
    <t>STAR grant</t>
  </si>
  <si>
    <t>CORE non-grant</t>
  </si>
  <si>
    <t>STAR non-grant</t>
  </si>
  <si>
    <t>India</t>
  </si>
  <si>
    <t>B0406</t>
  </si>
  <si>
    <t>Philippines</t>
  </si>
  <si>
    <t>B0428</t>
  </si>
  <si>
    <t>Egypt</t>
  </si>
  <si>
    <t>B0448</t>
  </si>
  <si>
    <t>CORE &amp; STAR ratio</t>
  </si>
  <si>
    <t>grant</t>
  </si>
  <si>
    <t>cob total</t>
  </si>
  <si>
    <t>2026 COB total</t>
  </si>
  <si>
    <t>County</t>
  </si>
  <si>
    <t>CORE/STAR</t>
  </si>
  <si>
    <t>71600 Travel</t>
  </si>
  <si>
    <t>72200 Equipment and Furniture</t>
  </si>
  <si>
    <t>72400 Communic &amp; Audio Visual Equip</t>
  </si>
  <si>
    <t>74100 Professional Services</t>
  </si>
  <si>
    <t>72500 Supplies</t>
  </si>
  <si>
    <t>72800 Information Technology Equipmt</t>
  </si>
  <si>
    <t>73100 Rental &amp; Maintenance-Premises</t>
  </si>
  <si>
    <t>73400 Rental &amp; Maint of Other Equip</t>
  </si>
  <si>
    <t>74200 Audio Visual&amp;Print Prod Costs</t>
  </si>
  <si>
    <t>74500 Miscellaneous Expenses</t>
  </si>
  <si>
    <t>75700 Training, Workshops and Confer</t>
  </si>
  <si>
    <t>72600 Grants</t>
  </si>
  <si>
    <t>Total</t>
  </si>
  <si>
    <t>Albania</t>
  </si>
  <si>
    <t>CORE</t>
  </si>
  <si>
    <t>STAR</t>
  </si>
  <si>
    <t>CORE ratio 2 &amp; STAR ratio 2</t>
  </si>
  <si>
    <t>Algeria</t>
  </si>
  <si>
    <t>Antigua &amp; Barbuda</t>
  </si>
  <si>
    <t>Argentina</t>
  </si>
  <si>
    <t>Armenia</t>
  </si>
  <si>
    <t>Bahamas</t>
  </si>
  <si>
    <t>Bangladesh</t>
  </si>
  <si>
    <t>Barbados</t>
  </si>
  <si>
    <t>Belize</t>
  </si>
  <si>
    <t>Benin</t>
  </si>
  <si>
    <t>Bhutan</t>
  </si>
  <si>
    <t>Botswana</t>
  </si>
  <si>
    <t>Burkina Faso</t>
  </si>
  <si>
    <t>Burundi</t>
  </si>
  <si>
    <t>Cabo Verde</t>
  </si>
  <si>
    <t>Cambodia</t>
  </si>
  <si>
    <t>CORE ratio 3 &amp; STAR ratio 3</t>
  </si>
  <si>
    <t>Cameroon</t>
  </si>
  <si>
    <t>Central African Republic</t>
  </si>
  <si>
    <t>Colombia</t>
  </si>
  <si>
    <t>Comoros</t>
  </si>
  <si>
    <t>Congo (Brazzaville)</t>
  </si>
  <si>
    <t>Congo, DR</t>
  </si>
  <si>
    <t xml:space="preserve">Costa Rica </t>
  </si>
  <si>
    <t>Cote d'Ivoire</t>
  </si>
  <si>
    <t>Cuba</t>
  </si>
  <si>
    <t>Djibouti</t>
  </si>
  <si>
    <t>Dominica</t>
  </si>
  <si>
    <t>Dominican Republic</t>
  </si>
  <si>
    <t>Ecuador</t>
  </si>
  <si>
    <t>El Salvador</t>
  </si>
  <si>
    <t>Eritrea</t>
  </si>
  <si>
    <t>Ethiopia</t>
  </si>
  <si>
    <t>Federated States of Micronesia</t>
  </si>
  <si>
    <t>Fiji</t>
  </si>
  <si>
    <t>Gabon</t>
  </si>
  <si>
    <t>Gambia</t>
  </si>
  <si>
    <t>Georgia</t>
  </si>
  <si>
    <t>Ghana</t>
  </si>
  <si>
    <t>Grenada</t>
  </si>
  <si>
    <t>Guatemala</t>
  </si>
  <si>
    <t>Guinea</t>
  </si>
  <si>
    <t>Guinea-Bissau</t>
  </si>
  <si>
    <t>Haiti</t>
  </si>
  <si>
    <t>Honduras</t>
  </si>
  <si>
    <t>Jamaica</t>
  </si>
  <si>
    <t>Jordan</t>
  </si>
  <si>
    <t>Kiribati</t>
  </si>
  <si>
    <t>Kyrgyzstan</t>
  </si>
  <si>
    <t>Lao PDR</t>
  </si>
  <si>
    <t>Lebanon</t>
  </si>
  <si>
    <t>Lesotho</t>
  </si>
  <si>
    <t>Liberia</t>
  </si>
  <si>
    <t>Madagascar</t>
  </si>
  <si>
    <t>CORE ratio 4 &amp; STAR ratio 4</t>
  </si>
  <si>
    <t>Maldives</t>
  </si>
  <si>
    <t>Mali</t>
  </si>
  <si>
    <t>Mauritania</t>
  </si>
  <si>
    <t>Mauritius</t>
  </si>
  <si>
    <t>Moldova</t>
  </si>
  <si>
    <t>Mongolia</t>
  </si>
  <si>
    <t>Morocco</t>
  </si>
  <si>
    <t>Mozambique</t>
  </si>
  <si>
    <t>Namibia</t>
  </si>
  <si>
    <t>Nauru</t>
  </si>
  <si>
    <t>Nepal</t>
  </si>
  <si>
    <t>Niger</t>
  </si>
  <si>
    <t>Nigeria</t>
  </si>
  <si>
    <t>North Macedonia</t>
  </si>
  <si>
    <t>Palau</t>
  </si>
  <si>
    <t>Palestinian Authority</t>
  </si>
  <si>
    <t>Panama</t>
  </si>
  <si>
    <t>Paraguay</t>
  </si>
  <si>
    <t>Rwanda</t>
  </si>
  <si>
    <t>Samoa</t>
  </si>
  <si>
    <t>Senegal</t>
  </si>
  <si>
    <t>Seychelles</t>
  </si>
  <si>
    <t>Sierra Leone</t>
  </si>
  <si>
    <t>Solomon Islands</t>
  </si>
  <si>
    <t>South Africa</t>
  </si>
  <si>
    <t>St. Lucia</t>
  </si>
  <si>
    <t>Suriname</t>
  </si>
  <si>
    <t>Tanzania</t>
  </si>
  <si>
    <t xml:space="preserve">Thailand </t>
  </si>
  <si>
    <t>Timor-Leste</t>
  </si>
  <si>
    <t>Togo</t>
  </si>
  <si>
    <t>Tonga</t>
  </si>
  <si>
    <t>Trinidad &amp; Tobago</t>
  </si>
  <si>
    <t>Tunisia</t>
  </si>
  <si>
    <t>Turkey</t>
  </si>
  <si>
    <t>Uganda</t>
  </si>
  <si>
    <t>Ukraine</t>
  </si>
  <si>
    <t>Uruguay</t>
  </si>
  <si>
    <t>Vanuatu</t>
  </si>
  <si>
    <t>Venezuela</t>
  </si>
  <si>
    <t>Zambia</t>
  </si>
  <si>
    <t>Zimbabwe</t>
  </si>
  <si>
    <t>CORE ratio &amp; STAR ratio</t>
  </si>
  <si>
    <t xml:space="preserve">Country </t>
  </si>
  <si>
    <t>Tranche 1</t>
  </si>
  <si>
    <t>Quantum Activity (GEF Output)</t>
  </si>
  <si>
    <t>Non-Grant</t>
  </si>
  <si>
    <t>Implementing Agent</t>
  </si>
  <si>
    <t>Outcome 2.1_CORE Grant</t>
  </si>
  <si>
    <t>Outcome 2.1_STAR Grant</t>
  </si>
  <si>
    <t>2026 COB</t>
  </si>
  <si>
    <t>Budget total</t>
  </si>
  <si>
    <t>Global</t>
  </si>
  <si>
    <t>YES</t>
  </si>
  <si>
    <t>ALB10</t>
  </si>
  <si>
    <t>DZA10</t>
  </si>
  <si>
    <t>BRB10</t>
  </si>
  <si>
    <t>ARG10</t>
  </si>
  <si>
    <t>ARM10</t>
  </si>
  <si>
    <t>JAM10</t>
  </si>
  <si>
    <t>BGD10</t>
  </si>
  <si>
    <t>BLZ10</t>
  </si>
  <si>
    <t>BEN10</t>
  </si>
  <si>
    <t>BTN10</t>
  </si>
  <si>
    <t>BWA10</t>
  </si>
  <si>
    <t>BRA10</t>
  </si>
  <si>
    <t>BFA10</t>
  </si>
  <si>
    <t>BDI10</t>
  </si>
  <si>
    <t>CPV10</t>
  </si>
  <si>
    <t>KHM10</t>
  </si>
  <si>
    <t>CMR10</t>
  </si>
  <si>
    <t>CAF10</t>
  </si>
  <si>
    <t>COL10</t>
  </si>
  <si>
    <t>COM10</t>
  </si>
  <si>
    <t>COG10</t>
  </si>
  <si>
    <t>COD10</t>
  </si>
  <si>
    <t>CRI10</t>
  </si>
  <si>
    <t>CIV10</t>
  </si>
  <si>
    <t>CUB10</t>
  </si>
  <si>
    <t>DJI10</t>
  </si>
  <si>
    <t>DOM10</t>
  </si>
  <si>
    <t>ECU10</t>
  </si>
  <si>
    <t>EGY10</t>
  </si>
  <si>
    <t>SLV10</t>
  </si>
  <si>
    <t>ERI10</t>
  </si>
  <si>
    <t>ETH10</t>
  </si>
  <si>
    <t>FJI10</t>
  </si>
  <si>
    <t>GAB10</t>
  </si>
  <si>
    <t>GMB10</t>
  </si>
  <si>
    <t>GEO10</t>
  </si>
  <si>
    <t>GHA10</t>
  </si>
  <si>
    <t>GTM10</t>
  </si>
  <si>
    <t>GIN10</t>
  </si>
  <si>
    <t>GNB10</t>
  </si>
  <si>
    <t>HTI10</t>
  </si>
  <si>
    <t>HND10</t>
  </si>
  <si>
    <t>IND10</t>
  </si>
  <si>
    <t>due to wrong BU, project 01004255/award 1382603/award 1475407 are  cancelled.</t>
  </si>
  <si>
    <t>JOR10</t>
  </si>
  <si>
    <t>KGZ10</t>
  </si>
  <si>
    <t>LAO10</t>
  </si>
  <si>
    <t>LBN10</t>
  </si>
  <si>
    <t>LSO10</t>
  </si>
  <si>
    <t>LBR10</t>
  </si>
  <si>
    <t>MDG10</t>
  </si>
  <si>
    <t>MDV10</t>
  </si>
  <si>
    <t>MLI10</t>
  </si>
  <si>
    <t>MRT10</t>
  </si>
  <si>
    <t>MUS10</t>
  </si>
  <si>
    <t>MDA10</t>
  </si>
  <si>
    <t>MNG10</t>
  </si>
  <si>
    <t>MAR10</t>
  </si>
  <si>
    <t>MOZ10</t>
  </si>
  <si>
    <t>NAM10</t>
  </si>
  <si>
    <t>NPL10</t>
  </si>
  <si>
    <t>NER10</t>
  </si>
  <si>
    <t>NGA10</t>
  </si>
  <si>
    <t>MKD10</t>
  </si>
  <si>
    <t>PAL10</t>
  </si>
  <si>
    <t>PAN10</t>
  </si>
  <si>
    <t>PRY10</t>
  </si>
  <si>
    <t>PHL10</t>
  </si>
  <si>
    <t>RWA10</t>
  </si>
  <si>
    <t>WSM10</t>
  </si>
  <si>
    <t>SEN10</t>
  </si>
  <si>
    <t>SLE10</t>
  </si>
  <si>
    <t>ZAF10</t>
  </si>
  <si>
    <t>SUR10</t>
  </si>
  <si>
    <t>TZA10</t>
  </si>
  <si>
    <t>THA10</t>
  </si>
  <si>
    <t>TLS10</t>
  </si>
  <si>
    <t>TGO10</t>
  </si>
  <si>
    <t>TTO10</t>
  </si>
  <si>
    <t>TUN10</t>
  </si>
  <si>
    <t>TUR10</t>
  </si>
  <si>
    <t>UGA10</t>
  </si>
  <si>
    <t>UKR10</t>
  </si>
  <si>
    <t>URY10</t>
  </si>
  <si>
    <t>VEN10</t>
  </si>
  <si>
    <t>ZMB10</t>
  </si>
  <si>
    <t>ZWE10</t>
  </si>
  <si>
    <t>2026 COB breakdown table</t>
  </si>
  <si>
    <t>OP8 part 1_CORE</t>
  </si>
  <si>
    <t>OP8 part 1_STAR</t>
  </si>
  <si>
    <t>budget ratio_OP8 part 1 TBWP</t>
  </si>
  <si>
    <t>TOTAL</t>
  </si>
  <si>
    <t>OP8 part 1 STAR ratio</t>
  </si>
  <si>
    <t>TBWP_OP8 part 1</t>
  </si>
  <si>
    <t>TBWP/2026 COB</t>
  </si>
  <si>
    <t>non-grant budget for Brazil</t>
  </si>
  <si>
    <t>* RPA countries, Brazil, Egypt, India, and Philippines, are not included in COB exercises.</t>
  </si>
  <si>
    <t>non-grant budget for India</t>
  </si>
  <si>
    <t>non-grant budget for Philippines</t>
  </si>
  <si>
    <t>non-grant budget for Egypt</t>
  </si>
  <si>
    <t>2025 COB LOA needed -------&gt;</t>
  </si>
  <si>
    <t>URGENT Specific COB Costs for 2025</t>
  </si>
  <si>
    <t>Country Name (UNOPS)</t>
  </si>
  <si>
    <t>Country Name (UNDP)</t>
  </si>
  <si>
    <t>ISO</t>
  </si>
  <si>
    <t>Region</t>
  </si>
  <si>
    <t>MCO / SRO</t>
  </si>
  <si>
    <t>OP7 NHI</t>
  </si>
  <si>
    <t>Priority</t>
  </si>
  <si>
    <t>Tranche</t>
  </si>
  <si>
    <t>Hosting Set-Up</t>
  </si>
  <si>
    <t>Personnel at UNOPS in 2026</t>
  </si>
  <si>
    <t>Host Arrangement Decision</t>
  </si>
  <si>
    <t>UNDP or UNOPS Action</t>
  </si>
  <si>
    <t>71400 Professional Services</t>
  </si>
  <si>
    <t>Expected Transition Date</t>
  </si>
  <si>
    <t>Transition Year</t>
  </si>
  <si>
    <t>Afghanistan</t>
  </si>
  <si>
    <t>AFG</t>
  </si>
  <si>
    <t>RBAP</t>
  </si>
  <si>
    <t>c.Tranche 2 Only</t>
  </si>
  <si>
    <t>a.STAR</t>
  </si>
  <si>
    <t>Vacant</t>
  </si>
  <si>
    <t>Angola</t>
  </si>
  <si>
    <t>AGO</t>
  </si>
  <si>
    <t>RBA</t>
  </si>
  <si>
    <t>b.No STAR</t>
  </si>
  <si>
    <t>n.End of June 2026</t>
  </si>
  <si>
    <t>2025</t>
  </si>
  <si>
    <t>g.End of Dec 2025</t>
  </si>
  <si>
    <t>ALB</t>
  </si>
  <si>
    <t>RBEC</t>
  </si>
  <si>
    <t>a.Tranche 1 &amp; 2</t>
  </si>
  <si>
    <t>BEN</t>
  </si>
  <si>
    <t>DZA</t>
  </si>
  <si>
    <t>RBAS</t>
  </si>
  <si>
    <t>BWA</t>
  </si>
  <si>
    <t>BFA</t>
  </si>
  <si>
    <t>ATG</t>
  </si>
  <si>
    <t>RBLAC</t>
  </si>
  <si>
    <t>SRO</t>
  </si>
  <si>
    <t>BDI</t>
  </si>
  <si>
    <t>2026</t>
  </si>
  <si>
    <t>ARG</t>
  </si>
  <si>
    <t>Cape Verde</t>
  </si>
  <si>
    <t>CPV</t>
  </si>
  <si>
    <t>k.End of Mar 2026</t>
  </si>
  <si>
    <t>d.End of Sep 2025</t>
  </si>
  <si>
    <t>ARM</t>
  </si>
  <si>
    <t>CMR</t>
  </si>
  <si>
    <t>Azerbaijan</t>
  </si>
  <si>
    <t>AZE</t>
  </si>
  <si>
    <t>d.Not UNDP</t>
  </si>
  <si>
    <t>N/A</t>
  </si>
  <si>
    <t>CAF</t>
  </si>
  <si>
    <t>BHS</t>
  </si>
  <si>
    <t>Private Lease</t>
  </si>
  <si>
    <t>Chad</t>
  </si>
  <si>
    <t>TCD</t>
  </si>
  <si>
    <t>China</t>
  </si>
  <si>
    <t>BGD</t>
  </si>
  <si>
    <t>COM</t>
  </si>
  <si>
    <t>BRB</t>
  </si>
  <si>
    <t>MCO</t>
  </si>
  <si>
    <t>Congo, Brazzaville</t>
  </si>
  <si>
    <t>COG</t>
  </si>
  <si>
    <t>b.Tranche 1 Only</t>
  </si>
  <si>
    <t>Cook Islands</t>
  </si>
  <si>
    <t>Belarus</t>
  </si>
  <si>
    <t>BLR</t>
  </si>
  <si>
    <t/>
  </si>
  <si>
    <t>COD</t>
  </si>
  <si>
    <t>Costa Rica</t>
  </si>
  <si>
    <t>BLZ</t>
  </si>
  <si>
    <t>Ivory Coast</t>
  </si>
  <si>
    <t>CIV</t>
  </si>
  <si>
    <t>Equatorial Guinea</t>
  </si>
  <si>
    <t>GNQ</t>
  </si>
  <si>
    <t>j.End of Feb 2026</t>
  </si>
  <si>
    <t>BTN</t>
  </si>
  <si>
    <t>ERI</t>
  </si>
  <si>
    <t>Bolivia</t>
  </si>
  <si>
    <t>BOL</t>
  </si>
  <si>
    <t>E-swatini</t>
  </si>
  <si>
    <t>Eswatini</t>
  </si>
  <si>
    <t>SWZ</t>
  </si>
  <si>
    <t>l1. 13 Apr 2026</t>
  </si>
  <si>
    <t>e.End of Oct 2025</t>
  </si>
  <si>
    <t>Bosnia and Herzegovina</t>
  </si>
  <si>
    <t>BIH</t>
  </si>
  <si>
    <t>ETH</t>
  </si>
  <si>
    <t>GAB</t>
  </si>
  <si>
    <t>f.End of Nov 2025</t>
  </si>
  <si>
    <t>BRA</t>
  </si>
  <si>
    <t>NHI</t>
  </si>
  <si>
    <t>CORE + STAR Budgets</t>
  </si>
  <si>
    <t>GMB</t>
  </si>
  <si>
    <t>GHA</t>
  </si>
  <si>
    <t>GIN</t>
  </si>
  <si>
    <t>Guyana</t>
  </si>
  <si>
    <t>t.End of Dec 2026</t>
  </si>
  <si>
    <t>Guinea Bissau</t>
  </si>
  <si>
    <t>GNB</t>
  </si>
  <si>
    <t>KHM</t>
  </si>
  <si>
    <t>UNOPS</t>
  </si>
  <si>
    <t>Kenya</t>
  </si>
  <si>
    <t>KEN</t>
  </si>
  <si>
    <t>Kazakhstan</t>
  </si>
  <si>
    <t>o.End of July 2026</t>
  </si>
  <si>
    <t>LSO</t>
  </si>
  <si>
    <t>LBR</t>
  </si>
  <si>
    <t>MDG</t>
  </si>
  <si>
    <t>Chile</t>
  </si>
  <si>
    <t>CHL</t>
  </si>
  <si>
    <t>Malawi</t>
  </si>
  <si>
    <t>MWI</t>
  </si>
  <si>
    <t>CHN</t>
  </si>
  <si>
    <t>MLI</t>
  </si>
  <si>
    <t>COL</t>
  </si>
  <si>
    <t>MRT</t>
  </si>
  <si>
    <t>Malaysia</t>
  </si>
  <si>
    <t>l2. 19 Apr 2026</t>
  </si>
  <si>
    <t>MUS</t>
  </si>
  <si>
    <t>MOZ</t>
  </si>
  <si>
    <t>NAM</t>
  </si>
  <si>
    <t>Mexico</t>
  </si>
  <si>
    <t>COK</t>
  </si>
  <si>
    <t>NER</t>
  </si>
  <si>
    <t>i.End of Jan 2026</t>
  </si>
  <si>
    <t>CRI</t>
  </si>
  <si>
    <t>NGA</t>
  </si>
  <si>
    <t>RWA</t>
  </si>
  <si>
    <t>CUB</t>
  </si>
  <si>
    <t>Sao Tome and Principe</t>
  </si>
  <si>
    <t>STP</t>
  </si>
  <si>
    <t>DJI</t>
  </si>
  <si>
    <t>SEN</t>
  </si>
  <si>
    <t>DMA</t>
  </si>
  <si>
    <t>SYC</t>
  </si>
  <si>
    <t>DOM</t>
  </si>
  <si>
    <t>SLE</t>
  </si>
  <si>
    <t>ECU</t>
  </si>
  <si>
    <t>ZAF</t>
  </si>
  <si>
    <t>EGY</t>
  </si>
  <si>
    <t>South Sudan</t>
  </si>
  <si>
    <t>SSD</t>
  </si>
  <si>
    <t>Peru</t>
  </si>
  <si>
    <t>SLV</t>
  </si>
  <si>
    <t>TZA</t>
  </si>
  <si>
    <t>TGO</t>
  </si>
  <si>
    <t>UGA</t>
  </si>
  <si>
    <t>Sri Lanka</t>
  </si>
  <si>
    <t>ZMB</t>
  </si>
  <si>
    <t>St. Kitts and Nevis</t>
  </si>
  <si>
    <t>ZWE</t>
  </si>
  <si>
    <t>FSM</t>
  </si>
  <si>
    <t>FJI</t>
  </si>
  <si>
    <t>GEO</t>
  </si>
  <si>
    <t>Tuvalu</t>
  </si>
  <si>
    <t>GRD</t>
  </si>
  <si>
    <t>Micronesia</t>
  </si>
  <si>
    <t>Uzbekistan</t>
  </si>
  <si>
    <t>GTM</t>
  </si>
  <si>
    <t>IND</t>
  </si>
  <si>
    <t>Vietnam</t>
  </si>
  <si>
    <t>Indonesia</t>
  </si>
  <si>
    <t>IDN</t>
  </si>
  <si>
    <t>GUY</t>
  </si>
  <si>
    <t>Iran</t>
  </si>
  <si>
    <t>IRN</t>
  </si>
  <si>
    <t>Yemen</t>
  </si>
  <si>
    <t>HTI</t>
  </si>
  <si>
    <t>KIR</t>
  </si>
  <si>
    <t>HND</t>
  </si>
  <si>
    <t>Laos</t>
  </si>
  <si>
    <t>LAO</t>
  </si>
  <si>
    <t>MYS</t>
  </si>
  <si>
    <t>MDV</t>
  </si>
  <si>
    <t>Marshall Islands</t>
  </si>
  <si>
    <t>MHL</t>
  </si>
  <si>
    <t>c.End of Aug 2025</t>
  </si>
  <si>
    <t>Iraq</t>
  </si>
  <si>
    <t>IRQ</t>
  </si>
  <si>
    <t>MNG</t>
  </si>
  <si>
    <t>JAM</t>
  </si>
  <si>
    <t>NRU</t>
  </si>
  <si>
    <t>JOR</t>
  </si>
  <si>
    <t>NPL</t>
  </si>
  <si>
    <t>KAZ</t>
  </si>
  <si>
    <t>Niue</t>
  </si>
  <si>
    <t>NIU</t>
  </si>
  <si>
    <t>Pakistan</t>
  </si>
  <si>
    <t>PAK</t>
  </si>
  <si>
    <t>UN Compound</t>
  </si>
  <si>
    <t>PLW</t>
  </si>
  <si>
    <t>KGZ</t>
  </si>
  <si>
    <t>Papua New Guinea</t>
  </si>
  <si>
    <t>PNG</t>
  </si>
  <si>
    <t>PHL</t>
  </si>
  <si>
    <t>LBN</t>
  </si>
  <si>
    <t>WSM</t>
  </si>
  <si>
    <t>SLB</t>
  </si>
  <si>
    <t>LKA</t>
  </si>
  <si>
    <t>Libya</t>
  </si>
  <si>
    <t>LBY</t>
  </si>
  <si>
    <t>Thailand</t>
  </si>
  <si>
    <t>THA</t>
  </si>
  <si>
    <t>Macedonia</t>
  </si>
  <si>
    <t>MKD</t>
  </si>
  <si>
    <t>TLS</t>
  </si>
  <si>
    <t>Tokelau</t>
  </si>
  <si>
    <t>TKL</t>
  </si>
  <si>
    <t>TON</t>
  </si>
  <si>
    <t>TUV</t>
  </si>
  <si>
    <t>VUT</t>
  </si>
  <si>
    <t>VNM</t>
  </si>
  <si>
    <t>MEX</t>
  </si>
  <si>
    <t>MDA</t>
  </si>
  <si>
    <t>Montenegro</t>
  </si>
  <si>
    <t>MNE</t>
  </si>
  <si>
    <t>MAR</t>
  </si>
  <si>
    <t>UNICEF</t>
  </si>
  <si>
    <t>Palestine</t>
  </si>
  <si>
    <t>PSE</t>
  </si>
  <si>
    <t>Somalia</t>
  </si>
  <si>
    <t>SOM</t>
  </si>
  <si>
    <t>Sudan</t>
  </si>
  <si>
    <t>SDN</t>
  </si>
  <si>
    <t>TUN</t>
  </si>
  <si>
    <t>YEM</t>
  </si>
  <si>
    <t>PAN</t>
  </si>
  <si>
    <t>PRY</t>
  </si>
  <si>
    <t>PER</t>
  </si>
  <si>
    <t>Serbia</t>
  </si>
  <si>
    <t>SRB</t>
  </si>
  <si>
    <t>Tajikistan</t>
  </si>
  <si>
    <t>TJK</t>
  </si>
  <si>
    <t>UNDP - WFH</t>
  </si>
  <si>
    <t>TUR</t>
  </si>
  <si>
    <t>Turkmenistan</t>
  </si>
  <si>
    <t>TKM</t>
  </si>
  <si>
    <t>UKR</t>
  </si>
  <si>
    <t>UZB</t>
  </si>
  <si>
    <t>St. Kitts &amp; Nevis</t>
  </si>
  <si>
    <t>KNA</t>
  </si>
  <si>
    <t>St. Vincent &amp; the Grenadines</t>
  </si>
  <si>
    <t>LCA</t>
  </si>
  <si>
    <t>St. Vincent &amp; Grenadines</t>
  </si>
  <si>
    <t>VCT</t>
  </si>
  <si>
    <t>SUR</t>
  </si>
  <si>
    <t>TTO</t>
  </si>
  <si>
    <t>URY</t>
  </si>
  <si>
    <t>VEN</t>
  </si>
  <si>
    <t>CO Costs</t>
  </si>
  <si>
    <t>NC</t>
  </si>
  <si>
    <t>PA</t>
  </si>
  <si>
    <t>Part 1 PIF Submission</t>
  </si>
  <si>
    <t>99 Countries 
(Core 67.5m + STAR)</t>
  </si>
  <si>
    <t>Category of Expense</t>
  </si>
  <si>
    <t>Amount</t>
  </si>
  <si>
    <t>Ratio</t>
  </si>
  <si>
    <t xml:space="preserve">TOTAL PROJECTED INCOME/BUDGET </t>
  </si>
  <si>
    <t xml:space="preserve">Component 1: Strategic Planning and Multi-Stakeholder Governance   </t>
  </si>
  <si>
    <t>Total GEF Core</t>
  </si>
  <si>
    <t xml:space="preserve"> Component 2: Demand-driven grants to CSOs/CBOs </t>
  </si>
  <si>
    <t>Technical Assistance/Capacity Building</t>
  </si>
  <si>
    <t>Total GEF STAR</t>
  </si>
  <si>
    <t xml:space="preserve"> Component 3: Knowledge Management and Learning  </t>
  </si>
  <si>
    <t>Knowledge Management</t>
  </si>
  <si>
    <t xml:space="preserve">Grand Total </t>
  </si>
  <si>
    <t xml:space="preserve"> Component 4: Monitoring &amp; Evaluation   </t>
  </si>
  <si>
    <t>Monitoring &amp; Evaluation</t>
  </si>
  <si>
    <t xml:space="preserve"> Project Management Cost (PMC) </t>
  </si>
  <si>
    <t>Project Management Cost</t>
  </si>
  <si>
    <t>Inclusive of Agency Fee</t>
  </si>
  <si>
    <t xml:space="preserve"> Grand Total </t>
  </si>
  <si>
    <t>Agency Fee (9%)</t>
  </si>
  <si>
    <t>Grant / CORE + STAR</t>
  </si>
  <si>
    <t>Non-grant (Available) / CORE + STAR</t>
  </si>
  <si>
    <t>Programmable Amount</t>
  </si>
  <si>
    <t>Agency Fee</t>
  </si>
  <si>
    <t>Total Project</t>
  </si>
  <si>
    <t>Scenario (Green ones are baselines)</t>
  </si>
  <si>
    <t>Grant Ratio</t>
  </si>
  <si>
    <t>CORE Grants</t>
  </si>
  <si>
    <t>STAR Grants</t>
  </si>
  <si>
    <t>Total Grants</t>
  </si>
  <si>
    <t>Scenario 3 (67% ratio, including agency fee)</t>
  </si>
  <si>
    <t>Scenario  (67% ratio, including agency fee)</t>
  </si>
  <si>
    <t>CORE Grant per Country</t>
  </si>
  <si>
    <t>STAR Grant per Country</t>
  </si>
  <si>
    <t>Total Grant Amount</t>
  </si>
  <si>
    <t>Estimated Average # of Grants (30k each)</t>
  </si>
  <si>
    <t>COUNTRY</t>
  </si>
  <si>
    <t>PIF 1</t>
  </si>
  <si>
    <t>2024-2028</t>
  </si>
  <si>
    <t>Yes</t>
  </si>
  <si>
    <t>check:</t>
  </si>
  <si>
    <t>Budget Compoent</t>
  </si>
  <si>
    <t>PIMS 10180
Project 01004148
Award 1382542</t>
  </si>
  <si>
    <t>PIMS 10214
Project 01004254
Award 1382602</t>
  </si>
  <si>
    <t>PIMS 10242
Project 01004311
Award 1382683</t>
  </si>
  <si>
    <t>PIMS 10198
Project 01004223
Award 1382573</t>
  </si>
  <si>
    <t>* Implementing agency fee is not included in the figures.</t>
  </si>
  <si>
    <t>Original CORE/STAR</t>
  </si>
  <si>
    <t>Travel 71600 using Outcome 2.1</t>
  </si>
  <si>
    <t>Travel 71600 using Outcome 3.1</t>
  </si>
  <si>
    <t>Travel 71600 using Outcome 4.1</t>
  </si>
  <si>
    <t>Budget account Ratio_STAR</t>
  </si>
  <si>
    <t>Budget account ratio_CORE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</si>
</sst>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quot;$&quot;#,##0\)"/>
    <numFmt numFmtId="165" formatCode="&quot;$&quot;#,##0_);[Red]\(&quot;$&quot;#,##0\)"/>
    <numFmt numFmtId="166" formatCode="&quot;$&quot;#,##0.00_);[Red]\(&quot;$&quot;#,##0.00\)"/>
    <numFmt numFmtId="167" formatCode="_(&quot;$&quot;* #,##0.00_);_(&quot;$&quot;* \(#,##0.00\);_(&quot;$&quot;* &quot;-&quot;??_);_(@_)"/>
    <numFmt numFmtId="168" formatCode="_(* #,##0.00_);_(* \(#,##0.00\);_(* &quot;-&quot;??_);_(@_)"/>
    <numFmt numFmtId="169" formatCode="_(* #,##0_);_(* \(#,##0\);_(* &quot;-&quot;??_);_(@_)"/>
    <numFmt numFmtId="170" formatCode="_(&quot;$&quot;* #,##0_);_(&quot;$&quot;* \(#,##0\);_(&quot;$&quot;* &quot;-&quot;??_);_(@_)"/>
    <numFmt numFmtId="171" formatCode="0.0000%"/>
    <numFmt numFmtId="172" formatCode="&quot;$&quot;#,##0"/>
  </numFmts>
  <fonts count="31"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rgb="FF000000"/>
      <name val="Aptos Narrow"/>
      <family val="2"/>
      <scheme val="minor"/>
    </font>
    <font>
      <sz val="9"/>
      <color rgb="FF000000"/>
      <name val="Aptos Narrow"/>
      <family val="2"/>
      <scheme val="minor"/>
    </font>
    <font>
      <b/>
      <sz val="9"/>
      <color rgb="FF000000"/>
      <name val="Aptos Narrow"/>
      <family val="2"/>
      <scheme val="minor"/>
    </font>
    <font>
      <sz val="9"/>
      <color theme="1"/>
      <name val="Aptos Narrow"/>
      <family val="2"/>
      <scheme val="minor"/>
    </font>
    <font>
      <b/>
      <sz val="9"/>
      <color rgb="FF000000"/>
      <name val="Calibri"/>
      <family val="2"/>
    </font>
    <font>
      <b/>
      <i/>
      <sz val="9"/>
      <color rgb="FF000000"/>
      <name val="Calibri"/>
      <family val="2"/>
    </font>
    <font>
      <i/>
      <sz val="9"/>
      <color rgb="FF000000"/>
      <name val="Calibri"/>
      <family val="2"/>
    </font>
    <font>
      <sz val="9"/>
      <color rgb="FF000000"/>
      <name val="Calibri"/>
      <family val="2"/>
    </font>
    <font>
      <b/>
      <sz val="9"/>
      <color theme="1"/>
      <name val="Aptos Narrow"/>
      <family val="2"/>
      <scheme val="minor"/>
    </font>
    <font>
      <b/>
      <sz val="12"/>
      <color rgb="FF000000"/>
      <name val="Calibri"/>
      <family val="2"/>
    </font>
    <font>
      <b/>
      <i/>
      <sz val="9"/>
      <color theme="1"/>
      <name val="Aptos Narrow"/>
      <family val="2"/>
      <scheme val="minor"/>
    </font>
    <font>
      <b/>
      <sz val="12"/>
      <color rgb="FF000000"/>
      <name val="Aptos Narrow"/>
      <family val="2"/>
      <scheme val="minor"/>
    </font>
    <font>
      <b/>
      <sz val="12"/>
      <color theme="1"/>
      <name val="Aptos Narrow"/>
      <family val="2"/>
      <scheme val="minor"/>
    </font>
    <font>
      <sz val="11"/>
      <color rgb="FFFF0000"/>
      <name val="Aptos Narrow"/>
      <family val="2"/>
      <scheme val="minor"/>
    </font>
    <font>
      <b/>
      <i/>
      <sz val="11"/>
      <color theme="1"/>
      <name val="Aptos Narrow"/>
      <family val="2"/>
      <scheme val="minor"/>
    </font>
    <font>
      <b/>
      <sz val="11"/>
      <color rgb="FFFF0000"/>
      <name val="Aptos Narrow"/>
      <family val="2"/>
      <scheme val="minor"/>
    </font>
    <font>
      <sz val="9"/>
      <color indexed="8"/>
      <name val="Aptos Narrow"/>
      <family val="2"/>
      <scheme val="minor"/>
    </font>
    <font>
      <sz val="8"/>
      <color theme="1"/>
      <name val="Aptos Narrow"/>
      <family val="2"/>
      <scheme val="minor"/>
    </font>
    <font>
      <sz val="11"/>
      <color rgb="FF000000"/>
      <name val="Aptos Narrow"/>
      <family val="2"/>
      <scheme val="minor"/>
    </font>
    <font>
      <b/>
      <sz val="11"/>
      <color rgb="FF000000"/>
      <name val="Aptos Narrow"/>
      <family val="2"/>
      <scheme val="minor"/>
    </font>
    <font>
      <b/>
      <sz val="11"/>
      <color rgb="FF0070C0"/>
      <name val="Aptos Narrow"/>
      <family val="2"/>
      <scheme val="minor"/>
    </font>
    <font>
      <b/>
      <sz val="11"/>
      <name val="Aptos Narrow"/>
      <family val="2"/>
      <scheme val="minor"/>
    </font>
    <font>
      <b/>
      <sz val="11"/>
      <color rgb="FF000000"/>
      <name val="Calibri"/>
      <family val="2"/>
    </font>
    <font>
      <sz val="11"/>
      <color theme="1"/>
      <name val="Calibri"/>
      <family val="2"/>
    </font>
    <font>
      <b/>
      <sz val="9"/>
      <name val="Aptos Narrow"/>
      <family val="2"/>
      <scheme val="minor"/>
    </font>
    <font>
      <b/>
      <i/>
      <sz val="9"/>
      <name val="Aptos Narrow"/>
      <family val="2"/>
      <scheme val="minor"/>
    </font>
    <font>
      <b/>
      <sz val="12"/>
      <name val="Aptos Narrow"/>
      <family val="2"/>
      <scheme val="minor"/>
    </font>
    <font>
      <b/>
      <sz val="10"/>
      <color rgb="FF000000"/>
      <name val="Aptos Narrow"/>
      <family val="2"/>
      <scheme val="minor"/>
    </font>
  </fonts>
  <fills count="18">
    <fill>
      <patternFill patternType="none"/>
    </fill>
    <fill>
      <patternFill patternType="gray125"/>
    </fill>
    <fill>
      <patternFill patternType="solid">
        <fgColor rgb="FFDEEAF6"/>
        <bgColor indexed="64"/>
      </patternFill>
    </fill>
    <fill>
      <patternFill patternType="solid">
        <fgColor rgb="FF92D05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
      <patternFill patternType="solid">
        <fgColor theme="3" tint="0.89999084444715716"/>
        <bgColor indexed="64"/>
      </patternFill>
    </fill>
    <fill>
      <patternFill patternType="solid">
        <fgColor theme="2"/>
        <bgColor indexed="64"/>
      </patternFill>
    </fill>
    <fill>
      <patternFill patternType="solid">
        <fgColor theme="6" tint="0.79998168889431442"/>
        <bgColor indexed="64"/>
      </patternFill>
    </fill>
    <fill>
      <patternFill patternType="solid">
        <fgColor theme="3" tint="0.74999237037263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79998168889431442"/>
        <bgColor theme="4" tint="0.79998168889431442"/>
      </patternFill>
    </fill>
    <fill>
      <patternFill patternType="solid">
        <fgColor rgb="FF00B0F0"/>
        <bgColor indexed="64"/>
      </patternFill>
    </fill>
    <fill>
      <patternFill patternType="solid">
        <fgColor rgb="FFC00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thin">
        <color theme="4" tint="0.3999755851924192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168" fontId="1" fillId="0" borderId="0" applyFont="0" applyFill="0" applyBorder="0" applyAlignment="0" applyProtection="0"/>
    <xf numFmtId="0" fontId="3" fillId="0" borderId="0"/>
    <xf numFmtId="9" fontId="3" fillId="0" borderId="0" applyFont="0" applyFill="0" applyBorder="0" applyAlignment="0" applyProtection="0"/>
    <xf numFmtId="167" fontId="3"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cellStyleXfs>
  <cellXfs count="296">
    <xf numFmtId="0" fontId="0" fillId="0" borderId="0" xfId="0"/>
    <xf numFmtId="0" fontId="4" fillId="0" borderId="0" xfId="2" applyFont="1"/>
    <xf numFmtId="49" fontId="4" fillId="0" borderId="0" xfId="2" applyNumberFormat="1" applyFont="1"/>
    <xf numFmtId="0" fontId="7" fillId="2" borderId="1" xfId="2" applyFont="1" applyFill="1" applyBorder="1" applyAlignment="1">
      <alignment horizontal="center" vertical="center" wrapText="1"/>
    </xf>
    <xf numFmtId="0" fontId="7" fillId="2" borderId="1" xfId="2" applyFont="1" applyFill="1" applyBorder="1" applyAlignment="1">
      <alignment horizontal="center" vertical="center"/>
    </xf>
    <xf numFmtId="0" fontId="5" fillId="0" borderId="0" xfId="2" applyFont="1" applyAlignment="1">
      <alignment horizontal="center"/>
    </xf>
    <xf numFmtId="0" fontId="9" fillId="0" borderId="1" xfId="2" applyFont="1" applyBorder="1" applyAlignment="1">
      <alignment horizontal="center" vertical="center" wrapText="1"/>
    </xf>
    <xf numFmtId="0" fontId="9" fillId="0" borderId="1" xfId="2" applyFont="1" applyBorder="1" applyAlignment="1">
      <alignment horizontal="left" vertical="center" wrapText="1"/>
    </xf>
    <xf numFmtId="0" fontId="10" fillId="0" borderId="1" xfId="2" applyFont="1" applyBorder="1" applyAlignment="1">
      <alignment horizontal="center" vertical="center"/>
    </xf>
    <xf numFmtId="10" fontId="6" fillId="0" borderId="0" xfId="3" applyNumberFormat="1" applyFont="1" applyFill="1"/>
    <xf numFmtId="49" fontId="6" fillId="0" borderId="0" xfId="3" applyNumberFormat="1" applyFont="1" applyFill="1"/>
    <xf numFmtId="167" fontId="6" fillId="0" borderId="0" xfId="4" applyFont="1" applyBorder="1"/>
    <xf numFmtId="9" fontId="6" fillId="0" borderId="0" xfId="3" applyFont="1" applyBorder="1"/>
    <xf numFmtId="167" fontId="4" fillId="0" borderId="0" xfId="2" applyNumberFormat="1" applyFont="1"/>
    <xf numFmtId="10" fontId="4" fillId="0" borderId="0" xfId="2" applyNumberFormat="1" applyFont="1"/>
    <xf numFmtId="165" fontId="4" fillId="0" borderId="0" xfId="2" applyNumberFormat="1" applyFont="1"/>
    <xf numFmtId="1" fontId="4" fillId="0" borderId="0" xfId="2" applyNumberFormat="1" applyFont="1"/>
    <xf numFmtId="49" fontId="5" fillId="0" borderId="0" xfId="2" applyNumberFormat="1" applyFont="1"/>
    <xf numFmtId="49" fontId="5" fillId="0" borderId="0" xfId="4" applyNumberFormat="1" applyFont="1" applyFill="1"/>
    <xf numFmtId="165" fontId="10" fillId="0" borderId="0" xfId="2" applyNumberFormat="1" applyFont="1" applyAlignment="1">
      <alignment horizontal="justify" vertical="center"/>
    </xf>
    <xf numFmtId="0" fontId="9" fillId="0" borderId="0" xfId="2" applyFont="1" applyAlignment="1">
      <alignment horizontal="left" vertical="center" wrapText="1"/>
    </xf>
    <xf numFmtId="0" fontId="10" fillId="0" borderId="0" xfId="2" applyFont="1" applyAlignment="1">
      <alignment horizontal="justify" vertical="center"/>
    </xf>
    <xf numFmtId="0" fontId="6" fillId="0" borderId="0" xfId="0" applyFont="1"/>
    <xf numFmtId="167" fontId="6" fillId="0" borderId="0" xfId="4" applyFont="1"/>
    <xf numFmtId="0" fontId="4" fillId="0" borderId="1" xfId="2" applyFont="1" applyBorder="1"/>
    <xf numFmtId="166" fontId="4" fillId="0" borderId="0" xfId="2" applyNumberFormat="1" applyFont="1"/>
    <xf numFmtId="0" fontId="9" fillId="0" borderId="0" xfId="2" applyFont="1"/>
    <xf numFmtId="0" fontId="9" fillId="0" borderId="0" xfId="2" applyFont="1" applyAlignment="1">
      <alignment horizontal="left" vertical="center"/>
    </xf>
    <xf numFmtId="0" fontId="2" fillId="0" borderId="0" xfId="0" applyFont="1"/>
    <xf numFmtId="0" fontId="5" fillId="0" borderId="0" xfId="2" applyFont="1" applyAlignment="1">
      <alignment horizontal="center" wrapText="1"/>
    </xf>
    <xf numFmtId="49" fontId="5" fillId="0" borderId="0" xfId="2" applyNumberFormat="1" applyFont="1" applyAlignment="1">
      <alignment horizontal="center" vertical="center"/>
    </xf>
    <xf numFmtId="0" fontId="5" fillId="0" borderId="0" xfId="2" applyFont="1"/>
    <xf numFmtId="9" fontId="4" fillId="0" borderId="0" xfId="2" applyNumberFormat="1" applyFont="1"/>
    <xf numFmtId="9" fontId="6" fillId="0" borderId="0" xfId="3" applyFont="1" applyFill="1"/>
    <xf numFmtId="40" fontId="10" fillId="0" borderId="1" xfId="2" applyNumberFormat="1" applyFont="1" applyBorder="1" applyAlignment="1">
      <alignment horizontal="justify" vertical="center"/>
    </xf>
    <xf numFmtId="40" fontId="7" fillId="0" borderId="1" xfId="2" applyNumberFormat="1" applyFont="1" applyBorder="1" applyAlignment="1">
      <alignment horizontal="justify" vertical="center"/>
    </xf>
    <xf numFmtId="0" fontId="7" fillId="0" borderId="1" xfId="2" applyFont="1" applyBorder="1" applyAlignment="1">
      <alignment horizontal="justify" vertical="center"/>
    </xf>
    <xf numFmtId="165" fontId="7" fillId="0" borderId="0" xfId="2" applyNumberFormat="1" applyFont="1" applyAlignment="1">
      <alignment horizontal="justify" vertical="center"/>
    </xf>
    <xf numFmtId="40" fontId="12" fillId="4" borderId="1" xfId="2" applyNumberFormat="1" applyFont="1" applyFill="1" applyBorder="1" applyAlignment="1">
      <alignment horizontal="justify" vertical="center"/>
    </xf>
    <xf numFmtId="0" fontId="11" fillId="0" borderId="1" xfId="0" applyFont="1" applyBorder="1" applyAlignment="1">
      <alignment horizontal="center" vertical="center" wrapText="1"/>
    </xf>
    <xf numFmtId="169" fontId="11" fillId="5" borderId="1" xfId="1" applyNumberFormat="1" applyFont="1" applyFill="1" applyBorder="1" applyAlignment="1">
      <alignment horizontal="center" vertical="center" wrapText="1"/>
    </xf>
    <xf numFmtId="169" fontId="13" fillId="0" borderId="1" xfId="1" applyNumberFormat="1" applyFont="1" applyBorder="1" applyAlignment="1">
      <alignment horizontal="center" vertical="center" wrapText="1"/>
    </xf>
    <xf numFmtId="0" fontId="11" fillId="0" borderId="0" xfId="0" applyFont="1" applyAlignment="1">
      <alignment horizontal="center" vertical="center" wrapText="1"/>
    </xf>
    <xf numFmtId="0" fontId="6" fillId="0" borderId="1" xfId="0" applyFont="1" applyBorder="1"/>
    <xf numFmtId="168" fontId="6" fillId="0" borderId="1" xfId="1" applyFont="1" applyBorder="1"/>
    <xf numFmtId="10" fontId="6" fillId="0" borderId="0" xfId="0" applyNumberFormat="1" applyFont="1"/>
    <xf numFmtId="168" fontId="6" fillId="0" borderId="0" xfId="1" applyFont="1"/>
    <xf numFmtId="0" fontId="11" fillId="0" borderId="1" xfId="0" applyFont="1" applyBorder="1"/>
    <xf numFmtId="168" fontId="11" fillId="0" borderId="1" xfId="0" applyNumberFormat="1" applyFont="1" applyBorder="1"/>
    <xf numFmtId="0" fontId="11" fillId="0" borderId="0" xfId="0" applyFont="1"/>
    <xf numFmtId="168" fontId="11" fillId="0" borderId="0" xfId="0" applyNumberFormat="1" applyFont="1"/>
    <xf numFmtId="0" fontId="11" fillId="0" borderId="0" xfId="0" applyFont="1" applyAlignment="1">
      <alignment horizontal="right"/>
    </xf>
    <xf numFmtId="168" fontId="11" fillId="0" borderId="0" xfId="1" applyFont="1" applyFill="1" applyBorder="1"/>
    <xf numFmtId="168" fontId="4" fillId="0" borderId="0" xfId="1" applyFont="1"/>
    <xf numFmtId="0" fontId="5" fillId="4" borderId="1" xfId="2" applyFont="1" applyFill="1" applyBorder="1" applyAlignment="1">
      <alignment horizontal="center" vertical="center"/>
    </xf>
    <xf numFmtId="169" fontId="11" fillId="4" borderId="1" xfId="1" applyNumberFormat="1" applyFont="1" applyFill="1" applyBorder="1" applyAlignment="1">
      <alignment horizontal="center" vertical="center" wrapText="1"/>
    </xf>
    <xf numFmtId="169" fontId="13" fillId="4" borderId="1" xfId="1" applyNumberFormat="1" applyFont="1" applyFill="1" applyBorder="1" applyAlignment="1">
      <alignment horizontal="center" vertical="center" wrapText="1"/>
    </xf>
    <xf numFmtId="0" fontId="2" fillId="4" borderId="1" xfId="0" applyFont="1" applyFill="1" applyBorder="1" applyAlignment="1">
      <alignment horizontal="center" vertical="center"/>
    </xf>
    <xf numFmtId="168" fontId="5" fillId="4" borderId="1" xfId="1" applyFont="1" applyFill="1" applyBorder="1" applyAlignment="1">
      <alignment horizontal="center" vertical="center"/>
    </xf>
    <xf numFmtId="168" fontId="6" fillId="4" borderId="1" xfId="1" applyFont="1" applyFill="1" applyBorder="1" applyAlignment="1">
      <alignment horizontal="center" vertical="center" wrapText="1"/>
    </xf>
    <xf numFmtId="168" fontId="4" fillId="4" borderId="1" xfId="1" applyFont="1" applyFill="1" applyBorder="1"/>
    <xf numFmtId="168" fontId="14" fillId="4" borderId="1" xfId="1" applyFont="1" applyFill="1" applyBorder="1" applyAlignment="1">
      <alignment horizontal="center" vertical="center"/>
    </xf>
    <xf numFmtId="168" fontId="15" fillId="4" borderId="1" xfId="1" applyFont="1" applyFill="1" applyBorder="1" applyAlignment="1">
      <alignment horizontal="center" vertical="center" wrapText="1"/>
    </xf>
    <xf numFmtId="0" fontId="2" fillId="0" borderId="0" xfId="0" applyFont="1" applyAlignment="1">
      <alignment vertical="center"/>
    </xf>
    <xf numFmtId="0" fontId="2" fillId="6" borderId="0" xfId="0" applyFont="1" applyFill="1" applyAlignment="1">
      <alignment vertical="center"/>
    </xf>
    <xf numFmtId="0" fontId="0" fillId="0" borderId="0" xfId="0" applyAlignment="1">
      <alignment vertical="center"/>
    </xf>
    <xf numFmtId="0" fontId="0" fillId="0" borderId="0" xfId="0" applyAlignment="1">
      <alignment horizontal="center" vertical="center"/>
    </xf>
    <xf numFmtId="169" fontId="0" fillId="0" borderId="0" xfId="1" applyNumberFormat="1" applyFont="1" applyAlignment="1">
      <alignment vertical="center"/>
    </xf>
    <xf numFmtId="0" fontId="16" fillId="0" borderId="0" xfId="0" applyFont="1" applyAlignment="1">
      <alignment horizontal="center" vertical="center"/>
    </xf>
    <xf numFmtId="169" fontId="17" fillId="0" borderId="0" xfId="1" applyNumberFormat="1" applyFont="1" applyAlignment="1">
      <alignment vertical="center"/>
    </xf>
    <xf numFmtId="0" fontId="18" fillId="6" borderId="0" xfId="0" applyFont="1" applyFill="1" applyAlignment="1">
      <alignment vertical="center"/>
    </xf>
    <xf numFmtId="0" fontId="2" fillId="0" borderId="1" xfId="0" applyFont="1" applyBorder="1" applyAlignment="1">
      <alignment horizontal="center" vertical="center" wrapText="1"/>
    </xf>
    <xf numFmtId="169" fontId="2" fillId="5" borderId="1" xfId="1" applyNumberFormat="1" applyFont="1" applyFill="1" applyBorder="1" applyAlignment="1">
      <alignment horizontal="center" vertical="center" wrapText="1"/>
    </xf>
    <xf numFmtId="169" fontId="17" fillId="0" borderId="1" xfId="1" applyNumberFormat="1" applyFont="1" applyBorder="1" applyAlignment="1">
      <alignment horizontal="center" vertical="center" wrapText="1"/>
    </xf>
    <xf numFmtId="169" fontId="2" fillId="0" borderId="0" xfId="1" applyNumberFormat="1"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169" fontId="0" fillId="0" borderId="1" xfId="1" applyNumberFormat="1" applyFont="1" applyBorder="1" applyAlignment="1">
      <alignment vertical="center"/>
    </xf>
    <xf numFmtId="169" fontId="17" fillId="0" borderId="1" xfId="1" applyNumberFormat="1" applyFont="1" applyBorder="1" applyAlignment="1">
      <alignment vertical="center"/>
    </xf>
    <xf numFmtId="0" fontId="2" fillId="7" borderId="1" xfId="0" applyFont="1" applyFill="1" applyBorder="1" applyAlignment="1">
      <alignment vertical="center"/>
    </xf>
    <xf numFmtId="0" fontId="2" fillId="6" borderId="1" xfId="0" applyFont="1" applyFill="1" applyBorder="1" applyAlignment="1">
      <alignment vertical="center"/>
    </xf>
    <xf numFmtId="0" fontId="0" fillId="6" borderId="1" xfId="0" applyFill="1" applyBorder="1" applyAlignment="1">
      <alignment horizontal="center" vertical="center"/>
    </xf>
    <xf numFmtId="0" fontId="0" fillId="6" borderId="1" xfId="0" applyFill="1" applyBorder="1" applyAlignment="1">
      <alignment vertical="center"/>
    </xf>
    <xf numFmtId="169" fontId="0" fillId="6" borderId="1" xfId="1" applyNumberFormat="1" applyFont="1" applyFill="1" applyBorder="1" applyAlignment="1">
      <alignment vertical="center"/>
    </xf>
    <xf numFmtId="169" fontId="17" fillId="6" borderId="1" xfId="1" applyNumberFormat="1" applyFont="1" applyFill="1" applyBorder="1" applyAlignment="1">
      <alignment vertical="center"/>
    </xf>
    <xf numFmtId="9" fontId="0" fillId="0" borderId="1" xfId="5" applyFont="1" applyBorder="1" applyAlignment="1">
      <alignment horizontal="center" vertical="center"/>
    </xf>
    <xf numFmtId="169" fontId="17" fillId="0" borderId="1" xfId="1" applyNumberFormat="1" applyFont="1" applyBorder="1" applyAlignment="1">
      <alignment horizontal="center" vertical="center"/>
    </xf>
    <xf numFmtId="169" fontId="0" fillId="0" borderId="1" xfId="1" applyNumberFormat="1" applyFont="1" applyBorder="1" applyAlignment="1">
      <alignment horizontal="center" vertical="center"/>
    </xf>
    <xf numFmtId="168" fontId="0" fillId="0" borderId="0" xfId="1" applyFont="1" applyAlignment="1">
      <alignment vertical="center"/>
    </xf>
    <xf numFmtId="168" fontId="6" fillId="4" borderId="1" xfId="0" applyNumberFormat="1" applyFont="1" applyFill="1" applyBorder="1"/>
    <xf numFmtId="168" fontId="19" fillId="4" borderId="1" xfId="0" applyNumberFormat="1" applyFont="1" applyFill="1" applyBorder="1"/>
    <xf numFmtId="168" fontId="6" fillId="0" borderId="0" xfId="1" applyFont="1" applyBorder="1"/>
    <xf numFmtId="40" fontId="6" fillId="0" borderId="0" xfId="0" applyNumberFormat="1" applyFont="1"/>
    <xf numFmtId="168" fontId="6" fillId="0" borderId="0" xfId="1" applyFont="1" applyFill="1" applyBorder="1"/>
    <xf numFmtId="168" fontId="0" fillId="0" borderId="0" xfId="1" applyFont="1" applyBorder="1"/>
    <xf numFmtId="168" fontId="2" fillId="0" borderId="0" xfId="1" applyFont="1" applyBorder="1"/>
    <xf numFmtId="0" fontId="11" fillId="0" borderId="0" xfId="0" applyFont="1" applyAlignment="1">
      <alignment wrapText="1"/>
    </xf>
    <xf numFmtId="14" fontId="11" fillId="0" borderId="0" xfId="0" applyNumberFormat="1" applyFont="1" applyAlignment="1">
      <alignment wrapText="1"/>
    </xf>
    <xf numFmtId="168" fontId="6" fillId="0" borderId="0" xfId="0" applyNumberFormat="1" applyFont="1"/>
    <xf numFmtId="14" fontId="6" fillId="0" borderId="0" xfId="0" applyNumberFormat="1" applyFont="1"/>
    <xf numFmtId="4" fontId="6" fillId="0" borderId="0" xfId="0" applyNumberFormat="1" applyFont="1"/>
    <xf numFmtId="0" fontId="11" fillId="4" borderId="0" xfId="0" applyFont="1" applyFill="1"/>
    <xf numFmtId="14" fontId="4" fillId="0" borderId="0" xfId="0" applyNumberFormat="1" applyFont="1"/>
    <xf numFmtId="0" fontId="11" fillId="0" borderId="1" xfId="0" applyFont="1" applyBorder="1" applyAlignment="1">
      <alignment horizontal="center" vertical="center"/>
    </xf>
    <xf numFmtId="40" fontId="11" fillId="0" borderId="1" xfId="0" applyNumberFormat="1" applyFont="1" applyBorder="1" applyAlignment="1">
      <alignment horizontal="center" vertical="center"/>
    </xf>
    <xf numFmtId="40" fontId="6" fillId="0" borderId="1" xfId="0" applyNumberFormat="1" applyFont="1" applyBorder="1"/>
    <xf numFmtId="0" fontId="11" fillId="0" borderId="0" xfId="0" applyFont="1" applyAlignment="1">
      <alignment horizontal="center" vertical="center"/>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4" fontId="6" fillId="0" borderId="1" xfId="0" applyNumberFormat="1" applyFont="1" applyBorder="1"/>
    <xf numFmtId="3" fontId="6" fillId="0" borderId="0" xfId="0" applyNumberFormat="1" applyFont="1"/>
    <xf numFmtId="4" fontId="11" fillId="0" borderId="1" xfId="0" applyNumberFormat="1" applyFont="1" applyBorder="1"/>
    <xf numFmtId="0" fontId="0" fillId="8" borderId="1" xfId="0" applyFill="1" applyBorder="1"/>
    <xf numFmtId="0" fontId="2" fillId="8" borderId="1" xfId="0" applyFont="1" applyFill="1" applyBorder="1" applyAlignment="1">
      <alignment horizontal="center"/>
    </xf>
    <xf numFmtId="0" fontId="2" fillId="8" borderId="0" xfId="0" applyFont="1" applyFill="1" applyAlignment="1">
      <alignment horizontal="center"/>
    </xf>
    <xf numFmtId="0" fontId="2" fillId="8" borderId="1" xfId="0" applyFont="1" applyFill="1" applyBorder="1" applyAlignment="1">
      <alignment horizontal="center" wrapText="1"/>
    </xf>
    <xf numFmtId="168" fontId="2" fillId="0" borderId="7" xfId="1" applyFont="1" applyFill="1" applyBorder="1" applyAlignment="1">
      <alignment vertical="center"/>
    </xf>
    <xf numFmtId="168" fontId="2" fillId="0" borderId="8" xfId="1" applyFont="1" applyFill="1" applyBorder="1" applyAlignment="1">
      <alignment vertical="center"/>
    </xf>
    <xf numFmtId="0" fontId="2" fillId="9" borderId="7" xfId="0" applyFont="1" applyFill="1" applyBorder="1"/>
    <xf numFmtId="0" fontId="2" fillId="10" borderId="7" xfId="0" applyFont="1" applyFill="1" applyBorder="1"/>
    <xf numFmtId="0" fontId="2" fillId="0" borderId="9" xfId="0" applyFont="1" applyBorder="1"/>
    <xf numFmtId="0" fontId="2" fillId="0" borderId="10" xfId="0" applyFont="1" applyBorder="1"/>
    <xf numFmtId="0" fontId="2" fillId="0" borderId="7" xfId="0" applyFont="1" applyBorder="1"/>
    <xf numFmtId="0" fontId="2" fillId="0" borderId="1" xfId="0" applyFont="1" applyBorder="1"/>
    <xf numFmtId="170" fontId="21" fillId="0" borderId="7" xfId="0" applyNumberFormat="1" applyFont="1" applyBorder="1" applyAlignment="1">
      <alignment horizontal="left" vertical="top"/>
    </xf>
    <xf numFmtId="170" fontId="21" fillId="0" borderId="8" xfId="0" applyNumberFormat="1" applyFont="1" applyBorder="1" applyAlignment="1">
      <alignment horizontal="left" vertical="top" wrapText="1"/>
    </xf>
    <xf numFmtId="165" fontId="0" fillId="9" borderId="7" xfId="0" applyNumberFormat="1" applyFill="1" applyBorder="1"/>
    <xf numFmtId="165" fontId="0" fillId="10" borderId="7" xfId="0" applyNumberFormat="1" applyFill="1" applyBorder="1"/>
    <xf numFmtId="10" fontId="0" fillId="0" borderId="0" xfId="5" applyNumberFormat="1" applyFont="1"/>
    <xf numFmtId="0" fontId="0" fillId="0" borderId="7" xfId="0" applyBorder="1"/>
    <xf numFmtId="165" fontId="0" fillId="0" borderId="8" xfId="0" applyNumberFormat="1" applyBorder="1"/>
    <xf numFmtId="9" fontId="0" fillId="0" borderId="7" xfId="0" applyNumberFormat="1" applyBorder="1"/>
    <xf numFmtId="170" fontId="0" fillId="8" borderId="1" xfId="6" applyNumberFormat="1" applyFont="1" applyFill="1" applyBorder="1" applyAlignment="1">
      <alignment horizontal="left" vertical="center" indent="2"/>
    </xf>
    <xf numFmtId="170" fontId="21" fillId="0" borderId="7" xfId="6" applyNumberFormat="1" applyFont="1" applyFill="1" applyBorder="1" applyAlignment="1">
      <alignment horizontal="left" vertical="top"/>
    </xf>
    <xf numFmtId="0" fontId="0" fillId="0" borderId="11" xfId="0" applyBorder="1"/>
    <xf numFmtId="165" fontId="0" fillId="0" borderId="12" xfId="0" applyNumberFormat="1" applyBorder="1"/>
    <xf numFmtId="170" fontId="21" fillId="0" borderId="7" xfId="5" applyNumberFormat="1" applyFont="1" applyFill="1" applyBorder="1" applyAlignment="1">
      <alignment horizontal="left" vertical="top"/>
    </xf>
    <xf numFmtId="0" fontId="0" fillId="9" borderId="7" xfId="0" applyFill="1" applyBorder="1"/>
    <xf numFmtId="0" fontId="2" fillId="0" borderId="13" xfId="0" applyFont="1" applyBorder="1" applyAlignment="1">
      <alignment horizontal="right"/>
    </xf>
    <xf numFmtId="170" fontId="2" fillId="0" borderId="14" xfId="6" applyNumberFormat="1" applyFont="1" applyFill="1" applyBorder="1" applyAlignment="1">
      <alignment horizontal="left" vertical="center" indent="2"/>
    </xf>
    <xf numFmtId="0" fontId="2" fillId="0" borderId="0" xfId="0" applyFont="1" applyAlignment="1">
      <alignment horizontal="right"/>
    </xf>
    <xf numFmtId="170" fontId="2" fillId="0" borderId="0" xfId="6" applyNumberFormat="1" applyFont="1" applyFill="1" applyBorder="1" applyAlignment="1">
      <alignment horizontal="left" vertical="center" indent="2"/>
    </xf>
    <xf numFmtId="170" fontId="3" fillId="0" borderId="7" xfId="0" applyNumberFormat="1" applyFont="1" applyBorder="1" applyAlignment="1">
      <alignment horizontal="left" vertical="top"/>
    </xf>
    <xf numFmtId="9" fontId="0" fillId="0" borderId="9" xfId="0" applyNumberFormat="1" applyBorder="1"/>
    <xf numFmtId="168" fontId="2" fillId="5" borderId="7" xfId="1" applyFont="1" applyFill="1" applyBorder="1" applyAlignment="1">
      <alignment vertical="center"/>
    </xf>
    <xf numFmtId="170" fontId="22" fillId="0" borderId="7" xfId="6" applyNumberFormat="1" applyFont="1" applyFill="1" applyBorder="1" applyAlignment="1">
      <alignment horizontal="left" vertical="top"/>
    </xf>
    <xf numFmtId="170" fontId="22" fillId="0" borderId="8" xfId="6" applyNumberFormat="1" applyFont="1" applyFill="1" applyBorder="1" applyAlignment="1">
      <alignment horizontal="left" vertical="top"/>
    </xf>
    <xf numFmtId="165" fontId="2" fillId="9" borderId="7" xfId="0" applyNumberFormat="1" applyFont="1" applyFill="1" applyBorder="1"/>
    <xf numFmtId="165" fontId="2" fillId="10" borderId="7" xfId="0" applyNumberFormat="1" applyFont="1" applyFill="1" applyBorder="1"/>
    <xf numFmtId="165" fontId="0" fillId="0" borderId="0" xfId="0" applyNumberFormat="1"/>
    <xf numFmtId="165" fontId="2" fillId="0" borderId="10" xfId="0" applyNumberFormat="1" applyFont="1" applyBorder="1"/>
    <xf numFmtId="0" fontId="2" fillId="0" borderId="13" xfId="0" applyFont="1" applyBorder="1"/>
    <xf numFmtId="9" fontId="2" fillId="0" borderId="7" xfId="0" applyNumberFormat="1" applyFont="1" applyBorder="1" applyAlignment="1">
      <alignment horizontal="center" vertical="center"/>
    </xf>
    <xf numFmtId="10" fontId="0" fillId="0" borderId="0" xfId="0" applyNumberFormat="1"/>
    <xf numFmtId="0" fontId="0" fillId="0" borderId="9" xfId="0" applyBorder="1"/>
    <xf numFmtId="165" fontId="0" fillId="0" borderId="9" xfId="0" applyNumberFormat="1" applyBorder="1"/>
    <xf numFmtId="9" fontId="0" fillId="0" borderId="13" xfId="5" applyFont="1" applyBorder="1"/>
    <xf numFmtId="170" fontId="0" fillId="0" borderId="7" xfId="6" applyNumberFormat="1" applyFont="1" applyFill="1" applyBorder="1"/>
    <xf numFmtId="0" fontId="2" fillId="3" borderId="0" xfId="0" applyFont="1" applyFill="1" applyAlignment="1">
      <alignment horizontal="center"/>
    </xf>
    <xf numFmtId="9" fontId="0" fillId="0" borderId="0" xfId="5" applyFont="1"/>
    <xf numFmtId="165" fontId="2" fillId="0" borderId="7" xfId="0" applyNumberFormat="1" applyFont="1" applyBorder="1"/>
    <xf numFmtId="0" fontId="0" fillId="0" borderId="13" xfId="0" applyBorder="1"/>
    <xf numFmtId="170" fontId="23" fillId="0" borderId="7" xfId="6" applyNumberFormat="1" applyFont="1" applyFill="1" applyBorder="1"/>
    <xf numFmtId="167" fontId="0" fillId="3" borderId="0" xfId="0" applyNumberFormat="1" applyFill="1"/>
    <xf numFmtId="170" fontId="24" fillId="0" borderId="7" xfId="6" applyNumberFormat="1" applyFont="1" applyFill="1" applyBorder="1"/>
    <xf numFmtId="170" fontId="0" fillId="3" borderId="0" xfId="0" applyNumberFormat="1" applyFill="1"/>
    <xf numFmtId="0" fontId="0" fillId="3" borderId="0" xfId="0" applyFill="1"/>
    <xf numFmtId="170" fontId="2" fillId="0" borderId="7" xfId="6" applyNumberFormat="1" applyFont="1" applyFill="1" applyBorder="1"/>
    <xf numFmtId="171" fontId="0" fillId="0" borderId="0" xfId="5" applyNumberFormat="1" applyFont="1"/>
    <xf numFmtId="0" fontId="25" fillId="0" borderId="15" xfId="0" applyFont="1" applyBorder="1"/>
    <xf numFmtId="0" fontId="25" fillId="0" borderId="16" xfId="0" applyFont="1" applyBorder="1" applyAlignment="1">
      <alignment horizontal="center"/>
    </xf>
    <xf numFmtId="0" fontId="25" fillId="11" borderId="17" xfId="0" applyFont="1" applyFill="1" applyBorder="1" applyAlignment="1">
      <alignment vertical="center" wrapText="1"/>
    </xf>
    <xf numFmtId="9" fontId="26" fillId="0" borderId="1" xfId="0" applyNumberFormat="1" applyFont="1" applyBorder="1" applyAlignment="1">
      <alignment horizontal="center"/>
    </xf>
    <xf numFmtId="170" fontId="26" fillId="12" borderId="1" xfId="6" applyNumberFormat="1" applyFont="1" applyFill="1" applyBorder="1"/>
    <xf numFmtId="170" fontId="25" fillId="12" borderId="1" xfId="6" applyNumberFormat="1" applyFont="1" applyFill="1" applyBorder="1"/>
    <xf numFmtId="0" fontId="25" fillId="0" borderId="0" xfId="0" applyFont="1" applyAlignment="1">
      <alignment vertical="center" wrapText="1"/>
    </xf>
    <xf numFmtId="9" fontId="26" fillId="0" borderId="0" xfId="0" applyNumberFormat="1" applyFont="1" applyAlignment="1">
      <alignment horizontal="center"/>
    </xf>
    <xf numFmtId="170" fontId="26" fillId="0" borderId="0" xfId="6" applyNumberFormat="1" applyFont="1" applyFill="1" applyBorder="1"/>
    <xf numFmtId="170" fontId="25" fillId="0" borderId="0" xfId="6" applyNumberFormat="1" applyFont="1" applyFill="1" applyBorder="1"/>
    <xf numFmtId="0" fontId="2" fillId="0" borderId="20" xfId="0" applyFont="1" applyBorder="1"/>
    <xf numFmtId="0" fontId="0" fillId="0" borderId="20" xfId="0" applyBorder="1"/>
    <xf numFmtId="0" fontId="2" fillId="13" borderId="20" xfId="0" applyFont="1" applyFill="1" applyBorder="1" applyAlignment="1">
      <alignment vertical="center" wrapText="1"/>
    </xf>
    <xf numFmtId="172" fontId="2" fillId="14" borderId="4" xfId="0" applyNumberFormat="1" applyFont="1" applyFill="1" applyBorder="1" applyAlignment="1">
      <alignment horizontal="center" vertical="center" wrapText="1"/>
    </xf>
    <xf numFmtId="172" fontId="2" fillId="14" borderId="20" xfId="0" applyNumberFormat="1" applyFont="1" applyFill="1" applyBorder="1" applyAlignment="1">
      <alignment horizontal="center" vertical="center" wrapText="1"/>
    </xf>
    <xf numFmtId="0" fontId="2" fillId="0" borderId="21" xfId="0" applyFont="1" applyBorder="1"/>
    <xf numFmtId="0" fontId="27" fillId="0" borderId="20" xfId="0" applyFont="1" applyBorder="1" applyAlignment="1">
      <alignment vertical="top" wrapText="1"/>
    </xf>
    <xf numFmtId="167" fontId="1" fillId="0" borderId="20" xfId="0" applyNumberFormat="1" applyFont="1" applyBorder="1" applyAlignment="1">
      <alignment horizontal="center" vertical="center"/>
    </xf>
    <xf numFmtId="172" fontId="0" fillId="0" borderId="20" xfId="6" applyNumberFormat="1" applyFont="1" applyFill="1" applyBorder="1" applyAlignment="1">
      <alignment horizontal="center" vertical="center" wrapText="1"/>
    </xf>
    <xf numFmtId="1" fontId="1" fillId="0" borderId="20" xfId="0" applyNumberFormat="1" applyFont="1" applyBorder="1" applyAlignment="1">
      <alignment horizontal="center" vertical="center"/>
    </xf>
    <xf numFmtId="0" fontId="28" fillId="0" borderId="20" xfId="0" applyFont="1" applyBorder="1" applyAlignment="1">
      <alignment vertical="top" wrapText="1"/>
    </xf>
    <xf numFmtId="0" fontId="27" fillId="0" borderId="0" xfId="0" applyFont="1" applyAlignment="1">
      <alignment vertical="top" wrapText="1"/>
    </xf>
    <xf numFmtId="172" fontId="0" fillId="0" borderId="0" xfId="0" applyNumberFormat="1"/>
    <xf numFmtId="0" fontId="29" fillId="6" borderId="0" xfId="0" applyFont="1" applyFill="1" applyAlignment="1">
      <alignment vertical="top" wrapText="1"/>
    </xf>
    <xf numFmtId="172" fontId="15" fillId="6" borderId="0" xfId="0" applyNumberFormat="1" applyFont="1" applyFill="1" applyAlignment="1">
      <alignment horizontal="center"/>
    </xf>
    <xf numFmtId="1" fontId="15" fillId="6" borderId="0" xfId="0" applyNumberFormat="1" applyFont="1" applyFill="1" applyAlignment="1">
      <alignment horizontal="center"/>
    </xf>
    <xf numFmtId="172" fontId="0" fillId="0" borderId="0" xfId="0" applyNumberFormat="1" applyAlignment="1">
      <alignment horizontal="center"/>
    </xf>
    <xf numFmtId="170" fontId="0" fillId="0" borderId="0" xfId="0" applyNumberFormat="1" applyAlignment="1">
      <alignment horizontal="center"/>
    </xf>
    <xf numFmtId="164" fontId="0" fillId="0" borderId="0" xfId="0" applyNumberFormat="1" applyAlignment="1">
      <alignment horizontal="center"/>
    </xf>
    <xf numFmtId="170" fontId="0" fillId="0" borderId="0" xfId="0" applyNumberFormat="1"/>
    <xf numFmtId="40" fontId="6" fillId="0" borderId="1" xfId="1" applyNumberFormat="1" applyFont="1" applyFill="1" applyBorder="1"/>
    <xf numFmtId="40" fontId="11" fillId="0" borderId="1" xfId="0" applyNumberFormat="1" applyFont="1" applyBorder="1"/>
    <xf numFmtId="0" fontId="11" fillId="15" borderId="22" xfId="0" applyFont="1" applyFill="1" applyBorder="1" applyAlignment="1">
      <alignment wrapText="1"/>
    </xf>
    <xf numFmtId="0" fontId="6" fillId="0" borderId="0" xfId="0" applyFont="1" applyAlignment="1">
      <alignment wrapText="1"/>
    </xf>
    <xf numFmtId="0" fontId="11" fillId="0" borderId="22" xfId="0" applyFont="1" applyBorder="1"/>
    <xf numFmtId="0" fontId="11" fillId="3" borderId="22" xfId="0" applyFont="1" applyFill="1" applyBorder="1"/>
    <xf numFmtId="165" fontId="6" fillId="0" borderId="0" xfId="0" applyNumberFormat="1" applyFont="1"/>
    <xf numFmtId="0" fontId="6" fillId="3" borderId="0" xfId="0" applyFont="1" applyFill="1"/>
    <xf numFmtId="0" fontId="5" fillId="6" borderId="0" xfId="2" applyFont="1" applyFill="1"/>
    <xf numFmtId="9" fontId="4" fillId="6" borderId="0" xfId="2" applyNumberFormat="1" applyFont="1" applyFill="1"/>
    <xf numFmtId="9" fontId="6" fillId="6" borderId="0" xfId="3" applyFont="1" applyFill="1"/>
    <xf numFmtId="49" fontId="5" fillId="0" borderId="0" xfId="2" applyNumberFormat="1" applyFont="1" applyAlignment="1">
      <alignment horizontal="center"/>
    </xf>
    <xf numFmtId="165" fontId="10" fillId="0" borderId="1" xfId="2" applyNumberFormat="1" applyFont="1" applyBorder="1" applyAlignment="1">
      <alignment horizontal="justify" vertical="center"/>
    </xf>
    <xf numFmtId="168" fontId="6" fillId="0" borderId="0" xfId="1" applyFont="1" applyFill="1"/>
    <xf numFmtId="0" fontId="10" fillId="0" borderId="1" xfId="2" applyFont="1" applyBorder="1" applyAlignment="1">
      <alignment horizontal="justify" vertical="center"/>
    </xf>
    <xf numFmtId="0" fontId="6" fillId="0" borderId="0" xfId="0" pivotButton="1" applyFont="1"/>
    <xf numFmtId="0" fontId="6" fillId="0" borderId="0" xfId="0" pivotButton="1" applyFont="1" applyAlignment="1">
      <alignment wrapText="1"/>
    </xf>
    <xf numFmtId="0" fontId="5" fillId="0" borderId="0" xfId="2" applyFont="1" applyAlignment="1">
      <alignment horizontal="center" vertical="center"/>
    </xf>
    <xf numFmtId="169" fontId="11" fillId="0" borderId="0" xfId="1" applyNumberFormat="1" applyFont="1" applyFill="1" applyBorder="1" applyAlignment="1">
      <alignment horizontal="center" vertical="center" wrapText="1"/>
    </xf>
    <xf numFmtId="169" fontId="13" fillId="0" borderId="0" xfId="1" applyNumberFormat="1" applyFont="1" applyFill="1" applyBorder="1" applyAlignment="1">
      <alignment horizontal="center" vertical="center" wrapText="1"/>
    </xf>
    <xf numFmtId="0" fontId="2" fillId="0" borderId="0" xfId="0" applyFont="1" applyAlignment="1">
      <alignment horizontal="center" vertical="center"/>
    </xf>
    <xf numFmtId="168" fontId="14" fillId="0" borderId="0" xfId="1" applyFont="1" applyFill="1" applyBorder="1" applyAlignment="1">
      <alignment horizontal="center" vertical="center"/>
    </xf>
    <xf numFmtId="168" fontId="5" fillId="0" borderId="0" xfId="1" applyFont="1" applyFill="1" applyBorder="1" applyAlignment="1">
      <alignment horizontal="center" vertical="center"/>
    </xf>
    <xf numFmtId="168" fontId="6" fillId="0" borderId="0" xfId="1" applyFont="1" applyFill="1" applyBorder="1" applyAlignment="1">
      <alignment horizontal="center" vertical="center" wrapText="1"/>
    </xf>
    <xf numFmtId="168" fontId="4" fillId="0" borderId="0" xfId="1" applyFont="1" applyFill="1" applyBorder="1"/>
    <xf numFmtId="168" fontId="19" fillId="0" borderId="0" xfId="0" applyNumberFormat="1" applyFont="1"/>
    <xf numFmtId="168" fontId="15" fillId="0" borderId="0" xfId="1" applyFont="1" applyFill="1" applyBorder="1" applyAlignment="1">
      <alignment horizontal="center" vertical="center" wrapText="1"/>
    </xf>
    <xf numFmtId="168" fontId="4" fillId="0" borderId="0" xfId="2" applyNumberFormat="1" applyFont="1"/>
    <xf numFmtId="165" fontId="4" fillId="3" borderId="0" xfId="2" applyNumberFormat="1" applyFont="1" applyFill="1"/>
    <xf numFmtId="0" fontId="30" fillId="3" borderId="0" xfId="2" applyFont="1" applyFill="1"/>
    <xf numFmtId="165" fontId="30" fillId="3" borderId="0" xfId="2" applyNumberFormat="1" applyFont="1" applyFill="1"/>
    <xf numFmtId="0" fontId="7" fillId="2" borderId="20" xfId="2" applyFont="1" applyFill="1" applyBorder="1" applyAlignment="1">
      <alignment horizontal="center" vertical="center" wrapText="1"/>
    </xf>
    <xf numFmtId="0" fontId="7" fillId="2" borderId="20" xfId="2" applyFont="1" applyFill="1" applyBorder="1" applyAlignment="1">
      <alignment horizontal="center" vertical="center"/>
    </xf>
    <xf numFmtId="0" fontId="9" fillId="0" borderId="23" xfId="2" applyFont="1" applyBorder="1" applyAlignment="1">
      <alignment horizontal="center" vertical="center" wrapText="1"/>
    </xf>
    <xf numFmtId="0" fontId="9" fillId="0" borderId="20" xfId="2" applyFont="1" applyBorder="1" applyAlignment="1">
      <alignment horizontal="center" vertical="center" wrapText="1"/>
    </xf>
    <xf numFmtId="0" fontId="9" fillId="0" borderId="20" xfId="2" applyFont="1" applyBorder="1" applyAlignment="1">
      <alignment horizontal="left" vertical="center" wrapText="1"/>
    </xf>
    <xf numFmtId="40" fontId="10" fillId="0" borderId="20" xfId="2" applyNumberFormat="1" applyFont="1" applyBorder="1" applyAlignment="1">
      <alignment horizontal="justify" vertical="center"/>
    </xf>
    <xf numFmtId="0" fontId="10" fillId="0" borderId="20" xfId="2" applyFont="1" applyBorder="1" applyAlignment="1">
      <alignment horizontal="center" vertical="center"/>
    </xf>
    <xf numFmtId="0" fontId="0" fillId="3" borderId="1" xfId="0" applyFill="1" applyBorder="1"/>
    <xf numFmtId="4" fontId="21" fillId="3" borderId="1" xfId="2" applyNumberFormat="1" applyFont="1" applyFill="1" applyBorder="1"/>
    <xf numFmtId="4" fontId="22" fillId="0" borderId="0" xfId="2" applyNumberFormat="1" applyFont="1"/>
    <xf numFmtId="40" fontId="10" fillId="4" borderId="20" xfId="2" applyNumberFormat="1" applyFont="1" applyFill="1" applyBorder="1" applyAlignment="1">
      <alignment horizontal="justify" vertical="center"/>
    </xf>
    <xf numFmtId="0" fontId="10" fillId="0" borderId="20" xfId="2" applyFont="1" applyBorder="1" applyAlignment="1">
      <alignment horizontal="justify" vertical="center"/>
    </xf>
    <xf numFmtId="0" fontId="10" fillId="2" borderId="1" xfId="2" applyFont="1" applyFill="1" applyBorder="1" applyAlignment="1">
      <alignment horizontal="center" vertical="center" wrapText="1"/>
    </xf>
    <xf numFmtId="0" fontId="4" fillId="0" borderId="0" xfId="2" applyFont="1" applyAlignment="1">
      <alignment horizontal="right"/>
    </xf>
    <xf numFmtId="0" fontId="10" fillId="0" borderId="0" xfId="2" applyFont="1" applyAlignment="1">
      <alignment horizontal="right" vertical="center"/>
    </xf>
    <xf numFmtId="40" fontId="4" fillId="0" borderId="0" xfId="2" applyNumberFormat="1" applyFont="1"/>
    <xf numFmtId="0" fontId="9" fillId="6" borderId="1" xfId="2" applyFont="1" applyFill="1" applyBorder="1" applyAlignment="1">
      <alignment horizontal="center" vertical="center" wrapText="1"/>
    </xf>
    <xf numFmtId="0" fontId="9" fillId="6" borderId="1" xfId="2" applyFont="1" applyFill="1" applyBorder="1" applyAlignment="1">
      <alignment horizontal="left" vertical="center" wrapText="1"/>
    </xf>
    <xf numFmtId="165" fontId="10" fillId="6" borderId="1" xfId="2" applyNumberFormat="1" applyFont="1" applyFill="1" applyBorder="1" applyAlignment="1">
      <alignment horizontal="justify" vertical="center"/>
    </xf>
    <xf numFmtId="0" fontId="10" fillId="6" borderId="1" xfId="2" applyFont="1" applyFill="1" applyBorder="1" applyAlignment="1">
      <alignment horizontal="center" vertical="center"/>
    </xf>
    <xf numFmtId="165" fontId="11" fillId="0" borderId="0" xfId="0" applyNumberFormat="1" applyFont="1"/>
    <xf numFmtId="40" fontId="11" fillId="0" borderId="0" xfId="0" applyNumberFormat="1" applyFont="1"/>
    <xf numFmtId="40" fontId="11" fillId="6" borderId="0" xfId="0" applyNumberFormat="1" applyFont="1" applyFill="1"/>
    <xf numFmtId="165" fontId="2" fillId="0" borderId="0" xfId="0" applyNumberFormat="1" applyFont="1"/>
    <xf numFmtId="165" fontId="0" fillId="6" borderId="0" xfId="0" applyNumberFormat="1" applyFill="1"/>
    <xf numFmtId="168" fontId="6" fillId="6" borderId="0" xfId="1" applyFont="1" applyFill="1"/>
    <xf numFmtId="168" fontId="6" fillId="16" borderId="0" xfId="1" applyFont="1" applyFill="1"/>
    <xf numFmtId="168" fontId="6" fillId="4" borderId="0" xfId="1" applyFont="1" applyFill="1"/>
    <xf numFmtId="0" fontId="5" fillId="0" borderId="0" xfId="2" applyFont="1" applyAlignment="1">
      <alignment horizontal="center" vertical="center" wrapText="1"/>
    </xf>
    <xf numFmtId="0" fontId="9" fillId="0" borderId="1" xfId="2" applyFont="1" applyBorder="1" applyAlignment="1">
      <alignment horizontal="left" vertical="center" wrapText="1"/>
    </xf>
    <xf numFmtId="0" fontId="9" fillId="0" borderId="1" xfId="2" applyFont="1" applyBorder="1" applyAlignment="1">
      <alignment horizontal="center" vertical="center" wrapText="1"/>
    </xf>
    <xf numFmtId="0" fontId="9" fillId="0" borderId="1" xfId="2" applyFont="1" applyBorder="1" applyAlignment="1">
      <alignment horizontal="justify" vertical="center" wrapText="1"/>
    </xf>
    <xf numFmtId="0" fontId="14" fillId="3" borderId="1" xfId="2" applyFont="1" applyFill="1" applyBorder="1" applyAlignment="1">
      <alignment horizontal="center" vertical="center"/>
    </xf>
    <xf numFmtId="0" fontId="9" fillId="0" borderId="23" xfId="2" applyFont="1" applyBorder="1" applyAlignment="1">
      <alignment horizontal="center" vertical="center" wrapText="1"/>
    </xf>
    <xf numFmtId="0" fontId="9" fillId="0" borderId="21" xfId="2" applyFont="1" applyBorder="1" applyAlignment="1">
      <alignment horizontal="center" vertical="center" wrapText="1"/>
    </xf>
    <xf numFmtId="0" fontId="9" fillId="0" borderId="24" xfId="2" applyFont="1" applyBorder="1" applyAlignment="1">
      <alignment horizontal="center" vertical="center" wrapText="1"/>
    </xf>
    <xf numFmtId="0" fontId="9" fillId="0" borderId="20" xfId="2" applyFont="1" applyBorder="1" applyAlignment="1">
      <alignment horizontal="center" vertical="center" wrapText="1"/>
    </xf>
    <xf numFmtId="0" fontId="9" fillId="0" borderId="20" xfId="2" applyFont="1" applyBorder="1" applyAlignment="1">
      <alignment horizontal="left" vertical="center" wrapText="1"/>
    </xf>
    <xf numFmtId="0" fontId="9" fillId="0" borderId="20" xfId="2" applyFont="1" applyBorder="1" applyAlignment="1">
      <alignment horizontal="justify" vertical="center" wrapText="1"/>
    </xf>
    <xf numFmtId="0" fontId="9" fillId="0" borderId="25" xfId="2" applyFont="1" applyBorder="1" applyAlignment="1">
      <alignment horizontal="left" vertical="center" wrapText="1"/>
    </xf>
    <xf numFmtId="0" fontId="9" fillId="0" borderId="26" xfId="2" applyFont="1" applyBorder="1" applyAlignment="1">
      <alignment horizontal="left" vertical="center" wrapText="1"/>
    </xf>
    <xf numFmtId="0" fontId="9" fillId="0" borderId="27" xfId="2" applyFont="1" applyBorder="1" applyAlignment="1">
      <alignment horizontal="left" vertical="center" wrapText="1"/>
    </xf>
    <xf numFmtId="168" fontId="14" fillId="0" borderId="0" xfId="1" applyFont="1" applyFill="1" applyBorder="1" applyAlignment="1">
      <alignment horizontal="center" vertical="center"/>
    </xf>
    <xf numFmtId="0" fontId="8" fillId="0" borderId="1" xfId="2" applyFont="1" applyBorder="1" applyAlignment="1">
      <alignment horizontal="left" vertical="center" wrapText="1"/>
    </xf>
    <xf numFmtId="168" fontId="14" fillId="4" borderId="3" xfId="1" applyFont="1" applyFill="1" applyBorder="1" applyAlignment="1">
      <alignment horizontal="center" vertical="center"/>
    </xf>
    <xf numFmtId="168" fontId="14" fillId="4" borderId="4" xfId="1" applyFont="1" applyFill="1" applyBorder="1" applyAlignment="1">
      <alignment horizontal="center" vertical="center"/>
    </xf>
    <xf numFmtId="168" fontId="14" fillId="4" borderId="5" xfId="1" applyFont="1" applyFill="1" applyBorder="1" applyAlignment="1">
      <alignment horizontal="center" vertical="center"/>
    </xf>
    <xf numFmtId="40" fontId="11" fillId="0" borderId="1" xfId="0" applyNumberFormat="1" applyFont="1" applyBorder="1" applyAlignment="1">
      <alignment horizontal="center" vertical="center"/>
    </xf>
    <xf numFmtId="168" fontId="11" fillId="0" borderId="1" xfId="1" applyFont="1" applyBorder="1" applyAlignment="1">
      <alignment horizontal="center"/>
    </xf>
    <xf numFmtId="0" fontId="11" fillId="0" borderId="1" xfId="0" applyFont="1" applyBorder="1" applyAlignment="1">
      <alignment horizontal="center" vertical="center"/>
    </xf>
    <xf numFmtId="0" fontId="2" fillId="0" borderId="0" xfId="0" applyFont="1" applyAlignment="1">
      <alignment horizontal="center"/>
    </xf>
    <xf numFmtId="0" fontId="2" fillId="3" borderId="2" xfId="0" applyFont="1" applyFill="1" applyBorder="1" applyAlignment="1">
      <alignment horizontal="center"/>
    </xf>
    <xf numFmtId="0" fontId="2" fillId="4" borderId="2" xfId="0" applyFont="1" applyFill="1" applyBorder="1" applyAlignment="1">
      <alignment horizontal="center"/>
    </xf>
    <xf numFmtId="168" fontId="2" fillId="0" borderId="0" xfId="1" applyFont="1" applyFill="1" applyBorder="1" applyAlignment="1">
      <alignment horizontal="center" vertical="center"/>
    </xf>
    <xf numFmtId="0" fontId="25" fillId="11" borderId="18" xfId="0" applyFont="1" applyFill="1" applyBorder="1" applyAlignment="1">
      <alignment horizontal="center" vertical="center" wrapText="1"/>
    </xf>
    <xf numFmtId="0" fontId="25" fillId="11" borderId="19" xfId="0" applyFont="1" applyFill="1" applyBorder="1" applyAlignment="1">
      <alignment horizontal="center"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20" fillId="0" borderId="6" xfId="0" applyFont="1" applyBorder="1" applyAlignment="1">
      <alignment horizontal="left"/>
    </xf>
    <xf numFmtId="0" fontId="15" fillId="16" borderId="0" xfId="0" applyFont="1" applyFill="1" applyAlignment="1">
      <alignment horizontal="center"/>
    </xf>
    <xf numFmtId="0" fontId="2" fillId="4" borderId="0" xfId="0" applyFont="1" applyFill="1" applyAlignment="1">
      <alignment horizontal="center"/>
    </xf>
    <xf numFmtId="0" fontId="2" fillId="6" borderId="0" xfId="0" applyFont="1" applyFill="1" applyAlignment="1">
      <alignment horizontal="center"/>
    </xf>
    <xf numFmtId="0" fontId="15" fillId="17" borderId="0" xfId="0" applyFont="1" applyFill="1" applyAlignment="1">
      <alignment horizontal="center"/>
    </xf>
  </cellXfs>
  <cellStyles count="7">
    <cellStyle name="Comma" xfId="1" builtinId="3"/>
    <cellStyle name="Currency" xfId="6" builtinId="4"/>
    <cellStyle name="Currency 3" xfId="4" xr:uid="{EFFB067C-B4DD-4368-A7CF-9F5E1E2C0EF8}"/>
    <cellStyle name="Normal" xfId="0" builtinId="0"/>
    <cellStyle name="Normal 2" xfId="2" xr:uid="{633D327F-1224-43F1-9636-D5F7B6C575F3}"/>
    <cellStyle name="Percent" xfId="5" builtinId="5"/>
    <cellStyle name="Percent 3" xfId="3" xr:uid="{610663F8-04A9-49B0-873F-6C1A24C6D988}"/>
  </cellStyles>
  <dxfs count="344">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alignment wrapText="1"/>
    </dxf>
    <dxf>
      <alignment wrapText="1"/>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5.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externalLink" Target="externalLinks/externalLink11.xml"/><Relationship Id="rId128" Type="http://schemas.openxmlformats.org/officeDocument/2006/relationships/pivotCacheDefinition" Target="pivotCache/pivotCacheDefinition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externalLink" Target="externalLinks/externalLink1.xml"/><Relationship Id="rId118" Type="http://schemas.openxmlformats.org/officeDocument/2006/relationships/externalLink" Target="externalLinks/externalLink6.xml"/><Relationship Id="rId134"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externalLink" Target="externalLinks/externalLink12.xml"/><Relationship Id="rId129"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externalLink" Target="externalLinks/externalLink2.xml"/><Relationship Id="rId119" Type="http://schemas.openxmlformats.org/officeDocument/2006/relationships/externalLink" Target="externalLinks/externalLink7.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tyles" Target="styles.xml"/><Relationship Id="rId135" Type="http://schemas.openxmlformats.org/officeDocument/2006/relationships/customXml" Target="../customXml/item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externalLink" Target="externalLinks/externalLink8.xml"/><Relationship Id="rId125" Type="http://schemas.openxmlformats.org/officeDocument/2006/relationships/externalLink" Target="externalLinks/externalLink1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externalLink" Target="externalLinks/externalLink3.xml"/><Relationship Id="rId131" Type="http://schemas.openxmlformats.org/officeDocument/2006/relationships/sharedStrings" Target="sharedStrings.xml"/><Relationship Id="rId136"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externalLink" Target="externalLinks/externalLink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heetMetadata" Target="metadata.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OP8 Budget Distribution per GEF Component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'OP8 part 1 analysis'!$J$2</c:f>
              <c:strCache>
                <c:ptCount val="1"/>
                <c:pt idx="0">
                  <c:v>Amount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5F4-4621-8CDB-16A05B5E427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5F4-4621-8CDB-16A05B5E427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5F4-4621-8CDB-16A05B5E427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5F4-4621-8CDB-16A05B5E427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45F4-4621-8CDB-16A05B5E4270}"/>
              </c:ext>
            </c:extLst>
          </c:dPt>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0000"/>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'OP8 part 1 analysis'!$I$3:$I$7</c:f>
              <c:strCache>
                <c:ptCount val="5"/>
                <c:pt idx="0">
                  <c:v>Grant</c:v>
                </c:pt>
                <c:pt idx="1">
                  <c:v>Technical Assistance/Capacity Building</c:v>
                </c:pt>
                <c:pt idx="2">
                  <c:v>Knowledge Management</c:v>
                </c:pt>
                <c:pt idx="3">
                  <c:v>Monitoring &amp; Evaluation</c:v>
                </c:pt>
                <c:pt idx="4">
                  <c:v>Project Management Cost</c:v>
                </c:pt>
              </c:strCache>
            </c:strRef>
          </c:cat>
          <c:val>
            <c:numRef>
              <c:f>'OP8 part 1 analysis'!$J$3:$J$7</c:f>
              <c:numCache>
                <c:formatCode>"$"#,##0_);[Red]\("$"#,##0\)</c:formatCode>
                <c:ptCount val="5"/>
                <c:pt idx="0">
                  <c:v>92154076</c:v>
                </c:pt>
                <c:pt idx="1">
                  <c:v>14308414</c:v>
                </c:pt>
                <c:pt idx="2">
                  <c:v>4126302</c:v>
                </c:pt>
                <c:pt idx="3">
                  <c:v>4126302</c:v>
                </c:pt>
                <c:pt idx="4">
                  <c:v>11471509</c:v>
                </c:pt>
              </c:numCache>
            </c:numRef>
          </c:val>
          <c:extLst>
            <c:ext xmlns:c16="http://schemas.microsoft.com/office/drawing/2014/chart" uri="{C3380CC4-5D6E-409C-BE32-E72D297353CC}">
              <c16:uniqueId val="{0000000A-45F4-4621-8CDB-16A05B5E4270}"/>
            </c:ext>
          </c:extLst>
        </c:ser>
        <c:ser>
          <c:idx val="1"/>
          <c:order val="1"/>
          <c:tx>
            <c:strRef>
              <c:f>'OP8 part 1 analysis'!$K$2</c:f>
              <c:strCache>
                <c:ptCount val="1"/>
                <c:pt idx="0">
                  <c:v>Ratio</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C-45F4-4621-8CDB-16A05B5E427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E-45F4-4621-8CDB-16A05B5E427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10-45F4-4621-8CDB-16A05B5E427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12-45F4-4621-8CDB-16A05B5E427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14-45F4-4621-8CDB-16A05B5E4270}"/>
              </c:ext>
            </c:extLst>
          </c:dPt>
          <c:cat>
            <c:strRef>
              <c:f>'OP8 part 1 analysis'!$I$3:$I$7</c:f>
              <c:strCache>
                <c:ptCount val="5"/>
                <c:pt idx="0">
                  <c:v>Grant</c:v>
                </c:pt>
                <c:pt idx="1">
                  <c:v>Technical Assistance/Capacity Building</c:v>
                </c:pt>
                <c:pt idx="2">
                  <c:v>Knowledge Management</c:v>
                </c:pt>
                <c:pt idx="3">
                  <c:v>Monitoring &amp; Evaluation</c:v>
                </c:pt>
                <c:pt idx="4">
                  <c:v>Project Management Cost</c:v>
                </c:pt>
              </c:strCache>
            </c:strRef>
          </c:cat>
          <c:val>
            <c:numRef>
              <c:f>'OP8 part 1 analysis'!$K$3:$K$7</c:f>
              <c:numCache>
                <c:formatCode>0%</c:formatCode>
                <c:ptCount val="5"/>
                <c:pt idx="0">
                  <c:v>0.73029999864565653</c:v>
                </c:pt>
                <c:pt idx="1">
                  <c:v>0.11339091202891008</c:v>
                </c:pt>
                <c:pt idx="2">
                  <c:v>3.2700000649038788E-2</c:v>
                </c:pt>
                <c:pt idx="3">
                  <c:v>3.2700000649038788E-2</c:v>
                </c:pt>
                <c:pt idx="4">
                  <c:v>9.0909088027355811E-2</c:v>
                </c:pt>
              </c:numCache>
            </c:numRef>
          </c:val>
          <c:extLst>
            <c:ext xmlns:c16="http://schemas.microsoft.com/office/drawing/2014/chart" uri="{C3380CC4-5D6E-409C-BE32-E72D297353CC}">
              <c16:uniqueId val="{00000015-45F4-4621-8CDB-16A05B5E427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9524</xdr:colOff>
      <xdr:row>0</xdr:row>
      <xdr:rowOff>180975</xdr:rowOff>
    </xdr:from>
    <xdr:to>
      <xdr:col>20</xdr:col>
      <xdr:colOff>380999</xdr:colOff>
      <xdr:row>15</xdr:row>
      <xdr:rowOff>63500</xdr:rowOff>
    </xdr:to>
    <xdr:graphicFrame macro="">
      <xdr:nvGraphicFramePr>
        <xdr:cNvPr id="2" name="Chart 1">
          <a:extLst>
            <a:ext uri="{FF2B5EF4-FFF2-40B4-BE49-F238E27FC236}">
              <a16:creationId xmlns:a16="http://schemas.microsoft.com/office/drawing/2014/main" id="{E815284A-2F9A-4E17-B988-4A60DF7F55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Letter%20of%20Authorization/COB%20LOA/2026%20COB/2026%20COB%20working%20sheet.xlsx" TargetMode="External"/><Relationship Id="rId1" Type="http://schemas.openxmlformats.org/officeDocument/2006/relationships/externalLinkPath" Target="https://undp.sharepoint.com/personal/biao_xiong_undp_org/Documents/Desktop/daily%20work/OP8/Letter%20of%20Authorization/COB%20LOA/2026%20COB/2026%20COB%20working%20shee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DOA%20amendment%202_2026%20COB/2026%20COB_DOA%20amendment_OP8%20part%201_Mar%202026.xlsx" TargetMode="External"/><Relationship Id="rId1" Type="http://schemas.openxmlformats.org/officeDocument/2006/relationships/externalLinkPath" Target="https://undp.sharepoint.com/personal/biao_xiong_undp_org/Documents/Desktop/daily%20work/OP8/DOA%20amendment%202_2026%20COB/2026%20COB_DOA%20amendment_OP8%20part%201_Ma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budgeting/OP8%20part%201%20BR/ProDoc%20rev/Dec%202025/Annex%2016_ProDoc%20amend%201_OP8%20tranche%201_TBWP%20with%20global%20and%20country%20detail_Jan%202026.xlsx" TargetMode="External"/><Relationship Id="rId1" Type="http://schemas.openxmlformats.org/officeDocument/2006/relationships/externalLinkPath" Target="https://undp.sharepoint.com/personal/biao_xiong_undp_org/Documents/Desktop/daily%20work/budgeting/OP8%20part%201%20BR/ProDoc%20rev/Dec%202025/Annex%2016_ProDoc%20amend%201_OP8%20tranche%201_TBWP%20with%20global%20and%20country%20detail_Jan%202026.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DOA%20amendment%202_2026%20COB/budget%20revision/2026%20budget%20revision_country%20project_Mar%202026.xlsx" TargetMode="External"/><Relationship Id="rId1" Type="http://schemas.openxmlformats.org/officeDocument/2006/relationships/externalLinkPath" Target="https://undp.sharepoint.com/personal/biao_xiong_undp_org/Documents/Desktop/daily%20work/OP8/DOA%20amendment%202_2026%20COB/budget%20revision/2026%20budget%20revision_country%20project_Mar%202026.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https://undp-my.sharepoint.com/personal/biao_xiong_undp_org/Documents/Desktop/daily%20work/OP8/OP8%20PIF2%202nd%20submission_Oct%202024/grant%20nongrant%20summary_Nov%202024/SGP%20OP8%20Average%20Grant%20Estimates_PIF2_2nd%20submission_Nov%202024.xlsx" TargetMode="External"/><Relationship Id="rId2" Type="http://schemas.microsoft.com/office/2019/04/relationships/externalLinkLongPath" Target="https://undp.sharepoint.com/personal/biao_xiong_undp_org/Documents/Desktop/daily%20work/OP8/OP8%20PIF2%202nd%20submission_Oct%202024/grant%20nongrant%20summary_Nov%202024/SGP%20OP8%20Average%20Grant%20Estimates_PIF2_2nd%20submission_Nov%202024.xlsx?B956ED56" TargetMode="External"/><Relationship Id="rId1" Type="http://schemas.openxmlformats.org/officeDocument/2006/relationships/externalLinkPath" Target="file:///\\B956ED56\SGP%20OP8%20Average%20Grant%20Estimates_PIF2_2nd%20submission_Nov%20202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OP8%20PIF2%202nd%20submission_Oct%202024/summary_Nov%202024/SGP%20OP8%20Average%20Grant%20Estimates_67%25_PIF2_2nd%20submission_Nov%202024.xlsx" TargetMode="External"/><Relationship Id="rId1" Type="http://schemas.openxmlformats.org/officeDocument/2006/relationships/externalLinkPath" Target="https://undp.sharepoint.com/personal/biao_xiong_undp_org/Documents/Desktop/daily%20work/OP8/OP8%20PIF2%202nd%20submission_Oct%202024/summary_Nov%202024/SGP%20OP8%20Average%20Grant%20Estimates_67%25_PIF2_2nd%20submission_Nov%20202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OP8%20part%202%20after%20CEO%20endorsement%20request/updated%20forms/source%20data_OP8%20part%202_CEO%20endorsement_Oct%202025.xlsx" TargetMode="External"/><Relationship Id="rId1" Type="http://schemas.openxmlformats.org/officeDocument/2006/relationships/externalLinkPath" Target="https://undp.sharepoint.com/personal/biao_xiong_undp_org/Documents/Desktop/daily%20work/OP8/OP8%20part%202_CEO%20endorsement%20review%202/source%20data_OP8%20part%202_CEO%20endorsement_Oct%2020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OP8%20tranche%202%20summary_Sep%202024/SGP%20OP8%20Average%20Grant%20Estimates_67%25_v.25June2024_PIF1.xlsx" TargetMode="External"/><Relationship Id="rId1" Type="http://schemas.openxmlformats.org/officeDocument/2006/relationships/externalLinkPath" Target="https://undp.sharepoint.com/personal/biao_xiong_undp_org/Documents/Desktop/daily%20work/OP8/OP8%20tranche%202%20summary_Sep%202024/SGP%20OP8%20Average%20Grant%20Estimates_67%25_v.25June2024_PIF1.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OP8%20part%202_CEO%20endorsement%20review%202/OP8%20part%202%20Budget_66%20grant_outcome_CEO%20endorsement%20review%202_Nov%202025.xlsx" TargetMode="External"/><Relationship Id="rId1" Type="http://schemas.openxmlformats.org/officeDocument/2006/relationships/externalLinkPath" Target="https://undp.sharepoint.com/personal/biao_xiong_undp_org/Documents/Desktop/daily%20work/OP8/OP8%20part%202_CEO%20endorsement%20review%202/OP8%20part%202%20Budget_66%20grant_outcome_CEO%20endorsement%20review%202_Nov%202025.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UN%20to%20UN%20agreement_fund%20for%20operation%20until%20202506_Nov%202024/budget_OP8%20fund%20to%20UNOPS_Dec%202024.xlsx" TargetMode="External"/><Relationship Id="rId1" Type="http://schemas.openxmlformats.org/officeDocument/2006/relationships/externalLinkPath" Target="https://undp.sharepoint.com/personal/biao_xiong_undp_org/Documents/Desktop/daily%20work/OP8/UN%20to%20UN%20agreement_fund%20for%20operation%20until%20202506_Nov%202024/budget_OP8%20fund%20to%20UNOPS_Dec%202024.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https://undp-my.sharepoint.com/personal/biao_xiong_undp_org/Documents/Desktop/daily%20work/OP8/OP8%20projection/from%20Diana_20SEP2024/PIMS%209520%20financial_components_report_FOR%20PIMS%20CREATION_with%20PIMS%20number%20for%20children%20projects.xlsx" TargetMode="External"/><Relationship Id="rId2" Type="http://schemas.microsoft.com/office/2019/04/relationships/externalLinkLongPath" Target="https://undp.sharepoint.com/personal/biao_xiong_undp_org/Documents/Desktop/daily%20work/OP8/OP8%20projection/from%20Diana_20SEP2024/PIMS%209520%20financial_components_report_FOR%20PIMS%20CREATION_with%20PIMS%20number%20for%20children%20projects.xlsx?F22B8505" TargetMode="External"/><Relationship Id="rId1" Type="http://schemas.openxmlformats.org/officeDocument/2006/relationships/externalLinkPath" Target="file:///\\F22B8505\PIMS%209520%20financial_components_report_FOR%20PIMS%20CREATION_with%20PIMS%20number%20for%20children%20projects.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Letter%20of%20Authorization/COB%20LOA/2026%20COB/SGP%20OP8_list%20of%20names%20for%20DOA.xlsx" TargetMode="External"/><Relationship Id="rId1" Type="http://schemas.openxmlformats.org/officeDocument/2006/relationships/externalLinkPath" Target="https://undp.sharepoint.com/personal/biao_xiong_undp_org/Documents/Desktop/daily%20work/OP8/DOA%20amendment%202_2026%20COB/SGP%20OP8_list%20of%20names%20for%20DOA.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Letter%20of%20Authorization/COB%20LOA/2026%20COB/SGP%20OP8_list%20of%20names%20for%20DOA.xlsx" TargetMode="External"/><Relationship Id="rId1" Type="http://schemas.openxmlformats.org/officeDocument/2006/relationships/externalLinkPath" Target="https://undp.sharepoint.com/personal/biao_xiong_undp_org/Documents/Desktop/daily%20work/OP8/Letter%20of%20Authorization/COB%20LOA/2026%20COB/SGP%20OP8_list%20of%20names%20for%20DOA.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OP8%20PIF2%20ProDoc/with%20Nigeria/OP8%20PIF2%20Budget_66%20grant_outcome_with%20Nigeria%20STAR_Sep%202025.xlsx" TargetMode="External"/><Relationship Id="rId1" Type="http://schemas.openxmlformats.org/officeDocument/2006/relationships/externalLinkPath" Target="https://undp.sharepoint.com/personal/biao_xiong_undp_org/Documents/Desktop/daily%20work/OP8/OP8%20PIF2%20ProDoc/with%20Nigeria/OP8%20PIF2%20Budget_66%20grant_outcome_with%20Nigeria%20STAR_Sep%202025.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undp-my.sharepoint.com/personal/biao_xiong_undp_org/Documents/Desktop/daily%20work/OP8/DOA%20amendment%202_2026%20COB/TBWP%20tool/SGP%20OP8%20Finance%20Model%2002_download%2016MAR2026.xlsx" TargetMode="External"/><Relationship Id="rId1" Type="http://schemas.openxmlformats.org/officeDocument/2006/relationships/externalLinkPath" Target="https://undp.sharepoint.com/sites/CPMT/Shared%20Documents/General/06.%20Operations/Finance/OP8/DOA%20amendment_2026%20COB/for%20Country%20Offices/SGP%20OP8%20Finance%20Model%2002_download%2016MAR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6 COB_BR"/>
      <sheetName val="2026 COB breakdown"/>
      <sheetName val="2025 COB Estimates"/>
      <sheetName val="COA table"/>
      <sheetName val="OP8 part 1"/>
      <sheetName val="contact list"/>
      <sheetName val="monitoring"/>
      <sheetName val="UNDP region"/>
      <sheetName val="BU"/>
      <sheetName val="global project linking"/>
      <sheetName val="Country component_OP8 PIF1"/>
      <sheetName val="PIMS budget_OP8 PIF1"/>
      <sheetName val="country project list_OP8 PIF1"/>
      <sheetName val="67 grant_OP8 PIF1"/>
      <sheetName val="STAR_OP8 PIF1"/>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refreshError="1"/>
      <sheetData sheetId="1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untry project summary"/>
      <sheetName val="2026 COB breakdown"/>
      <sheetName val="2025 COB Estimates"/>
      <sheetName val="OP8 part 1 analysis"/>
      <sheetName val="COA table"/>
      <sheetName val="RPA_Kris"/>
    </sheetNames>
    <sheetDataSet>
      <sheetData sheetId="0"/>
      <sheetData sheetId="1"/>
      <sheetData sheetId="2">
        <row r="4">
          <cell r="B4" t="str">
            <v>Afghanistan</v>
          </cell>
          <cell r="C4" t="str">
            <v>Afghanistan</v>
          </cell>
          <cell r="D4" t="str">
            <v>AFG</v>
          </cell>
          <cell r="E4" t="str">
            <v>RBAP</v>
          </cell>
          <cell r="F4"/>
          <cell r="G4"/>
          <cell r="H4">
            <v>2</v>
          </cell>
          <cell r="I4" t="str">
            <v>c.Tranche 2 Only</v>
          </cell>
          <cell r="J4" t="str">
            <v>a.STAR</v>
          </cell>
          <cell r="K4" t="str">
            <v>Vacant</v>
          </cell>
          <cell r="L4" t="str">
            <v/>
          </cell>
          <cell r="M4" t="str">
            <v>UNDP OP8 COB - Vacant</v>
          </cell>
          <cell r="N4" t="str">
            <v>UNDP Action</v>
          </cell>
          <cell r="O4">
            <v>8700</v>
          </cell>
          <cell r="P4">
            <v>270</v>
          </cell>
          <cell r="Q4">
            <v>864</v>
          </cell>
          <cell r="R4"/>
          <cell r="S4">
            <v>600</v>
          </cell>
          <cell r="T4">
            <v>1080</v>
          </cell>
          <cell r="U4">
            <v>11100</v>
          </cell>
          <cell r="V4">
            <v>972</v>
          </cell>
          <cell r="W4">
            <v>1458</v>
          </cell>
          <cell r="X4">
            <v>756.00000000000011</v>
          </cell>
          <cell r="Y4">
            <v>3600</v>
          </cell>
          <cell r="Z4">
            <v>29400</v>
          </cell>
        </row>
        <row r="5">
          <cell r="B5" t="str">
            <v>Albania</v>
          </cell>
          <cell r="C5" t="str">
            <v>Albania</v>
          </cell>
          <cell r="D5" t="str">
            <v>ALB</v>
          </cell>
          <cell r="E5" t="str">
            <v>RBEC</v>
          </cell>
          <cell r="F5"/>
          <cell r="G5"/>
          <cell r="H5">
            <v>2</v>
          </cell>
          <cell r="I5" t="str">
            <v>a.Tranche 1 &amp; 2</v>
          </cell>
          <cell r="J5" t="str">
            <v>a.STAR</v>
          </cell>
          <cell r="K5" t="str">
            <v>UNDP</v>
          </cell>
          <cell r="L5" t="str">
            <v/>
          </cell>
          <cell r="M5" t="str">
            <v>UNDP OP8 COB - UNDP CO</v>
          </cell>
          <cell r="N5" t="str">
            <v>UNDP Action</v>
          </cell>
          <cell r="O5">
            <v>1104.3694081942338</v>
          </cell>
          <cell r="P5">
            <v>140.26707132018211</v>
          </cell>
          <cell r="Q5">
            <v>448.85462822458277</v>
          </cell>
          <cell r="R5"/>
          <cell r="S5">
            <v>93.511380880121393</v>
          </cell>
          <cell r="T5">
            <v>561.06828528072845</v>
          </cell>
          <cell r="U5">
            <v>11402.777784522003</v>
          </cell>
          <cell r="V5">
            <v>504.96145675265558</v>
          </cell>
          <cell r="W5">
            <v>757.44218512898351</v>
          </cell>
          <cell r="X5">
            <v>392.74779969650996</v>
          </cell>
          <cell r="Y5">
            <v>0</v>
          </cell>
          <cell r="Z5">
            <v>15406</v>
          </cell>
        </row>
        <row r="6">
          <cell r="B6" t="str">
            <v>Algeria</v>
          </cell>
          <cell r="C6" t="str">
            <v>Algeria</v>
          </cell>
          <cell r="D6" t="str">
            <v>DZA</v>
          </cell>
          <cell r="E6" t="str">
            <v>RBAS</v>
          </cell>
          <cell r="F6"/>
          <cell r="G6"/>
          <cell r="H6">
            <v>3</v>
          </cell>
          <cell r="I6" t="str">
            <v>a.Tranche 1 &amp; 2</v>
          </cell>
          <cell r="J6" t="str">
            <v>a.STAR</v>
          </cell>
          <cell r="K6" t="str">
            <v>UNDP</v>
          </cell>
          <cell r="L6" t="str">
            <v/>
          </cell>
          <cell r="M6" t="str">
            <v>UNDP OP8 COB - UNDP CO</v>
          </cell>
          <cell r="N6" t="str">
            <v>UNDP Action</v>
          </cell>
          <cell r="O6">
            <v>3599.9999999999995</v>
          </cell>
          <cell r="P6">
            <v>450</v>
          </cell>
          <cell r="Q6">
            <v>1440</v>
          </cell>
          <cell r="R6"/>
          <cell r="S6">
            <v>0</v>
          </cell>
          <cell r="T6">
            <v>1800</v>
          </cell>
          <cell r="U6">
            <v>5778.5999999999995</v>
          </cell>
          <cell r="V6">
            <v>1620</v>
          </cell>
          <cell r="W6">
            <v>2430</v>
          </cell>
          <cell r="X6">
            <v>1260.0000000000002</v>
          </cell>
          <cell r="Y6">
            <v>7199.9999999999991</v>
          </cell>
          <cell r="Z6">
            <v>25578.6</v>
          </cell>
        </row>
        <row r="7">
          <cell r="B7" t="str">
            <v>Angola</v>
          </cell>
          <cell r="C7" t="str">
            <v>Angola</v>
          </cell>
          <cell r="D7" t="str">
            <v>AGO</v>
          </cell>
          <cell r="E7" t="str">
            <v>RBA</v>
          </cell>
          <cell r="F7"/>
          <cell r="G7"/>
          <cell r="H7">
            <v>3</v>
          </cell>
          <cell r="I7" t="str">
            <v>c.Tranche 2 Only</v>
          </cell>
          <cell r="J7" t="str">
            <v>b.No STAR</v>
          </cell>
          <cell r="K7" t="str">
            <v>Vacant</v>
          </cell>
          <cell r="L7" t="str">
            <v/>
          </cell>
          <cell r="M7" t="str">
            <v>UNDP OP8 COB - Vacant</v>
          </cell>
          <cell r="N7" t="str">
            <v>UNDP Action</v>
          </cell>
          <cell r="O7">
            <v>8604.9880036294471</v>
          </cell>
          <cell r="P7">
            <v>275.52134280621465</v>
          </cell>
          <cell r="Q7">
            <v>881.6682969798868</v>
          </cell>
          <cell r="R7"/>
          <cell r="S7">
            <v>455.77703546194442</v>
          </cell>
          <cell r="T7">
            <v>1102.0853712248586</v>
          </cell>
          <cell r="U7">
            <v>11234.887044752235</v>
          </cell>
          <cell r="V7">
            <v>991.87683410237264</v>
          </cell>
          <cell r="W7">
            <v>1487.8152511535591</v>
          </cell>
          <cell r="X7">
            <v>771.45975985740097</v>
          </cell>
          <cell r="Y7">
            <v>3665.7119680711562</v>
          </cell>
          <cell r="Z7">
            <v>29471.790908039075</v>
          </cell>
        </row>
        <row r="8">
          <cell r="B8" t="str">
            <v>Antigua &amp; Barbuda</v>
          </cell>
          <cell r="C8" t="str">
            <v>Antigua &amp; Barbuda</v>
          </cell>
          <cell r="D8" t="str">
            <v>ATG</v>
          </cell>
          <cell r="E8" t="str">
            <v>RBLAC</v>
          </cell>
          <cell r="F8" t="str">
            <v>SRO</v>
          </cell>
          <cell r="G8"/>
          <cell r="H8">
            <v>3</v>
          </cell>
          <cell r="I8" t="str">
            <v>a.Tranche 1 &amp; 2</v>
          </cell>
          <cell r="J8" t="str">
            <v>a.STAR</v>
          </cell>
          <cell r="K8" t="str">
            <v>UNDP</v>
          </cell>
          <cell r="L8" t="str">
            <v/>
          </cell>
          <cell r="M8" t="str">
            <v>UNDP OP8 COB - UNDP CO</v>
          </cell>
          <cell r="N8" t="str">
            <v>UNDP Action</v>
          </cell>
          <cell r="O8">
            <v>4304.3999999999996</v>
          </cell>
          <cell r="P8">
            <v>142.35</v>
          </cell>
          <cell r="Q8">
            <v>455.51999999999992</v>
          </cell>
          <cell r="R8"/>
          <cell r="S8">
            <v>570</v>
          </cell>
          <cell r="T8">
            <v>569.4</v>
          </cell>
          <cell r="U8">
            <v>4742.3999999999996</v>
          </cell>
          <cell r="V8">
            <v>512.45999999999992</v>
          </cell>
          <cell r="W8">
            <v>768.68999999999994</v>
          </cell>
          <cell r="X8">
            <v>398.58</v>
          </cell>
          <cell r="Y8">
            <v>2581.1999999999998</v>
          </cell>
          <cell r="Z8">
            <v>15045</v>
          </cell>
        </row>
        <row r="9">
          <cell r="B9" t="str">
            <v>Argentina</v>
          </cell>
          <cell r="C9" t="str">
            <v>Argentina</v>
          </cell>
          <cell r="D9" t="str">
            <v>ARG</v>
          </cell>
          <cell r="E9" t="str">
            <v>RBLAC</v>
          </cell>
          <cell r="F9"/>
          <cell r="G9"/>
          <cell r="H9">
            <v>1</v>
          </cell>
          <cell r="I9" t="str">
            <v>a.Tranche 1 &amp; 2</v>
          </cell>
          <cell r="J9" t="str">
            <v>a.STAR</v>
          </cell>
          <cell r="K9" t="str">
            <v>UNDP</v>
          </cell>
          <cell r="L9" t="str">
            <v>Yes</v>
          </cell>
          <cell r="M9" t="str">
            <v>n.End of June 2026</v>
          </cell>
          <cell r="N9" t="str">
            <v>UNOPS Action</v>
          </cell>
          <cell r="O9">
            <v>37482</v>
          </cell>
          <cell r="P9">
            <v>500.85</v>
          </cell>
          <cell r="Q9">
            <v>1602.72</v>
          </cell>
          <cell r="R9"/>
          <cell r="S9">
            <v>150</v>
          </cell>
          <cell r="T9">
            <v>2003.4</v>
          </cell>
          <cell r="U9">
            <v>11198</v>
          </cell>
          <cell r="V9">
            <v>1803.06</v>
          </cell>
          <cell r="W9">
            <v>2704.59</v>
          </cell>
          <cell r="X9">
            <v>1402.38</v>
          </cell>
          <cell r="Y9">
            <v>1695</v>
          </cell>
          <cell r="Z9">
            <v>60541.999999999993</v>
          </cell>
        </row>
        <row r="10">
          <cell r="B10" t="str">
            <v>Armenia</v>
          </cell>
          <cell r="C10" t="str">
            <v>Armenia</v>
          </cell>
          <cell r="D10" t="str">
            <v>ARM</v>
          </cell>
          <cell r="E10" t="str">
            <v>RBEC</v>
          </cell>
          <cell r="F10"/>
          <cell r="G10"/>
          <cell r="H10">
            <v>3</v>
          </cell>
          <cell r="I10" t="str">
            <v>a.Tranche 1 &amp; 2</v>
          </cell>
          <cell r="J10" t="str">
            <v>a.STAR</v>
          </cell>
          <cell r="K10" t="str">
            <v>UNDP</v>
          </cell>
          <cell r="L10" t="str">
            <v/>
          </cell>
          <cell r="M10" t="str">
            <v>UNDP OP8 COB - UNDP CO</v>
          </cell>
          <cell r="N10" t="str">
            <v>UNDP Action</v>
          </cell>
          <cell r="O10">
            <v>12183.237795275591</v>
          </cell>
          <cell r="P10">
            <v>606.88889763779537</v>
          </cell>
          <cell r="Q10">
            <v>1942.0444724409451</v>
          </cell>
          <cell r="R10"/>
          <cell r="S10">
            <v>181.83937007874016</v>
          </cell>
          <cell r="T10">
            <v>2427.5555905511815</v>
          </cell>
          <cell r="U10">
            <v>3454.9480314960629</v>
          </cell>
          <cell r="V10">
            <v>2184.8000314960632</v>
          </cell>
          <cell r="W10">
            <v>3277.200047244095</v>
          </cell>
          <cell r="X10">
            <v>1699.2889133858271</v>
          </cell>
          <cell r="Y10">
            <v>909.19685039370074</v>
          </cell>
          <cell r="Z10">
            <v>28867.000000000004</v>
          </cell>
        </row>
        <row r="11">
          <cell r="B11" t="str">
            <v>Azerbaijan</v>
          </cell>
          <cell r="C11" t="str">
            <v>Azerbaijan</v>
          </cell>
          <cell r="D11" t="str">
            <v>AZE</v>
          </cell>
          <cell r="E11" t="str">
            <v>RBEC</v>
          </cell>
          <cell r="F11"/>
          <cell r="G11"/>
          <cell r="H11">
            <v>5</v>
          </cell>
          <cell r="I11" t="str">
            <v>d.Not UNDP</v>
          </cell>
          <cell r="J11"/>
          <cell r="K11" t="str">
            <v>N/A</v>
          </cell>
          <cell r="L11" t="str">
            <v/>
          </cell>
          <cell r="M11" t="str">
            <v>N/A</v>
          </cell>
          <cell r="N11" t="str">
            <v>N/A</v>
          </cell>
          <cell r="O11" t="str">
            <v/>
          </cell>
          <cell r="P11" t="str">
            <v/>
          </cell>
          <cell r="Q11" t="str">
            <v/>
          </cell>
          <cell r="R11"/>
          <cell r="S11" t="str">
            <v/>
          </cell>
          <cell r="T11" t="str">
            <v/>
          </cell>
          <cell r="U11" t="str">
            <v/>
          </cell>
          <cell r="V11" t="str">
            <v/>
          </cell>
          <cell r="W11" t="str">
            <v/>
          </cell>
          <cell r="X11" t="str">
            <v/>
          </cell>
          <cell r="Y11" t="str">
            <v/>
          </cell>
          <cell r="Z11">
            <v>0</v>
          </cell>
        </row>
        <row r="12">
          <cell r="B12" t="str">
            <v>Bahamas</v>
          </cell>
          <cell r="C12" t="str">
            <v>Bahamas</v>
          </cell>
          <cell r="D12" t="str">
            <v>BHS</v>
          </cell>
          <cell r="E12" t="str">
            <v>RBLAC</v>
          </cell>
          <cell r="F12" t="str">
            <v>SRO</v>
          </cell>
          <cell r="G12"/>
          <cell r="H12">
            <v>2</v>
          </cell>
          <cell r="I12" t="str">
            <v>a.Tranche 1 &amp; 2</v>
          </cell>
          <cell r="J12" t="str">
            <v>a.STAR</v>
          </cell>
          <cell r="K12" t="str">
            <v>Private Lease</v>
          </cell>
          <cell r="L12" t="str">
            <v>Yes</v>
          </cell>
          <cell r="M12" t="str">
            <v>n.End of June 2026</v>
          </cell>
          <cell r="N12" t="str">
            <v>UNOPS Action</v>
          </cell>
          <cell r="O12">
            <v>19439.768835616436</v>
          </cell>
          <cell r="P12">
            <v>237.59717465753425</v>
          </cell>
          <cell r="Q12">
            <v>760.31095890410961</v>
          </cell>
          <cell r="R12"/>
          <cell r="S12">
            <v>431.99486301369859</v>
          </cell>
          <cell r="T12">
            <v>950.38869863013701</v>
          </cell>
          <cell r="U12">
            <v>16000</v>
          </cell>
          <cell r="V12">
            <v>855.3498287671232</v>
          </cell>
          <cell r="W12">
            <v>1283.024743150685</v>
          </cell>
          <cell r="X12">
            <v>665.27208904109591</v>
          </cell>
          <cell r="Y12">
            <v>2073.5753424657532</v>
          </cell>
          <cell r="Z12">
            <v>42697.282534246566</v>
          </cell>
        </row>
        <row r="13">
          <cell r="B13" t="str">
            <v>Bangladesh</v>
          </cell>
          <cell r="C13" t="str">
            <v>Bangladesh</v>
          </cell>
          <cell r="D13" t="str">
            <v>BGD</v>
          </cell>
          <cell r="E13" t="str">
            <v>RBAP</v>
          </cell>
          <cell r="F13"/>
          <cell r="G13"/>
          <cell r="H13">
            <v>3</v>
          </cell>
          <cell r="I13" t="str">
            <v>a.Tranche 1 &amp; 2</v>
          </cell>
          <cell r="J13" t="str">
            <v>a.STAR</v>
          </cell>
          <cell r="K13" t="str">
            <v>UNDP</v>
          </cell>
          <cell r="L13" t="str">
            <v/>
          </cell>
          <cell r="M13" t="str">
            <v>UNDP OP8 COB - UNDP CO</v>
          </cell>
          <cell r="N13" t="str">
            <v>UNDP Action</v>
          </cell>
          <cell r="O13">
            <v>3902.9399407092924</v>
          </cell>
          <cell r="P13">
            <v>38.407202722980642</v>
          </cell>
          <cell r="Q13">
            <v>122.90304871353806</v>
          </cell>
          <cell r="R13"/>
          <cell r="S13">
            <v>384.07202722980639</v>
          </cell>
          <cell r="T13">
            <v>153.62881089192257</v>
          </cell>
          <cell r="U13">
            <v>11708.051678073418</v>
          </cell>
          <cell r="V13">
            <v>138.26592980273028</v>
          </cell>
          <cell r="W13">
            <v>207.39889470409545</v>
          </cell>
          <cell r="X13">
            <v>107.5401676243458</v>
          </cell>
          <cell r="Y13">
            <v>4224.7922995278705</v>
          </cell>
          <cell r="Z13">
            <v>20988.000000000004</v>
          </cell>
        </row>
        <row r="14">
          <cell r="B14" t="str">
            <v>Barbados</v>
          </cell>
          <cell r="C14" t="str">
            <v>Barbados</v>
          </cell>
          <cell r="D14" t="str">
            <v>BRB</v>
          </cell>
          <cell r="E14" t="str">
            <v>RBLAC</v>
          </cell>
          <cell r="F14" t="str">
            <v>MCO</v>
          </cell>
          <cell r="G14"/>
          <cell r="H14">
            <v>1</v>
          </cell>
          <cell r="I14" t="str">
            <v>a.Tranche 1 &amp; 2</v>
          </cell>
          <cell r="J14" t="str">
            <v>a.STAR</v>
          </cell>
          <cell r="K14" t="str">
            <v>UNDP</v>
          </cell>
          <cell r="L14" t="str">
            <v>Yes</v>
          </cell>
          <cell r="M14" t="str">
            <v>n.End of June 2026</v>
          </cell>
          <cell r="N14" t="str">
            <v>UNOPS Action</v>
          </cell>
          <cell r="O14">
            <v>4704</v>
          </cell>
          <cell r="P14">
            <v>354.36</v>
          </cell>
          <cell r="Q14">
            <v>1133.952</v>
          </cell>
          <cell r="R14"/>
          <cell r="S14">
            <v>120</v>
          </cell>
          <cell r="T14">
            <v>1417.44</v>
          </cell>
          <cell r="U14">
            <v>9975</v>
          </cell>
          <cell r="V14">
            <v>1275.6959999999999</v>
          </cell>
          <cell r="W14">
            <v>1913.5440000000001</v>
          </cell>
          <cell r="X14">
            <v>992.20800000000008</v>
          </cell>
          <cell r="Y14">
            <v>1500</v>
          </cell>
          <cell r="Z14">
            <v>23386.2</v>
          </cell>
        </row>
        <row r="15">
          <cell r="B15" t="str">
            <v>Belarus</v>
          </cell>
          <cell r="C15" t="str">
            <v>Belarus</v>
          </cell>
          <cell r="D15" t="str">
            <v>BLR</v>
          </cell>
          <cell r="E15" t="str">
            <v>RBEC</v>
          </cell>
          <cell r="F15"/>
          <cell r="G15"/>
          <cell r="H15">
            <v>5</v>
          </cell>
          <cell r="I15" t="str">
            <v>d.Not UNDP</v>
          </cell>
          <cell r="J15" t="str">
            <v/>
          </cell>
          <cell r="K15" t="str">
            <v>N/A</v>
          </cell>
          <cell r="L15" t="str">
            <v/>
          </cell>
          <cell r="M15" t="str">
            <v>N/A</v>
          </cell>
          <cell r="N15" t="str">
            <v>N/A</v>
          </cell>
          <cell r="O15">
            <v>6635.4046822742475</v>
          </cell>
          <cell r="P15">
            <v>651.11634018155746</v>
          </cell>
          <cell r="Q15">
            <v>2083.5722885809837</v>
          </cell>
          <cell r="R15"/>
          <cell r="S15">
            <v>1840.6115623506928</v>
          </cell>
          <cell r="T15">
            <v>2604.4653607262298</v>
          </cell>
          <cell r="U15">
            <v>4141.3760152890582</v>
          </cell>
          <cell r="V15">
            <v>2344.0188246536068</v>
          </cell>
          <cell r="W15">
            <v>3516.0282369804104</v>
          </cell>
          <cell r="X15">
            <v>1823.1257525083611</v>
          </cell>
          <cell r="Y15">
            <v>12884.28093645485</v>
          </cell>
          <cell r="Z15">
            <v>38523.999999999993</v>
          </cell>
        </row>
        <row r="16">
          <cell r="B16" t="str">
            <v>Belize</v>
          </cell>
          <cell r="C16" t="str">
            <v>Belize</v>
          </cell>
          <cell r="D16" t="str">
            <v>BLZ</v>
          </cell>
          <cell r="E16" t="str">
            <v>RBLAC</v>
          </cell>
          <cell r="F16"/>
          <cell r="G16"/>
          <cell r="H16">
            <v>2</v>
          </cell>
          <cell r="I16" t="str">
            <v>a.Tranche 1 &amp; 2</v>
          </cell>
          <cell r="J16" t="str">
            <v>a.STAR</v>
          </cell>
          <cell r="K16" t="str">
            <v>UNDP</v>
          </cell>
          <cell r="L16" t="str">
            <v/>
          </cell>
          <cell r="M16" t="str">
            <v>UNDP OP8 COB - UNDP CO</v>
          </cell>
          <cell r="N16" t="str">
            <v>UNDP Action</v>
          </cell>
          <cell r="O16">
            <v>7357.9396780110046</v>
          </cell>
          <cell r="P16">
            <v>767.22714715938696</v>
          </cell>
          <cell r="Q16">
            <v>2455.1268709100382</v>
          </cell>
          <cell r="R16"/>
          <cell r="S16">
            <v>476.98299481466387</v>
          </cell>
          <cell r="T16">
            <v>3068.9085886375478</v>
          </cell>
          <cell r="U16">
            <v>17805.775196431401</v>
          </cell>
          <cell r="V16">
            <v>2762.0177297737928</v>
          </cell>
          <cell r="W16">
            <v>4143.0265946606896</v>
          </cell>
          <cell r="X16">
            <v>2148.2360120462836</v>
          </cell>
          <cell r="Y16">
            <v>1144.7591875551932</v>
          </cell>
          <cell r="Z16">
            <v>42130</v>
          </cell>
        </row>
        <row r="17">
          <cell r="B17" t="str">
            <v>Benin</v>
          </cell>
          <cell r="C17" t="str">
            <v>Benin</v>
          </cell>
          <cell r="D17" t="str">
            <v>BEN</v>
          </cell>
          <cell r="E17" t="str">
            <v>RBA</v>
          </cell>
          <cell r="F17"/>
          <cell r="G17"/>
          <cell r="H17">
            <v>2</v>
          </cell>
          <cell r="I17" t="str">
            <v>a.Tranche 1 &amp; 2</v>
          </cell>
          <cell r="J17" t="str">
            <v>a.STAR</v>
          </cell>
          <cell r="K17" t="str">
            <v>UNDP</v>
          </cell>
          <cell r="L17" t="str">
            <v>Yes</v>
          </cell>
          <cell r="M17" t="str">
            <v>n.End of June 2026</v>
          </cell>
          <cell r="N17" t="str">
            <v>UNOPS Action</v>
          </cell>
          <cell r="O17">
            <v>6750</v>
          </cell>
          <cell r="P17">
            <v>157.5</v>
          </cell>
          <cell r="Q17">
            <v>504</v>
          </cell>
          <cell r="R17"/>
          <cell r="S17">
            <v>513.75</v>
          </cell>
          <cell r="T17">
            <v>630</v>
          </cell>
          <cell r="U17">
            <v>9086.25</v>
          </cell>
          <cell r="V17">
            <v>567</v>
          </cell>
          <cell r="W17">
            <v>850.5</v>
          </cell>
          <cell r="X17">
            <v>441.00000000000006</v>
          </cell>
          <cell r="Y17">
            <v>3000</v>
          </cell>
          <cell r="Z17">
            <v>22500</v>
          </cell>
        </row>
        <row r="18">
          <cell r="B18" t="str">
            <v>Bhutan</v>
          </cell>
          <cell r="C18" t="str">
            <v>Bhutan</v>
          </cell>
          <cell r="D18" t="str">
            <v>BTN</v>
          </cell>
          <cell r="E18" t="str">
            <v>RBAP</v>
          </cell>
          <cell r="F18"/>
          <cell r="G18"/>
          <cell r="H18">
            <v>3</v>
          </cell>
          <cell r="I18" t="str">
            <v>a.Tranche 1 &amp; 2</v>
          </cell>
          <cell r="J18" t="str">
            <v>b.No STAR</v>
          </cell>
          <cell r="K18" t="str">
            <v>UNDP</v>
          </cell>
          <cell r="L18" t="str">
            <v>Yes</v>
          </cell>
          <cell r="M18" t="str">
            <v>n.End of June 2026</v>
          </cell>
          <cell r="N18" t="str">
            <v>UNOPS Action</v>
          </cell>
          <cell r="O18">
            <v>6958.2</v>
          </cell>
          <cell r="P18">
            <v>75</v>
          </cell>
          <cell r="Q18">
            <v>240</v>
          </cell>
          <cell r="R18"/>
          <cell r="S18">
            <v>0</v>
          </cell>
          <cell r="T18">
            <v>300</v>
          </cell>
          <cell r="U18">
            <v>3000</v>
          </cell>
          <cell r="V18">
            <v>270</v>
          </cell>
          <cell r="W18">
            <v>405</v>
          </cell>
          <cell r="X18">
            <v>210.00000000000003</v>
          </cell>
          <cell r="Y18">
            <v>3194.4</v>
          </cell>
          <cell r="Z18">
            <v>14652.6</v>
          </cell>
        </row>
        <row r="19">
          <cell r="B19" t="str">
            <v>Bolivia</v>
          </cell>
          <cell r="C19" t="str">
            <v>Bolivia</v>
          </cell>
          <cell r="D19" t="str">
            <v>BOL</v>
          </cell>
          <cell r="E19" t="str">
            <v>RBLAC</v>
          </cell>
          <cell r="F19"/>
          <cell r="G19"/>
          <cell r="H19">
            <v>2</v>
          </cell>
          <cell r="I19" t="str">
            <v>c.Tranche 2 Only</v>
          </cell>
          <cell r="J19" t="str">
            <v>a.STAR</v>
          </cell>
          <cell r="K19" t="str">
            <v>Vacant</v>
          </cell>
          <cell r="L19" t="str">
            <v/>
          </cell>
          <cell r="M19" t="str">
            <v>UNDP OP8 COB - Vacant</v>
          </cell>
          <cell r="N19" t="str">
            <v>UNDP Action</v>
          </cell>
          <cell r="O19">
            <v>8604.9880036294471</v>
          </cell>
          <cell r="P19">
            <v>275.52134280621465</v>
          </cell>
          <cell r="Q19">
            <v>881.6682969798868</v>
          </cell>
          <cell r="R19"/>
          <cell r="S19">
            <v>455.77703546194442</v>
          </cell>
          <cell r="T19">
            <v>1102.0853712248586</v>
          </cell>
          <cell r="U19">
            <v>11234.887044752235</v>
          </cell>
          <cell r="V19">
            <v>991.87683410237264</v>
          </cell>
          <cell r="W19">
            <v>1487.8152511535591</v>
          </cell>
          <cell r="X19">
            <v>771.45975985740097</v>
          </cell>
          <cell r="Y19">
            <v>3665.7119680711562</v>
          </cell>
          <cell r="Z19">
            <v>29471.790908039075</v>
          </cell>
        </row>
        <row r="20">
          <cell r="B20" t="str">
            <v>Bosnia and Herzegovina</v>
          </cell>
          <cell r="C20" t="str">
            <v>Bosnia and Herzegovina</v>
          </cell>
          <cell r="D20" t="str">
            <v>BIH</v>
          </cell>
          <cell r="E20" t="str">
            <v>RBEC</v>
          </cell>
          <cell r="F20"/>
          <cell r="G20"/>
          <cell r="H20">
            <v>5</v>
          </cell>
          <cell r="I20" t="str">
            <v>d.Not UNDP</v>
          </cell>
          <cell r="J20" t="str">
            <v/>
          </cell>
          <cell r="K20" t="str">
            <v>N/A</v>
          </cell>
          <cell r="L20" t="str">
            <v/>
          </cell>
          <cell r="M20" t="str">
            <v>N/A</v>
          </cell>
          <cell r="N20" t="str">
            <v>N/A</v>
          </cell>
          <cell r="O20" t="str">
            <v/>
          </cell>
          <cell r="P20" t="str">
            <v/>
          </cell>
          <cell r="Q20" t="str">
            <v/>
          </cell>
          <cell r="R20"/>
          <cell r="S20" t="str">
            <v/>
          </cell>
          <cell r="T20" t="str">
            <v/>
          </cell>
          <cell r="U20" t="str">
            <v/>
          </cell>
          <cell r="V20" t="str">
            <v/>
          </cell>
          <cell r="W20" t="str">
            <v/>
          </cell>
          <cell r="X20" t="str">
            <v/>
          </cell>
          <cell r="Y20" t="str">
            <v/>
          </cell>
          <cell r="Z20">
            <v>0</v>
          </cell>
        </row>
        <row r="21">
          <cell r="B21" t="str">
            <v>Botswana</v>
          </cell>
          <cell r="C21" t="str">
            <v>Botswana</v>
          </cell>
          <cell r="D21" t="str">
            <v>BWA</v>
          </cell>
          <cell r="E21" t="str">
            <v>RBA</v>
          </cell>
          <cell r="F21"/>
          <cell r="G21"/>
          <cell r="H21">
            <v>2</v>
          </cell>
          <cell r="I21" t="str">
            <v>a.Tranche 1 &amp; 2</v>
          </cell>
          <cell r="J21" t="str">
            <v>a.STAR</v>
          </cell>
          <cell r="K21" t="str">
            <v>UNDP</v>
          </cell>
          <cell r="L21" t="str">
            <v>Yes</v>
          </cell>
          <cell r="M21" t="str">
            <v>k.End of Mar 2026</v>
          </cell>
          <cell r="N21" t="str">
            <v>UNOPS Action</v>
          </cell>
          <cell r="O21">
            <v>10500</v>
          </cell>
          <cell r="P21">
            <v>223.5</v>
          </cell>
          <cell r="Q21">
            <v>715.2</v>
          </cell>
          <cell r="R21"/>
          <cell r="S21">
            <v>180</v>
          </cell>
          <cell r="T21">
            <v>894</v>
          </cell>
          <cell r="U21">
            <v>6000</v>
          </cell>
          <cell r="V21">
            <v>804.6</v>
          </cell>
          <cell r="W21">
            <v>1206.9000000000001</v>
          </cell>
          <cell r="X21">
            <v>625.80000000000007</v>
          </cell>
          <cell r="Y21">
            <v>12600</v>
          </cell>
          <cell r="Z21">
            <v>33750</v>
          </cell>
        </row>
        <row r="22">
          <cell r="B22" t="str">
            <v>Brazil</v>
          </cell>
          <cell r="C22" t="str">
            <v>Brazil</v>
          </cell>
          <cell r="D22" t="str">
            <v>BRA</v>
          </cell>
          <cell r="E22" t="str">
            <v>RBLAC</v>
          </cell>
          <cell r="F22"/>
          <cell r="G22" t="str">
            <v>NHI</v>
          </cell>
          <cell r="H22">
            <v>4</v>
          </cell>
          <cell r="I22" t="str">
            <v>a.Tranche 1 &amp; 2</v>
          </cell>
          <cell r="J22" t="str">
            <v>a.STAR</v>
          </cell>
          <cell r="K22" t="str">
            <v>NHI</v>
          </cell>
          <cell r="L22" t="str">
            <v/>
          </cell>
          <cell r="M22" t="str">
            <v>UNDP OP8 COB - RPA</v>
          </cell>
          <cell r="N22" t="str">
            <v>UNDP Action</v>
          </cell>
          <cell r="O22"/>
          <cell r="P22"/>
          <cell r="Q22"/>
          <cell r="R22"/>
          <cell r="S22"/>
          <cell r="T22"/>
          <cell r="U22"/>
          <cell r="V22"/>
          <cell r="W22"/>
          <cell r="X22"/>
          <cell r="Y22"/>
          <cell r="Z22" t="str">
            <v>CORE + STAR Budgets</v>
          </cell>
        </row>
        <row r="23">
          <cell r="B23" t="str">
            <v>Burkina Faso</v>
          </cell>
          <cell r="C23" t="str">
            <v>Burkina Faso</v>
          </cell>
          <cell r="D23" t="str">
            <v>BFA</v>
          </cell>
          <cell r="E23" t="str">
            <v>RBA</v>
          </cell>
          <cell r="F23"/>
          <cell r="G23"/>
          <cell r="H23">
            <v>1</v>
          </cell>
          <cell r="I23" t="str">
            <v>a.Tranche 1 &amp; 2</v>
          </cell>
          <cell r="J23" t="str">
            <v>a.STAR</v>
          </cell>
          <cell r="K23" t="str">
            <v>Private Lease</v>
          </cell>
          <cell r="L23" t="str">
            <v/>
          </cell>
          <cell r="M23" t="str">
            <v>k.End of Mar 2026</v>
          </cell>
          <cell r="N23" t="str">
            <v>UNOPS Action</v>
          </cell>
          <cell r="O23">
            <v>6166.4139999999998</v>
          </cell>
          <cell r="P23">
            <v>324.43650000000002</v>
          </cell>
          <cell r="Q23">
            <v>1038.1967999999999</v>
          </cell>
          <cell r="R23"/>
          <cell r="S23">
            <v>424.1</v>
          </cell>
          <cell r="T23">
            <v>1297.7460000000001</v>
          </cell>
          <cell r="U23">
            <v>15640.808000000001</v>
          </cell>
          <cell r="V23">
            <v>1167.9713999999999</v>
          </cell>
          <cell r="W23">
            <v>1751.9571000000001</v>
          </cell>
          <cell r="X23">
            <v>908.42219999999998</v>
          </cell>
          <cell r="Y23">
            <v>5207.9480000000003</v>
          </cell>
          <cell r="Z23">
            <v>33928</v>
          </cell>
        </row>
        <row r="24">
          <cell r="B24" t="str">
            <v>Burundi</v>
          </cell>
          <cell r="C24" t="str">
            <v>Burundi</v>
          </cell>
          <cell r="D24" t="str">
            <v>BDI</v>
          </cell>
          <cell r="E24" t="str">
            <v>RBA</v>
          </cell>
          <cell r="F24"/>
          <cell r="G24"/>
          <cell r="H24">
            <v>2</v>
          </cell>
          <cell r="I24" t="str">
            <v>a.Tranche 1 &amp; 2</v>
          </cell>
          <cell r="J24" t="str">
            <v>a.STAR</v>
          </cell>
          <cell r="K24" t="str">
            <v>UNDP</v>
          </cell>
          <cell r="L24" t="str">
            <v>Yes</v>
          </cell>
          <cell r="M24" t="str">
            <v>k.End of Mar 2026</v>
          </cell>
          <cell r="N24" t="str">
            <v>UNOPS Action</v>
          </cell>
          <cell r="O24">
            <v>5999.9999999999991</v>
          </cell>
          <cell r="P24">
            <v>243.75</v>
          </cell>
          <cell r="Q24">
            <v>780</v>
          </cell>
          <cell r="R24"/>
          <cell r="S24">
            <v>1875</v>
          </cell>
          <cell r="T24">
            <v>975</v>
          </cell>
          <cell r="U24">
            <v>18298.5</v>
          </cell>
          <cell r="V24">
            <v>877.5</v>
          </cell>
          <cell r="W24">
            <v>1316.25</v>
          </cell>
          <cell r="X24">
            <v>682.50000000000011</v>
          </cell>
          <cell r="Y24">
            <v>4125</v>
          </cell>
          <cell r="Z24">
            <v>35173.5</v>
          </cell>
        </row>
        <row r="25">
          <cell r="B25" t="str">
            <v>Cabo Verde</v>
          </cell>
          <cell r="C25" t="str">
            <v>Cabo Verde</v>
          </cell>
          <cell r="D25" t="str">
            <v>CPV</v>
          </cell>
          <cell r="E25" t="str">
            <v>RBA</v>
          </cell>
          <cell r="F25"/>
          <cell r="G25"/>
          <cell r="H25">
            <v>2</v>
          </cell>
          <cell r="I25" t="str">
            <v>a.Tranche 1 &amp; 2</v>
          </cell>
          <cell r="J25" t="str">
            <v>a.STAR</v>
          </cell>
          <cell r="K25" t="str">
            <v>UNDP</v>
          </cell>
          <cell r="L25" t="str">
            <v/>
          </cell>
          <cell r="M25" t="str">
            <v>UNDP OP8 COB - UNDP CO</v>
          </cell>
          <cell r="N25" t="str">
            <v>UNDP Action</v>
          </cell>
          <cell r="O25">
            <v>6867.3098751418847</v>
          </cell>
          <cell r="P25">
            <v>83.62234473812228</v>
          </cell>
          <cell r="Q25">
            <v>267.59150316199128</v>
          </cell>
          <cell r="R25"/>
          <cell r="S25">
            <v>0</v>
          </cell>
          <cell r="T25">
            <v>334.48937895248912</v>
          </cell>
          <cell r="U25">
            <v>10584.066158586022</v>
          </cell>
          <cell r="V25">
            <v>301.04044105724017</v>
          </cell>
          <cell r="W25">
            <v>451.56066158586032</v>
          </cell>
          <cell r="X25">
            <v>234.14256526674239</v>
          </cell>
          <cell r="Y25">
            <v>3924.1770715096482</v>
          </cell>
          <cell r="Z25">
            <v>23048</v>
          </cell>
        </row>
        <row r="26">
          <cell r="B26" t="str">
            <v>Cambodia</v>
          </cell>
          <cell r="C26" t="str">
            <v>Cambodia</v>
          </cell>
          <cell r="D26" t="str">
            <v>KHM</v>
          </cell>
          <cell r="E26" t="str">
            <v>RBAP</v>
          </cell>
          <cell r="F26"/>
          <cell r="G26"/>
          <cell r="H26">
            <v>3</v>
          </cell>
          <cell r="I26" t="str">
            <v>a.Tranche 1 &amp; 2</v>
          </cell>
          <cell r="J26" t="str">
            <v>a.STAR</v>
          </cell>
          <cell r="K26" t="str">
            <v>UNOPS</v>
          </cell>
          <cell r="L26" t="str">
            <v>Yes</v>
          </cell>
          <cell r="M26" t="str">
            <v>n.End of June 2026</v>
          </cell>
          <cell r="N26" t="str">
            <v>UNOPS Action</v>
          </cell>
          <cell r="O26">
            <v>8146.5</v>
          </cell>
          <cell r="P26">
            <v>68.25</v>
          </cell>
          <cell r="Q26">
            <v>218.4</v>
          </cell>
          <cell r="R26"/>
          <cell r="S26">
            <v>166.5</v>
          </cell>
          <cell r="T26">
            <v>273</v>
          </cell>
          <cell r="U26">
            <v>9192</v>
          </cell>
          <cell r="V26">
            <v>245.7</v>
          </cell>
          <cell r="W26">
            <v>368.55</v>
          </cell>
          <cell r="X26">
            <v>191.10000000000002</v>
          </cell>
          <cell r="Y26">
            <v>5617.5</v>
          </cell>
          <cell r="Z26">
            <v>24487.5</v>
          </cell>
        </row>
        <row r="27">
          <cell r="B27" t="str">
            <v>Cameroon</v>
          </cell>
          <cell r="C27" t="str">
            <v>Cameroon</v>
          </cell>
          <cell r="D27" t="str">
            <v>CMR</v>
          </cell>
          <cell r="E27" t="str">
            <v>RBA</v>
          </cell>
          <cell r="F27"/>
          <cell r="G27"/>
          <cell r="H27">
            <v>2</v>
          </cell>
          <cell r="I27" t="str">
            <v>a.Tranche 1 &amp; 2</v>
          </cell>
          <cell r="J27" t="str">
            <v>a.STAR</v>
          </cell>
          <cell r="K27" t="str">
            <v>UNDP</v>
          </cell>
          <cell r="L27" t="str">
            <v/>
          </cell>
          <cell r="M27" t="str">
            <v>UNDP OP8 COB - UNDP CO</v>
          </cell>
          <cell r="N27" t="str">
            <v>UNDP Action</v>
          </cell>
          <cell r="O27">
            <v>4356.1073825503354</v>
          </cell>
          <cell r="P27">
            <v>163.04787472035798</v>
          </cell>
          <cell r="Q27">
            <v>521.75319910514543</v>
          </cell>
          <cell r="R27"/>
          <cell r="S27">
            <v>0</v>
          </cell>
          <cell r="T27">
            <v>652.19149888143193</v>
          </cell>
          <cell r="U27">
            <v>12323.935123042505</v>
          </cell>
          <cell r="V27">
            <v>586.97234899328862</v>
          </cell>
          <cell r="W27">
            <v>880.45852348993299</v>
          </cell>
          <cell r="X27">
            <v>456.53404921700235</v>
          </cell>
          <cell r="Y27">
            <v>0</v>
          </cell>
          <cell r="Z27">
            <v>19941</v>
          </cell>
        </row>
        <row r="28">
          <cell r="B28" t="str">
            <v>Central African Republic</v>
          </cell>
          <cell r="C28" t="str">
            <v>Central African Republic</v>
          </cell>
          <cell r="D28" t="str">
            <v>CAF</v>
          </cell>
          <cell r="E28" t="str">
            <v>RBA</v>
          </cell>
          <cell r="F28"/>
          <cell r="G28"/>
          <cell r="H28">
            <v>2</v>
          </cell>
          <cell r="I28" t="str">
            <v>a.Tranche 1 &amp; 2</v>
          </cell>
          <cell r="J28" t="str">
            <v>a.STAR</v>
          </cell>
          <cell r="K28" t="str">
            <v>UNDP</v>
          </cell>
          <cell r="L28" t="str">
            <v/>
          </cell>
          <cell r="M28" t="str">
            <v>UNDP OP8 COB - UNDP CO</v>
          </cell>
          <cell r="N28" t="str">
            <v>UNDP Action</v>
          </cell>
          <cell r="O28">
            <v>4199.9999999999991</v>
          </cell>
          <cell r="P28">
            <v>187.5</v>
          </cell>
          <cell r="Q28">
            <v>2100</v>
          </cell>
          <cell r="R28"/>
          <cell r="S28">
            <v>2400</v>
          </cell>
          <cell r="T28">
            <v>750</v>
          </cell>
          <cell r="U28">
            <v>15986.399999999998</v>
          </cell>
          <cell r="V28">
            <v>674.99999999999989</v>
          </cell>
          <cell r="W28">
            <v>1012.5</v>
          </cell>
          <cell r="X28">
            <v>525</v>
          </cell>
          <cell r="Y28">
            <v>3450</v>
          </cell>
          <cell r="Z28">
            <v>31286.399999999998</v>
          </cell>
        </row>
        <row r="29">
          <cell r="B29" t="str">
            <v>Chad</v>
          </cell>
          <cell r="C29" t="str">
            <v>Chad</v>
          </cell>
          <cell r="D29" t="str">
            <v>TCD</v>
          </cell>
          <cell r="E29" t="str">
            <v>RBA</v>
          </cell>
          <cell r="F29"/>
          <cell r="G29"/>
          <cell r="H29">
            <v>3</v>
          </cell>
          <cell r="I29" t="str">
            <v>c.Tranche 2 Only</v>
          </cell>
          <cell r="J29" t="str">
            <v>b.No STAR</v>
          </cell>
          <cell r="K29" t="str">
            <v>Vacant</v>
          </cell>
          <cell r="L29" t="str">
            <v/>
          </cell>
          <cell r="M29" t="str">
            <v>UNDP OP8 COB - Vacant</v>
          </cell>
          <cell r="N29" t="str">
            <v>UNDP Action</v>
          </cell>
          <cell r="O29">
            <v>8604.9880036294471</v>
          </cell>
          <cell r="P29">
            <v>275.52134280621465</v>
          </cell>
          <cell r="Q29">
            <v>881.6682969798868</v>
          </cell>
          <cell r="R29"/>
          <cell r="S29">
            <v>455.77703546194442</v>
          </cell>
          <cell r="T29">
            <v>1102.0853712248586</v>
          </cell>
          <cell r="U29">
            <v>11234.887044752235</v>
          </cell>
          <cell r="V29">
            <v>991.87683410237264</v>
          </cell>
          <cell r="W29">
            <v>1487.8152511535591</v>
          </cell>
          <cell r="X29">
            <v>771.45975985740097</v>
          </cell>
          <cell r="Y29">
            <v>3665.7119680711562</v>
          </cell>
          <cell r="Z29">
            <v>29471.790908039075</v>
          </cell>
        </row>
        <row r="30">
          <cell r="B30" t="str">
            <v>Chile</v>
          </cell>
          <cell r="C30" t="str">
            <v>Chile</v>
          </cell>
          <cell r="D30" t="str">
            <v>CHL</v>
          </cell>
          <cell r="E30" t="str">
            <v>RBLAC</v>
          </cell>
          <cell r="F30"/>
          <cell r="G30"/>
          <cell r="H30">
            <v>5</v>
          </cell>
          <cell r="I30" t="str">
            <v>d.Not UNDP</v>
          </cell>
          <cell r="J30" t="str">
            <v/>
          </cell>
          <cell r="K30" t="str">
            <v>N/A</v>
          </cell>
          <cell r="L30" t="str">
            <v/>
          </cell>
          <cell r="M30" t="str">
            <v>N/A</v>
          </cell>
          <cell r="N30" t="str">
            <v>N/A</v>
          </cell>
          <cell r="O30" t="str">
            <v/>
          </cell>
          <cell r="P30" t="str">
            <v/>
          </cell>
          <cell r="Q30" t="str">
            <v/>
          </cell>
          <cell r="R30"/>
          <cell r="S30" t="str">
            <v/>
          </cell>
          <cell r="T30" t="str">
            <v/>
          </cell>
          <cell r="U30" t="str">
            <v/>
          </cell>
          <cell r="V30" t="str">
            <v/>
          </cell>
          <cell r="W30" t="str">
            <v/>
          </cell>
          <cell r="X30" t="str">
            <v/>
          </cell>
          <cell r="Y30" t="str">
            <v/>
          </cell>
          <cell r="Z30">
            <v>0</v>
          </cell>
        </row>
        <row r="31">
          <cell r="B31" t="str">
            <v>China</v>
          </cell>
          <cell r="C31" t="str">
            <v>China</v>
          </cell>
          <cell r="D31" t="str">
            <v>CHN</v>
          </cell>
          <cell r="E31" t="str">
            <v>RBAP</v>
          </cell>
          <cell r="F31"/>
          <cell r="G31"/>
          <cell r="H31">
            <v>1</v>
          </cell>
          <cell r="I31" t="str">
            <v>c.Tranche 2 Only</v>
          </cell>
          <cell r="J31" t="str">
            <v>a.STAR</v>
          </cell>
          <cell r="K31" t="str">
            <v>UNDP</v>
          </cell>
          <cell r="L31" t="str">
            <v>Yes</v>
          </cell>
          <cell r="M31" t="str">
            <v>n.End of June 2026</v>
          </cell>
          <cell r="N31" t="str">
            <v>UNOPS Action</v>
          </cell>
          <cell r="O31">
            <v>17204.106608648355</v>
          </cell>
          <cell r="P31">
            <v>342.9793048262589</v>
          </cell>
          <cell r="Q31">
            <v>1097.5337754440284</v>
          </cell>
          <cell r="R31"/>
          <cell r="S31">
            <v>0</v>
          </cell>
          <cell r="T31">
            <v>1371.9172193050356</v>
          </cell>
          <cell r="U31">
            <v>11404.117026840444</v>
          </cell>
          <cell r="V31">
            <v>1234.7254973745319</v>
          </cell>
          <cell r="W31">
            <v>1852.0882460617981</v>
          </cell>
          <cell r="X31">
            <v>960.342053513525</v>
          </cell>
          <cell r="Y31">
            <v>6705.1902679860259</v>
          </cell>
          <cell r="Z31">
            <v>42173.000000000007</v>
          </cell>
        </row>
        <row r="32">
          <cell r="B32" t="str">
            <v>Colombia</v>
          </cell>
          <cell r="C32" t="str">
            <v>Colombia</v>
          </cell>
          <cell r="D32" t="str">
            <v>COL</v>
          </cell>
          <cell r="E32" t="str">
            <v>RBLAC</v>
          </cell>
          <cell r="F32"/>
          <cell r="G32"/>
          <cell r="H32">
            <v>1</v>
          </cell>
          <cell r="I32" t="str">
            <v>a.Tranche 1 &amp; 2</v>
          </cell>
          <cell r="J32" t="str">
            <v>a.STAR</v>
          </cell>
          <cell r="K32" t="str">
            <v>UNDP</v>
          </cell>
          <cell r="L32" t="str">
            <v>Yes</v>
          </cell>
          <cell r="M32" t="str">
            <v>n.End of June 2026</v>
          </cell>
          <cell r="N32" t="str">
            <v>UNOPS Action</v>
          </cell>
          <cell r="O32">
            <v>16577</v>
          </cell>
          <cell r="P32">
            <v>0</v>
          </cell>
          <cell r="Q32">
            <v>0</v>
          </cell>
          <cell r="R32">
            <v>0</v>
          </cell>
          <cell r="S32">
            <v>900</v>
          </cell>
          <cell r="T32">
            <v>0</v>
          </cell>
          <cell r="U32">
            <v>6000</v>
          </cell>
          <cell r="V32">
            <v>0</v>
          </cell>
          <cell r="W32">
            <v>7000</v>
          </cell>
          <cell r="X32">
            <v>500</v>
          </cell>
          <cell r="Y32">
            <v>17500</v>
          </cell>
          <cell r="Z32">
            <v>48477</v>
          </cell>
        </row>
        <row r="33">
          <cell r="B33" t="str">
            <v>Comoros</v>
          </cell>
          <cell r="C33" t="str">
            <v>Comoros</v>
          </cell>
          <cell r="D33" t="str">
            <v>COM</v>
          </cell>
          <cell r="E33" t="str">
            <v>RBA</v>
          </cell>
          <cell r="F33"/>
          <cell r="G33"/>
          <cell r="H33">
            <v>2</v>
          </cell>
          <cell r="I33" t="str">
            <v>a.Tranche 1 &amp; 2</v>
          </cell>
          <cell r="J33" t="str">
            <v>a.STAR</v>
          </cell>
          <cell r="K33" t="str">
            <v>UNDP</v>
          </cell>
          <cell r="L33" t="str">
            <v/>
          </cell>
          <cell r="M33" t="str">
            <v>UNDP OP8 COB - UNDP CO</v>
          </cell>
          <cell r="N33" t="str">
            <v>UNDP Action</v>
          </cell>
          <cell r="O33">
            <v>12579</v>
          </cell>
          <cell r="P33">
            <v>319.90000000000003</v>
          </cell>
          <cell r="Q33">
            <v>1023.6800000000001</v>
          </cell>
          <cell r="R33"/>
          <cell r="S33">
            <v>1000</v>
          </cell>
          <cell r="T33">
            <v>1279.6000000000001</v>
          </cell>
          <cell r="U33">
            <v>0</v>
          </cell>
          <cell r="V33">
            <v>1151.6399999999999</v>
          </cell>
          <cell r="W33">
            <v>1727.46</v>
          </cell>
          <cell r="X33">
            <v>895.72000000000014</v>
          </cell>
          <cell r="Y33">
            <v>6752.0000000000009</v>
          </cell>
          <cell r="Z33">
            <v>26729</v>
          </cell>
        </row>
        <row r="34">
          <cell r="B34" t="str">
            <v>Congo (Brazzaville)</v>
          </cell>
          <cell r="C34" t="str">
            <v>Congo (Brazzaville)</v>
          </cell>
          <cell r="D34" t="str">
            <v>COG</v>
          </cell>
          <cell r="E34" t="str">
            <v>RBA</v>
          </cell>
          <cell r="F34"/>
          <cell r="G34"/>
          <cell r="H34">
            <v>3</v>
          </cell>
          <cell r="I34" t="str">
            <v>b.Tranche 1 Only</v>
          </cell>
          <cell r="J34" t="str">
            <v>a.STAR</v>
          </cell>
          <cell r="K34" t="str">
            <v>UNDP</v>
          </cell>
          <cell r="L34" t="str">
            <v/>
          </cell>
          <cell r="M34" t="str">
            <v>UNDP OP8 COB - UNDP CO</v>
          </cell>
          <cell r="N34" t="str">
            <v>UNDP Action</v>
          </cell>
          <cell r="O34">
            <v>3458</v>
          </cell>
          <cell r="P34">
            <v>25</v>
          </cell>
          <cell r="Q34">
            <v>80</v>
          </cell>
          <cell r="R34"/>
          <cell r="S34">
            <v>200</v>
          </cell>
          <cell r="T34">
            <v>100</v>
          </cell>
          <cell r="U34">
            <v>6193</v>
          </cell>
          <cell r="V34">
            <v>90</v>
          </cell>
          <cell r="W34">
            <v>135</v>
          </cell>
          <cell r="X34">
            <v>70</v>
          </cell>
          <cell r="Y34">
            <v>1500</v>
          </cell>
          <cell r="Z34">
            <v>11851</v>
          </cell>
        </row>
        <row r="35">
          <cell r="B35" t="str">
            <v>Congo, DR</v>
          </cell>
          <cell r="C35" t="str">
            <v>Congo, DR</v>
          </cell>
          <cell r="D35" t="str">
            <v>COD</v>
          </cell>
          <cell r="E35" t="str">
            <v>RBA</v>
          </cell>
          <cell r="F35"/>
          <cell r="G35"/>
          <cell r="H35">
            <v>2</v>
          </cell>
          <cell r="I35" t="str">
            <v>a.Tranche 1 &amp; 2</v>
          </cell>
          <cell r="J35" t="str">
            <v>a.STAR</v>
          </cell>
          <cell r="K35" t="str">
            <v>UNDP</v>
          </cell>
          <cell r="L35" t="str">
            <v/>
          </cell>
          <cell r="M35" t="str">
            <v>UNDP OP8 COB - UNDP CO</v>
          </cell>
          <cell r="N35" t="str">
            <v>UNDP Action</v>
          </cell>
          <cell r="O35">
            <v>12000</v>
          </cell>
          <cell r="P35">
            <v>56.7</v>
          </cell>
          <cell r="Q35">
            <v>181.44</v>
          </cell>
          <cell r="R35"/>
          <cell r="S35">
            <v>419.99999999999994</v>
          </cell>
          <cell r="T35">
            <v>226.8</v>
          </cell>
          <cell r="U35">
            <v>9600</v>
          </cell>
          <cell r="V35">
            <v>204.12</v>
          </cell>
          <cell r="W35">
            <v>306.18</v>
          </cell>
          <cell r="X35">
            <v>158.76000000000002</v>
          </cell>
          <cell r="Y35">
            <v>0</v>
          </cell>
          <cell r="Z35">
            <v>23154</v>
          </cell>
        </row>
        <row r="36">
          <cell r="B36" t="str">
            <v>Cook Islands</v>
          </cell>
          <cell r="C36" t="str">
            <v>Cook Islands</v>
          </cell>
          <cell r="D36" t="str">
            <v>COK</v>
          </cell>
          <cell r="E36" t="str">
            <v>RBAP</v>
          </cell>
          <cell r="F36" t="str">
            <v>SRO</v>
          </cell>
          <cell r="G36" t="str">
            <v>NHI</v>
          </cell>
          <cell r="H36">
            <v>5</v>
          </cell>
          <cell r="I36" t="str">
            <v>d.Not UNDP</v>
          </cell>
          <cell r="J36" t="str">
            <v/>
          </cell>
          <cell r="K36" t="str">
            <v>NHI</v>
          </cell>
          <cell r="L36" t="str">
            <v>Yes</v>
          </cell>
          <cell r="M36" t="str">
            <v>n.End of June 2026</v>
          </cell>
          <cell r="N36" t="str">
            <v>UNOPS Action</v>
          </cell>
          <cell r="O36">
            <v>13170</v>
          </cell>
          <cell r="P36">
            <v>598.65</v>
          </cell>
          <cell r="Q36">
            <v>1915.68</v>
          </cell>
          <cell r="R36"/>
          <cell r="S36">
            <v>700</v>
          </cell>
          <cell r="T36">
            <v>2394.6</v>
          </cell>
          <cell r="U36">
            <v>2713</v>
          </cell>
          <cell r="V36">
            <v>2155.14</v>
          </cell>
          <cell r="W36">
            <v>3232.71</v>
          </cell>
          <cell r="X36">
            <v>1676.2200000000003</v>
          </cell>
          <cell r="Y36">
            <v>4180</v>
          </cell>
          <cell r="Z36">
            <v>32736</v>
          </cell>
        </row>
        <row r="37">
          <cell r="B37" t="str">
            <v xml:space="preserve">Costa Rica </v>
          </cell>
          <cell r="C37" t="str">
            <v>Costa Rica</v>
          </cell>
          <cell r="D37" t="str">
            <v>CRI</v>
          </cell>
          <cell r="E37" t="str">
            <v>RBLAC</v>
          </cell>
          <cell r="F37"/>
          <cell r="G37"/>
          <cell r="H37">
            <v>1</v>
          </cell>
          <cell r="I37" t="str">
            <v>a.Tranche 1 &amp; 2</v>
          </cell>
          <cell r="J37" t="str">
            <v>a.STAR</v>
          </cell>
          <cell r="K37" t="str">
            <v>UNDP</v>
          </cell>
          <cell r="L37" t="str">
            <v>Yes</v>
          </cell>
          <cell r="M37" t="str">
            <v>k.End of Mar 2026</v>
          </cell>
          <cell r="N37" t="str">
            <v>UNOPS Action</v>
          </cell>
          <cell r="O37">
            <v>8604.9880036294471</v>
          </cell>
          <cell r="P37">
            <v>275.52134280621465</v>
          </cell>
          <cell r="Q37">
            <v>881.6682969798868</v>
          </cell>
          <cell r="R37"/>
          <cell r="S37">
            <v>455.77703546194442</v>
          </cell>
          <cell r="T37">
            <v>1102.0853712248586</v>
          </cell>
          <cell r="U37">
            <v>11234.887044752235</v>
          </cell>
          <cell r="V37">
            <v>991.87683410237264</v>
          </cell>
          <cell r="W37">
            <v>1487.8152511535591</v>
          </cell>
          <cell r="X37">
            <v>771.45975985740097</v>
          </cell>
          <cell r="Y37">
            <v>3665.7119680711562</v>
          </cell>
          <cell r="Z37">
            <v>29471.790908039075</v>
          </cell>
        </row>
        <row r="38">
          <cell r="B38" t="str">
            <v>Cote d'Ivoire</v>
          </cell>
          <cell r="C38" t="str">
            <v>Cote d'Ivoire</v>
          </cell>
          <cell r="D38" t="str">
            <v>CIV</v>
          </cell>
          <cell r="E38" t="str">
            <v>RBA</v>
          </cell>
          <cell r="F38"/>
          <cell r="G38"/>
          <cell r="H38">
            <v>1</v>
          </cell>
          <cell r="I38" t="str">
            <v>a.Tranche 1 &amp; 2</v>
          </cell>
          <cell r="J38" t="str">
            <v>a.STAR</v>
          </cell>
          <cell r="K38" t="str">
            <v>Private Lease</v>
          </cell>
          <cell r="L38" t="str">
            <v>Yes</v>
          </cell>
          <cell r="M38" t="str">
            <v>k.End of Mar 2026</v>
          </cell>
          <cell r="N38" t="str">
            <v>UNOPS Action</v>
          </cell>
          <cell r="O38">
            <v>2807.25</v>
          </cell>
          <cell r="P38">
            <v>174.3</v>
          </cell>
          <cell r="Q38">
            <v>557.76</v>
          </cell>
          <cell r="R38"/>
          <cell r="S38">
            <v>1428</v>
          </cell>
          <cell r="T38">
            <v>697.2</v>
          </cell>
          <cell r="U38">
            <v>24022.5</v>
          </cell>
          <cell r="V38">
            <v>627.48</v>
          </cell>
          <cell r="W38">
            <v>941.22</v>
          </cell>
          <cell r="X38">
            <v>488.04</v>
          </cell>
          <cell r="Y38">
            <v>1316.25</v>
          </cell>
          <cell r="Z38">
            <v>33060</v>
          </cell>
        </row>
        <row r="39">
          <cell r="B39" t="str">
            <v>Cuba</v>
          </cell>
          <cell r="C39" t="str">
            <v>Cuba</v>
          </cell>
          <cell r="D39" t="str">
            <v>CUB</v>
          </cell>
          <cell r="E39" t="str">
            <v>RBLAC</v>
          </cell>
          <cell r="F39"/>
          <cell r="G39"/>
          <cell r="H39">
            <v>3</v>
          </cell>
          <cell r="I39" t="str">
            <v>a.Tranche 1 &amp; 2</v>
          </cell>
          <cell r="J39" t="str">
            <v>a.STAR</v>
          </cell>
          <cell r="K39" t="str">
            <v>UNDP</v>
          </cell>
          <cell r="L39" t="str">
            <v>Yes</v>
          </cell>
          <cell r="M39" t="str">
            <v>j.End of Feb 2026</v>
          </cell>
          <cell r="N39" t="str">
            <v>UNOPS Action</v>
          </cell>
          <cell r="O39">
            <v>25180.212765957447</v>
          </cell>
          <cell r="P39">
            <v>134.29446808510639</v>
          </cell>
          <cell r="Q39">
            <v>429.74229787234043</v>
          </cell>
          <cell r="R39"/>
          <cell r="S39">
            <v>671.47234042553191</v>
          </cell>
          <cell r="T39">
            <v>537.17787234042555</v>
          </cell>
          <cell r="U39">
            <v>10491.755319148935</v>
          </cell>
          <cell r="V39">
            <v>483.46008510638296</v>
          </cell>
          <cell r="W39">
            <v>725.1901276595745</v>
          </cell>
          <cell r="X39">
            <v>376.0245106382979</v>
          </cell>
          <cell r="Y39">
            <v>419.67021276595744</v>
          </cell>
          <cell r="Z39">
            <v>39449</v>
          </cell>
        </row>
        <row r="40">
          <cell r="B40" t="str">
            <v>Djibouti</v>
          </cell>
          <cell r="C40" t="str">
            <v>Djibouti</v>
          </cell>
          <cell r="D40" t="str">
            <v>DJI</v>
          </cell>
          <cell r="E40" t="str">
            <v>RBAS</v>
          </cell>
          <cell r="F40"/>
          <cell r="G40"/>
          <cell r="H40">
            <v>3</v>
          </cell>
          <cell r="I40" t="str">
            <v>a.Tranche 1 &amp; 2</v>
          </cell>
          <cell r="J40" t="str">
            <v>a.STAR</v>
          </cell>
          <cell r="K40" t="str">
            <v>UNDP</v>
          </cell>
          <cell r="L40" t="str">
            <v/>
          </cell>
          <cell r="M40" t="str">
            <v>UNDP OP8 COB - UNDP CO</v>
          </cell>
          <cell r="N40" t="str">
            <v>UNDP Action</v>
          </cell>
          <cell r="O40">
            <v>7929.7292876910415</v>
          </cell>
          <cell r="P40">
            <v>88.878044827844121</v>
          </cell>
          <cell r="Q40">
            <v>284.4097434491012</v>
          </cell>
          <cell r="R40"/>
          <cell r="S40">
            <v>0</v>
          </cell>
          <cell r="T40">
            <v>355.51217931137649</v>
          </cell>
          <cell r="U40">
            <v>22418.787404323219</v>
          </cell>
          <cell r="V40">
            <v>319.96096138023881</v>
          </cell>
          <cell r="W40">
            <v>479.94144207035828</v>
          </cell>
          <cell r="X40">
            <v>248.85852551796356</v>
          </cell>
          <cell r="Y40">
            <v>2399.9224114288563</v>
          </cell>
          <cell r="Z40">
            <v>34526</v>
          </cell>
        </row>
        <row r="41">
          <cell r="B41" t="str">
            <v>Dominica</v>
          </cell>
          <cell r="C41" t="str">
            <v>Dominica</v>
          </cell>
          <cell r="D41" t="str">
            <v>DMA</v>
          </cell>
          <cell r="E41" t="str">
            <v>RBLAC</v>
          </cell>
          <cell r="F41" t="str">
            <v>SRO</v>
          </cell>
          <cell r="G41"/>
          <cell r="H41">
            <v>3</v>
          </cell>
          <cell r="I41" t="str">
            <v>a.Tranche 1 &amp; 2</v>
          </cell>
          <cell r="J41" t="str">
            <v>a.STAR</v>
          </cell>
          <cell r="K41" t="str">
            <v>Vacant</v>
          </cell>
          <cell r="L41" t="str">
            <v/>
          </cell>
          <cell r="M41" t="str">
            <v>UNDP OP8 COB - Vacant</v>
          </cell>
          <cell r="N41" t="str">
            <v>UNDP Action</v>
          </cell>
          <cell r="O41">
            <v>1350</v>
          </cell>
          <cell r="P41">
            <v>91.875</v>
          </cell>
          <cell r="Q41">
            <v>294</v>
          </cell>
          <cell r="R41"/>
          <cell r="S41">
            <v>225</v>
          </cell>
          <cell r="T41">
            <v>367.5</v>
          </cell>
          <cell r="U41">
            <v>12738.75</v>
          </cell>
          <cell r="V41">
            <v>330.75</v>
          </cell>
          <cell r="W41">
            <v>496.12500000000006</v>
          </cell>
          <cell r="X41">
            <v>257.25</v>
          </cell>
          <cell r="Y41">
            <v>2925.0000000000005</v>
          </cell>
          <cell r="Z41">
            <v>19076.25</v>
          </cell>
        </row>
        <row r="42">
          <cell r="B42" t="str">
            <v>Dominican Republic</v>
          </cell>
          <cell r="C42" t="str">
            <v>Dominican Republic</v>
          </cell>
          <cell r="D42" t="str">
            <v>DOM</v>
          </cell>
          <cell r="E42" t="str">
            <v>RBLAC</v>
          </cell>
          <cell r="F42"/>
          <cell r="G42"/>
          <cell r="H42">
            <v>2</v>
          </cell>
          <cell r="I42" t="str">
            <v>a.Tranche 1 &amp; 2</v>
          </cell>
          <cell r="J42" t="str">
            <v>a.STAR</v>
          </cell>
          <cell r="K42" t="str">
            <v>Private Lease</v>
          </cell>
          <cell r="L42" t="str">
            <v>Yes</v>
          </cell>
          <cell r="M42" t="str">
            <v>n.End of June 2026</v>
          </cell>
          <cell r="N42" t="str">
            <v>UNOPS Action</v>
          </cell>
          <cell r="O42">
            <v>16820</v>
          </cell>
          <cell r="P42">
            <v>883.10279329608954</v>
          </cell>
          <cell r="Q42">
            <v>1926</v>
          </cell>
          <cell r="R42"/>
          <cell r="S42">
            <v>1724</v>
          </cell>
          <cell r="T42">
            <v>1532</v>
          </cell>
          <cell r="U42">
            <v>2299</v>
          </cell>
          <cell r="V42">
            <v>13079</v>
          </cell>
          <cell r="W42">
            <v>1269</v>
          </cell>
          <cell r="X42">
            <v>2473</v>
          </cell>
          <cell r="Y42">
            <v>1185</v>
          </cell>
          <cell r="Z42">
            <v>43190.102793296086</v>
          </cell>
        </row>
        <row r="43">
          <cell r="B43" t="str">
            <v>Ecuador</v>
          </cell>
          <cell r="C43" t="str">
            <v>Ecuador</v>
          </cell>
          <cell r="D43" t="str">
            <v>ECU</v>
          </cell>
          <cell r="E43" t="str">
            <v>RBLAC</v>
          </cell>
          <cell r="F43"/>
          <cell r="G43"/>
          <cell r="H43">
            <v>2</v>
          </cell>
          <cell r="I43" t="str">
            <v>a.Tranche 1 &amp; 2</v>
          </cell>
          <cell r="J43" t="str">
            <v>a.STAR</v>
          </cell>
          <cell r="K43" t="str">
            <v>Vacant</v>
          </cell>
          <cell r="L43" t="str">
            <v/>
          </cell>
          <cell r="M43" t="str">
            <v>UNDP OP8 COB - Vacant</v>
          </cell>
          <cell r="N43" t="str">
            <v>UNDP Action</v>
          </cell>
          <cell r="O43">
            <v>8604.9880036294471</v>
          </cell>
          <cell r="P43">
            <v>275.52134280621465</v>
          </cell>
          <cell r="Q43">
            <v>881.6682969798868</v>
          </cell>
          <cell r="R43"/>
          <cell r="S43">
            <v>455.77703546194442</v>
          </cell>
          <cell r="T43">
            <v>1102.0853712248586</v>
          </cell>
          <cell r="U43">
            <v>11234.887044752235</v>
          </cell>
          <cell r="V43">
            <v>991.87683410237264</v>
          </cell>
          <cell r="W43">
            <v>1487.8152511535591</v>
          </cell>
          <cell r="X43">
            <v>771.45975985740097</v>
          </cell>
          <cell r="Y43">
            <v>3665.7119680711562</v>
          </cell>
          <cell r="Z43">
            <v>29471.790908039075</v>
          </cell>
        </row>
        <row r="44">
          <cell r="B44" t="str">
            <v>Egypt</v>
          </cell>
          <cell r="C44" t="str">
            <v>Egypt</v>
          </cell>
          <cell r="D44" t="str">
            <v>EGY</v>
          </cell>
          <cell r="E44" t="str">
            <v>RBAS</v>
          </cell>
          <cell r="F44"/>
          <cell r="G44" t="str">
            <v>NHI</v>
          </cell>
          <cell r="H44">
            <v>1</v>
          </cell>
          <cell r="I44" t="str">
            <v>a.Tranche 1 &amp; 2</v>
          </cell>
          <cell r="J44" t="str">
            <v>a.STAR</v>
          </cell>
          <cell r="K44" t="str">
            <v>NHI</v>
          </cell>
          <cell r="L44" t="str">
            <v>Yes</v>
          </cell>
          <cell r="M44" t="str">
            <v>l1. 13 Apr 2026</v>
          </cell>
          <cell r="N44" t="str">
            <v>UNOPS Action</v>
          </cell>
          <cell r="O44">
            <v>12907.48200544417</v>
          </cell>
          <cell r="P44">
            <v>413.28201420932191</v>
          </cell>
          <cell r="Q44">
            <v>1322.5024454698303</v>
          </cell>
          <cell r="R44">
            <v>4000</v>
          </cell>
          <cell r="S44">
            <v>683.66555319291672</v>
          </cell>
          <cell r="T44">
            <v>1653.1280568372877</v>
          </cell>
          <cell r="U44">
            <v>16852.330567128352</v>
          </cell>
          <cell r="V44">
            <v>1487.8152511535588</v>
          </cell>
          <cell r="W44">
            <v>2231.7228767303386</v>
          </cell>
          <cell r="X44">
            <v>1157.1896397861015</v>
          </cell>
          <cell r="Y44">
            <v>5498.567952106735</v>
          </cell>
          <cell r="Z44">
            <v>48207.686362058608</v>
          </cell>
        </row>
        <row r="45">
          <cell r="B45" t="str">
            <v>El Salvador</v>
          </cell>
          <cell r="C45" t="str">
            <v>El Salvador</v>
          </cell>
          <cell r="D45" t="str">
            <v>SLV</v>
          </cell>
          <cell r="E45" t="str">
            <v>RBLAC</v>
          </cell>
          <cell r="F45"/>
          <cell r="G45"/>
          <cell r="H45">
            <v>3</v>
          </cell>
          <cell r="I45" t="str">
            <v>a.Tranche 1 &amp; 2</v>
          </cell>
          <cell r="J45" t="str">
            <v>b.No STAR</v>
          </cell>
          <cell r="K45" t="str">
            <v>UNDP</v>
          </cell>
          <cell r="L45" t="str">
            <v/>
          </cell>
          <cell r="M45" t="str">
            <v>UNDP OP8 COB - UNDP CO</v>
          </cell>
          <cell r="N45" t="str">
            <v>UNDP Action</v>
          </cell>
          <cell r="O45">
            <v>14158.032053712834</v>
          </cell>
          <cell r="P45">
            <v>403.84077535633827</v>
          </cell>
          <cell r="Q45">
            <v>1292.2904811402823</v>
          </cell>
          <cell r="R45"/>
          <cell r="S45">
            <v>0</v>
          </cell>
          <cell r="T45">
            <v>1615.3631014253531</v>
          </cell>
          <cell r="U45">
            <v>21858.152439160403</v>
          </cell>
          <cell r="V45">
            <v>1453.8267912828176</v>
          </cell>
          <cell r="W45">
            <v>2180.7401869242267</v>
          </cell>
          <cell r="X45">
            <v>1130.7541709977472</v>
          </cell>
          <cell r="Y45">
            <v>0</v>
          </cell>
          <cell r="Z45">
            <v>44093</v>
          </cell>
        </row>
        <row r="46">
          <cell r="B46" t="str">
            <v>Equatorial Guinea</v>
          </cell>
          <cell r="C46" t="str">
            <v>Equatorial Guinea</v>
          </cell>
          <cell r="D46" t="str">
            <v>GNQ</v>
          </cell>
          <cell r="E46" t="str">
            <v>RBA</v>
          </cell>
          <cell r="F46"/>
          <cell r="G46"/>
          <cell r="H46">
            <v>5</v>
          </cell>
          <cell r="I46" t="str">
            <v>d.Not UNDP</v>
          </cell>
          <cell r="J46" t="str">
            <v/>
          </cell>
          <cell r="K46" t="str">
            <v>N/A</v>
          </cell>
          <cell r="L46" t="str">
            <v/>
          </cell>
          <cell r="M46" t="str">
            <v>N/A</v>
          </cell>
          <cell r="N46" t="str">
            <v>N/A</v>
          </cell>
          <cell r="O46" t="str">
            <v/>
          </cell>
          <cell r="P46" t="str">
            <v/>
          </cell>
          <cell r="Q46" t="str">
            <v/>
          </cell>
          <cell r="R46"/>
          <cell r="S46" t="str">
            <v/>
          </cell>
          <cell r="T46" t="str">
            <v/>
          </cell>
          <cell r="U46" t="str">
            <v/>
          </cell>
          <cell r="V46" t="str">
            <v/>
          </cell>
          <cell r="W46" t="str">
            <v/>
          </cell>
          <cell r="X46" t="str">
            <v/>
          </cell>
          <cell r="Y46" t="str">
            <v/>
          </cell>
          <cell r="Z46">
            <v>0</v>
          </cell>
        </row>
        <row r="47">
          <cell r="B47" t="str">
            <v>Eritrea</v>
          </cell>
          <cell r="C47" t="str">
            <v>Eritrea</v>
          </cell>
          <cell r="D47" t="str">
            <v>ERI</v>
          </cell>
          <cell r="E47" t="str">
            <v>RBA</v>
          </cell>
          <cell r="F47"/>
          <cell r="G47"/>
          <cell r="H47">
            <v>3</v>
          </cell>
          <cell r="I47" t="str">
            <v>a.Tranche 1 &amp; 2</v>
          </cell>
          <cell r="J47" t="str">
            <v>a.STAR</v>
          </cell>
          <cell r="K47" t="str">
            <v>UNDP</v>
          </cell>
          <cell r="L47" t="str">
            <v>Yes</v>
          </cell>
          <cell r="M47" t="str">
            <v>n.End of June 2026</v>
          </cell>
          <cell r="N47" t="str">
            <v>UNOPS Action</v>
          </cell>
          <cell r="O47">
            <v>3235.2233571252768</v>
          </cell>
          <cell r="P47">
            <v>214.22424932316028</v>
          </cell>
          <cell r="Q47">
            <v>685.51759783411285</v>
          </cell>
          <cell r="R47"/>
          <cell r="S47">
            <v>629.55697760275666</v>
          </cell>
          <cell r="T47">
            <v>856.89699729264112</v>
          </cell>
          <cell r="U47">
            <v>17666.068299286242</v>
          </cell>
          <cell r="V47">
            <v>771.20729756337687</v>
          </cell>
          <cell r="W47">
            <v>1156.8109463450655</v>
          </cell>
          <cell r="X47">
            <v>599.82789810484883</v>
          </cell>
          <cell r="Y47">
            <v>2605.6663795225204</v>
          </cell>
          <cell r="Z47">
            <v>28421.000000000004</v>
          </cell>
        </row>
        <row r="48">
          <cell r="B48" t="str">
            <v>E-swatini</v>
          </cell>
          <cell r="C48" t="str">
            <v>Eswatini</v>
          </cell>
          <cell r="D48" t="str">
            <v>SWZ</v>
          </cell>
          <cell r="E48" t="str">
            <v>RBA</v>
          </cell>
          <cell r="F48"/>
          <cell r="G48"/>
          <cell r="H48">
            <v>3</v>
          </cell>
          <cell r="I48" t="str">
            <v>c.Tranche 2 Only</v>
          </cell>
          <cell r="J48" t="str">
            <v>b.No STAR</v>
          </cell>
          <cell r="K48" t="str">
            <v>UNDP</v>
          </cell>
          <cell r="L48" t="str">
            <v/>
          </cell>
          <cell r="M48" t="str">
            <v>UNDP OP8 COB - UNDP CO</v>
          </cell>
          <cell r="N48" t="str">
            <v>UNDP Action</v>
          </cell>
          <cell r="O48">
            <v>1692</v>
          </cell>
          <cell r="P48">
            <v>12</v>
          </cell>
          <cell r="Q48">
            <v>38.4</v>
          </cell>
          <cell r="R48"/>
          <cell r="S48">
            <v>0</v>
          </cell>
          <cell r="T48">
            <v>48</v>
          </cell>
          <cell r="U48">
            <v>3756</v>
          </cell>
          <cell r="V48">
            <v>43.199999999999996</v>
          </cell>
          <cell r="W48">
            <v>64.800000000000011</v>
          </cell>
          <cell r="X48">
            <v>33.6</v>
          </cell>
          <cell r="Y48">
            <v>1950</v>
          </cell>
          <cell r="Z48">
            <v>7638</v>
          </cell>
        </row>
        <row r="49">
          <cell r="B49" t="str">
            <v>Ethiopia</v>
          </cell>
          <cell r="C49" t="str">
            <v>Ethiopia</v>
          </cell>
          <cell r="D49" t="str">
            <v>ETH</v>
          </cell>
          <cell r="E49" t="str">
            <v>RBA</v>
          </cell>
          <cell r="F49"/>
          <cell r="G49"/>
          <cell r="H49">
            <v>2</v>
          </cell>
          <cell r="I49" t="str">
            <v>a.Tranche 1 &amp; 2</v>
          </cell>
          <cell r="J49" t="str">
            <v>a.STAR</v>
          </cell>
          <cell r="K49" t="str">
            <v>Private Lease</v>
          </cell>
          <cell r="L49" t="str">
            <v/>
          </cell>
          <cell r="M49" t="str">
            <v>k.End of Mar 2026</v>
          </cell>
          <cell r="N49" t="str">
            <v>UNOPS Action</v>
          </cell>
          <cell r="O49">
            <v>10219.5</v>
          </cell>
          <cell r="P49">
            <v>391.875</v>
          </cell>
          <cell r="Q49">
            <v>1254</v>
          </cell>
          <cell r="R49"/>
          <cell r="S49">
            <v>738.00000000000011</v>
          </cell>
          <cell r="T49">
            <v>1567.5</v>
          </cell>
          <cell r="U49">
            <v>8386.5</v>
          </cell>
          <cell r="V49">
            <v>1410.75</v>
          </cell>
          <cell r="W49">
            <v>2116.125</v>
          </cell>
          <cell r="X49">
            <v>1097.25</v>
          </cell>
          <cell r="Y49">
            <v>6450</v>
          </cell>
          <cell r="Z49">
            <v>33631.5</v>
          </cell>
        </row>
        <row r="50">
          <cell r="B50" t="str">
            <v>Federated States of Micronesia</v>
          </cell>
          <cell r="C50" t="str">
            <v>Federated States of Micronesia</v>
          </cell>
          <cell r="D50" t="str">
            <v>FSM</v>
          </cell>
          <cell r="E50" t="str">
            <v>RBAP</v>
          </cell>
          <cell r="F50" t="str">
            <v>SRO</v>
          </cell>
          <cell r="G50"/>
          <cell r="H50">
            <v>3</v>
          </cell>
          <cell r="I50" t="str">
            <v>a.Tranche 1 &amp; 2</v>
          </cell>
          <cell r="J50" t="str">
            <v>a.STAR</v>
          </cell>
          <cell r="K50" t="str">
            <v>Vacant</v>
          </cell>
          <cell r="L50" t="str">
            <v/>
          </cell>
          <cell r="M50" t="str">
            <v>UNDP OP8 COB - Vacant</v>
          </cell>
          <cell r="N50" t="str">
            <v>UNDP Action</v>
          </cell>
          <cell r="O50">
            <v>6240</v>
          </cell>
          <cell r="P50">
            <v>310.95</v>
          </cell>
          <cell r="Q50">
            <v>995.03999999999985</v>
          </cell>
          <cell r="R50"/>
          <cell r="S50">
            <v>359.99999999999994</v>
          </cell>
          <cell r="T50">
            <v>1243.8</v>
          </cell>
          <cell r="U50">
            <v>6038.3999999999987</v>
          </cell>
          <cell r="V50">
            <v>1119.4199999999998</v>
          </cell>
          <cell r="W50">
            <v>1679.1299999999999</v>
          </cell>
          <cell r="X50">
            <v>870.66</v>
          </cell>
          <cell r="Y50">
            <v>959.99999999999989</v>
          </cell>
          <cell r="Z50">
            <v>19817.399999999998</v>
          </cell>
        </row>
        <row r="51">
          <cell r="B51" t="str">
            <v>Fiji</v>
          </cell>
          <cell r="C51" t="str">
            <v>Fiji</v>
          </cell>
          <cell r="D51" t="str">
            <v>FJI</v>
          </cell>
          <cell r="E51" t="str">
            <v>RBAP</v>
          </cell>
          <cell r="F51" t="str">
            <v>MCO</v>
          </cell>
          <cell r="G51"/>
          <cell r="H51">
            <v>1</v>
          </cell>
          <cell r="I51" t="str">
            <v>a.Tranche 1 &amp; 2</v>
          </cell>
          <cell r="J51" t="str">
            <v>a.STAR</v>
          </cell>
          <cell r="K51" t="str">
            <v>UNDP</v>
          </cell>
          <cell r="L51" t="str">
            <v>Yes</v>
          </cell>
          <cell r="M51" t="str">
            <v>n.End of June 2026</v>
          </cell>
          <cell r="N51" t="str">
            <v>UNOPS Action</v>
          </cell>
          <cell r="O51">
            <v>4875</v>
          </cell>
          <cell r="P51">
            <v>183.75</v>
          </cell>
          <cell r="Q51">
            <v>588</v>
          </cell>
          <cell r="R51"/>
          <cell r="S51">
            <v>750</v>
          </cell>
          <cell r="T51">
            <v>735</v>
          </cell>
          <cell r="U51">
            <v>13284</v>
          </cell>
          <cell r="V51">
            <v>661.5</v>
          </cell>
          <cell r="W51">
            <v>992.25000000000011</v>
          </cell>
          <cell r="X51">
            <v>514.5</v>
          </cell>
          <cell r="Y51">
            <v>5287.5</v>
          </cell>
          <cell r="Z51">
            <v>27871.5</v>
          </cell>
        </row>
        <row r="52">
          <cell r="B52" t="str">
            <v>Gabon</v>
          </cell>
          <cell r="C52" t="str">
            <v>Gabon</v>
          </cell>
          <cell r="D52" t="str">
            <v>GAB</v>
          </cell>
          <cell r="E52" t="str">
            <v>RBA</v>
          </cell>
          <cell r="F52"/>
          <cell r="G52"/>
          <cell r="H52">
            <v>3</v>
          </cell>
          <cell r="I52" t="str">
            <v>a.Tranche 1 &amp; 2</v>
          </cell>
          <cell r="J52" t="str">
            <v>a.STAR</v>
          </cell>
          <cell r="K52" t="str">
            <v>UNDP</v>
          </cell>
          <cell r="L52" t="str">
            <v>Yes</v>
          </cell>
          <cell r="M52" t="str">
            <v>k.End of Mar 2026</v>
          </cell>
          <cell r="N52" t="str">
            <v>UNOPS Action</v>
          </cell>
          <cell r="O52">
            <v>5850</v>
          </cell>
          <cell r="P52">
            <v>393.75</v>
          </cell>
          <cell r="Q52">
            <v>1259.9999999999998</v>
          </cell>
          <cell r="R52"/>
          <cell r="S52">
            <v>0</v>
          </cell>
          <cell r="T52">
            <v>1575</v>
          </cell>
          <cell r="U52">
            <v>5025</v>
          </cell>
          <cell r="V52">
            <v>1417.4999999999998</v>
          </cell>
          <cell r="W52">
            <v>2126.25</v>
          </cell>
          <cell r="X52">
            <v>1102.5</v>
          </cell>
          <cell r="Y52">
            <v>3750</v>
          </cell>
          <cell r="Z52">
            <v>22500</v>
          </cell>
        </row>
        <row r="53">
          <cell r="B53" t="str">
            <v>Gambia</v>
          </cell>
          <cell r="C53" t="str">
            <v>Gambia</v>
          </cell>
          <cell r="D53" t="str">
            <v>GMB</v>
          </cell>
          <cell r="E53" t="str">
            <v>RBA</v>
          </cell>
          <cell r="F53"/>
          <cell r="G53"/>
          <cell r="H53">
            <v>2</v>
          </cell>
          <cell r="I53" t="str">
            <v>a.Tranche 1 &amp; 2</v>
          </cell>
          <cell r="J53" t="str">
            <v>a.STAR</v>
          </cell>
          <cell r="K53" t="str">
            <v>Private Lease</v>
          </cell>
          <cell r="L53" t="str">
            <v>Yes</v>
          </cell>
          <cell r="M53" t="str">
            <v>n.End of June 2026</v>
          </cell>
          <cell r="N53" t="str">
            <v>UNOPS Action</v>
          </cell>
          <cell r="O53">
            <v>2526</v>
          </cell>
          <cell r="P53">
            <v>281.25</v>
          </cell>
          <cell r="Q53">
            <v>900</v>
          </cell>
          <cell r="R53"/>
          <cell r="S53">
            <v>360</v>
          </cell>
          <cell r="T53">
            <v>1125</v>
          </cell>
          <cell r="U53">
            <v>2490</v>
          </cell>
          <cell r="V53">
            <v>1012.5</v>
          </cell>
          <cell r="W53">
            <v>1518.75</v>
          </cell>
          <cell r="X53">
            <v>787.50000000000011</v>
          </cell>
          <cell r="Y53">
            <v>930</v>
          </cell>
          <cell r="Z53">
            <v>11931</v>
          </cell>
        </row>
        <row r="54">
          <cell r="B54" t="str">
            <v>Georgia</v>
          </cell>
          <cell r="C54" t="str">
            <v>Georgia</v>
          </cell>
          <cell r="D54" t="str">
            <v>GEO</v>
          </cell>
          <cell r="E54" t="str">
            <v>RBEC</v>
          </cell>
          <cell r="F54"/>
          <cell r="G54"/>
          <cell r="H54">
            <v>3</v>
          </cell>
          <cell r="I54" t="str">
            <v>a.Tranche 1 &amp; 2</v>
          </cell>
          <cell r="J54" t="str">
            <v>a.STAR</v>
          </cell>
          <cell r="K54" t="str">
            <v>UNDP</v>
          </cell>
          <cell r="L54" t="str">
            <v/>
          </cell>
          <cell r="M54" t="str">
            <v>UNDP OP8 COB - UNDP CO</v>
          </cell>
          <cell r="N54" t="str">
            <v>UNDP Action</v>
          </cell>
          <cell r="O54">
            <v>2100</v>
          </cell>
          <cell r="P54">
            <v>138</v>
          </cell>
          <cell r="Q54">
            <v>441.6</v>
          </cell>
          <cell r="R54"/>
          <cell r="S54">
            <v>120</v>
          </cell>
          <cell r="T54">
            <v>552</v>
          </cell>
          <cell r="U54">
            <v>4800</v>
          </cell>
          <cell r="V54">
            <v>496.79999999999995</v>
          </cell>
          <cell r="W54">
            <v>745.2</v>
          </cell>
          <cell r="X54">
            <v>386.40000000000003</v>
          </cell>
          <cell r="Y54">
            <v>3000</v>
          </cell>
          <cell r="Z54">
            <v>12780</v>
          </cell>
        </row>
        <row r="55">
          <cell r="B55" t="str">
            <v>Ghana</v>
          </cell>
          <cell r="C55" t="str">
            <v>Ghana</v>
          </cell>
          <cell r="D55" t="str">
            <v>GHA</v>
          </cell>
          <cell r="E55" t="str">
            <v>RBA</v>
          </cell>
          <cell r="F55"/>
          <cell r="G55"/>
          <cell r="H55">
            <v>3</v>
          </cell>
          <cell r="I55" t="str">
            <v>a.Tranche 1 &amp; 2</v>
          </cell>
          <cell r="J55" t="str">
            <v>b.No STAR</v>
          </cell>
          <cell r="K55" t="str">
            <v>UNDP</v>
          </cell>
          <cell r="L55" t="str">
            <v/>
          </cell>
          <cell r="M55" t="str">
            <v>UNDP OP8 COB - UNDP CO</v>
          </cell>
          <cell r="N55" t="str">
            <v>UNDP Action</v>
          </cell>
          <cell r="O55">
            <v>9300</v>
          </cell>
          <cell r="P55">
            <v>2500</v>
          </cell>
          <cell r="Q55">
            <v>628.80000000000007</v>
          </cell>
          <cell r="R55"/>
          <cell r="S55">
            <v>300</v>
          </cell>
          <cell r="T55">
            <v>786.00000000000011</v>
          </cell>
          <cell r="U55">
            <v>9500</v>
          </cell>
          <cell r="V55">
            <v>1500</v>
          </cell>
          <cell r="W55">
            <v>1061.1000000000001</v>
          </cell>
          <cell r="X55">
            <v>550.20000000000016</v>
          </cell>
          <cell r="Y55">
            <v>1560</v>
          </cell>
          <cell r="Z55">
            <v>27686.1</v>
          </cell>
        </row>
        <row r="56">
          <cell r="B56" t="str">
            <v>Grenada</v>
          </cell>
          <cell r="C56" t="str">
            <v>Grenada</v>
          </cell>
          <cell r="D56" t="str">
            <v>GRD</v>
          </cell>
          <cell r="E56" t="str">
            <v>RBLAC</v>
          </cell>
          <cell r="F56" t="str">
            <v>SRO</v>
          </cell>
          <cell r="G56"/>
          <cell r="H56">
            <v>2</v>
          </cell>
          <cell r="I56" t="str">
            <v>a.Tranche 1 &amp; 2</v>
          </cell>
          <cell r="J56" t="str">
            <v>a.STAR</v>
          </cell>
          <cell r="K56" t="str">
            <v>Private Lease</v>
          </cell>
          <cell r="L56" t="str">
            <v/>
          </cell>
          <cell r="M56" t="str">
            <v>k.End of Mar 2026</v>
          </cell>
          <cell r="N56" t="str">
            <v>UNOPS Action</v>
          </cell>
          <cell r="O56">
            <v>385.15707597039722</v>
          </cell>
          <cell r="P56">
            <v>221.50383439057543</v>
          </cell>
          <cell r="Q56">
            <v>708.81227004984135</v>
          </cell>
          <cell r="R56"/>
          <cell r="S56">
            <v>0</v>
          </cell>
          <cell r="T56">
            <v>886.01533756230174</v>
          </cell>
          <cell r="U56">
            <v>11092.523787947439</v>
          </cell>
          <cell r="V56">
            <v>797.41380380607143</v>
          </cell>
          <cell r="W56">
            <v>1196.1207057091074</v>
          </cell>
          <cell r="X56">
            <v>620.21073629361126</v>
          </cell>
          <cell r="Y56">
            <v>4493.2424482706538</v>
          </cell>
          <cell r="Z56">
            <v>20401</v>
          </cell>
        </row>
        <row r="57">
          <cell r="B57" t="str">
            <v>Guatemala</v>
          </cell>
          <cell r="C57" t="str">
            <v>Guatemala</v>
          </cell>
          <cell r="D57" t="str">
            <v>GTM</v>
          </cell>
          <cell r="E57" t="str">
            <v>RBLAC</v>
          </cell>
          <cell r="F57"/>
          <cell r="G57"/>
          <cell r="H57">
            <v>3</v>
          </cell>
          <cell r="I57" t="str">
            <v>a.Tranche 1 &amp; 2</v>
          </cell>
          <cell r="J57" t="str">
            <v>b.No STAR</v>
          </cell>
          <cell r="K57" t="str">
            <v>UNDP</v>
          </cell>
          <cell r="L57" t="str">
            <v/>
          </cell>
          <cell r="M57" t="str">
            <v>UNDP OP8 COB - UNDP CO</v>
          </cell>
          <cell r="N57" t="str">
            <v>UNDP Action</v>
          </cell>
          <cell r="O57">
            <v>3300</v>
          </cell>
          <cell r="P57">
            <v>945</v>
          </cell>
          <cell r="Q57">
            <v>3024</v>
          </cell>
          <cell r="R57"/>
          <cell r="S57">
            <v>0</v>
          </cell>
          <cell r="T57">
            <v>3780</v>
          </cell>
          <cell r="U57">
            <v>12300</v>
          </cell>
          <cell r="V57">
            <v>3402</v>
          </cell>
          <cell r="W57">
            <v>5103</v>
          </cell>
          <cell r="X57">
            <v>2646.0000000000005</v>
          </cell>
          <cell r="Y57">
            <v>900.00000000000011</v>
          </cell>
          <cell r="Z57">
            <v>35400</v>
          </cell>
        </row>
        <row r="58">
          <cell r="B58" t="str">
            <v>Guinea</v>
          </cell>
          <cell r="C58" t="str">
            <v>Guinea</v>
          </cell>
          <cell r="D58" t="str">
            <v>GIN</v>
          </cell>
          <cell r="E58" t="str">
            <v>RBA</v>
          </cell>
          <cell r="F58"/>
          <cell r="G58"/>
          <cell r="H58">
            <v>3</v>
          </cell>
          <cell r="I58" t="str">
            <v>a.Tranche 1 &amp; 2</v>
          </cell>
          <cell r="J58" t="str">
            <v>a.STAR</v>
          </cell>
          <cell r="K58" t="str">
            <v>Private Lease</v>
          </cell>
          <cell r="L58" t="str">
            <v/>
          </cell>
          <cell r="M58" t="str">
            <v>k.End of Mar 2026</v>
          </cell>
          <cell r="N58" t="str">
            <v>UNOPS Action</v>
          </cell>
          <cell r="O58">
            <v>2625</v>
          </cell>
          <cell r="P58">
            <v>162.375</v>
          </cell>
          <cell r="Q58">
            <v>519.6</v>
          </cell>
          <cell r="R58"/>
          <cell r="S58">
            <v>577.5</v>
          </cell>
          <cell r="T58">
            <v>649.5</v>
          </cell>
          <cell r="U58">
            <v>20625</v>
          </cell>
          <cell r="V58">
            <v>584.54999999999995</v>
          </cell>
          <cell r="W58">
            <v>876.82500000000005</v>
          </cell>
          <cell r="X58">
            <v>454.65000000000003</v>
          </cell>
          <cell r="Y58">
            <v>300</v>
          </cell>
          <cell r="Z58">
            <v>27375</v>
          </cell>
        </row>
        <row r="59">
          <cell r="B59" t="str">
            <v>Guinea-Bissau</v>
          </cell>
          <cell r="C59" t="str">
            <v>Guinea Bissau</v>
          </cell>
          <cell r="D59" t="str">
            <v>GNB</v>
          </cell>
          <cell r="E59" t="str">
            <v>RBA</v>
          </cell>
          <cell r="F59"/>
          <cell r="G59"/>
          <cell r="H59">
            <v>2</v>
          </cell>
          <cell r="I59" t="str">
            <v>a.Tranche 1 &amp; 2</v>
          </cell>
          <cell r="J59" t="str">
            <v>a.STAR</v>
          </cell>
          <cell r="K59" t="str">
            <v>UNDP</v>
          </cell>
          <cell r="L59" t="str">
            <v/>
          </cell>
          <cell r="M59" t="str">
            <v>UNDP OP8 COB - UNDP CO</v>
          </cell>
          <cell r="N59" t="str">
            <v>UNDP Action</v>
          </cell>
          <cell r="O59">
            <v>0</v>
          </cell>
          <cell r="P59">
            <v>250</v>
          </cell>
          <cell r="Q59">
            <v>800</v>
          </cell>
          <cell r="R59"/>
          <cell r="S59">
            <v>0</v>
          </cell>
          <cell r="T59">
            <v>1000</v>
          </cell>
          <cell r="U59">
            <v>15125</v>
          </cell>
          <cell r="V59">
            <v>900</v>
          </cell>
          <cell r="W59">
            <v>1350</v>
          </cell>
          <cell r="X59">
            <v>700.00000000000011</v>
          </cell>
          <cell r="Y59">
            <v>0</v>
          </cell>
          <cell r="Z59">
            <v>20125</v>
          </cell>
        </row>
        <row r="60">
          <cell r="B60" t="str">
            <v>Guyana</v>
          </cell>
          <cell r="C60" t="str">
            <v>Guyana</v>
          </cell>
          <cell r="D60" t="str">
            <v>GUY</v>
          </cell>
          <cell r="E60" t="str">
            <v>RBLAC</v>
          </cell>
          <cell r="F60"/>
          <cell r="G60"/>
          <cell r="H60">
            <v>5</v>
          </cell>
          <cell r="I60" t="str">
            <v>d.Not UNDP</v>
          </cell>
          <cell r="J60" t="str">
            <v/>
          </cell>
          <cell r="K60" t="str">
            <v>UNDP</v>
          </cell>
          <cell r="L60" t="str">
            <v>Yes</v>
          </cell>
          <cell r="M60" t="str">
            <v>t.End of Dec 2026</v>
          </cell>
          <cell r="N60" t="str">
            <v>UNOPS Action</v>
          </cell>
          <cell r="O60">
            <v>15050.872615609876</v>
          </cell>
          <cell r="P60">
            <v>24.661264082645303</v>
          </cell>
          <cell r="Q60">
            <v>78.916045064464967</v>
          </cell>
          <cell r="R60"/>
          <cell r="S60">
            <v>0</v>
          </cell>
          <cell r="T60">
            <v>98.645056330581212</v>
          </cell>
          <cell r="U60">
            <v>5762.1090413633219</v>
          </cell>
          <cell r="V60">
            <v>88.780550697523083</v>
          </cell>
          <cell r="W60">
            <v>133.17082604628462</v>
          </cell>
          <cell r="X60">
            <v>69.051539431406852</v>
          </cell>
          <cell r="Y60">
            <v>1748.7930613738968</v>
          </cell>
          <cell r="Z60">
            <v>23055</v>
          </cell>
        </row>
        <row r="61">
          <cell r="B61" t="str">
            <v>Haiti</v>
          </cell>
          <cell r="C61" t="str">
            <v>Haiti</v>
          </cell>
          <cell r="D61" t="str">
            <v>HTI</v>
          </cell>
          <cell r="E61" t="str">
            <v>RBLAC</v>
          </cell>
          <cell r="F61"/>
          <cell r="G61"/>
          <cell r="H61">
            <v>2</v>
          </cell>
          <cell r="I61" t="str">
            <v>a.Tranche 1 &amp; 2</v>
          </cell>
          <cell r="J61" t="str">
            <v>a.STAR</v>
          </cell>
          <cell r="K61" t="str">
            <v>UNDP</v>
          </cell>
          <cell r="L61" t="str">
            <v/>
          </cell>
          <cell r="M61" t="str">
            <v>UNDP OP8 COB - UNDP CO</v>
          </cell>
          <cell r="N61" t="str">
            <v>UNDP Action</v>
          </cell>
          <cell r="O61">
            <v>3600</v>
          </cell>
          <cell r="P61">
            <v>60</v>
          </cell>
          <cell r="Q61">
            <v>192</v>
          </cell>
          <cell r="R61"/>
          <cell r="S61">
            <v>480</v>
          </cell>
          <cell r="T61">
            <v>240</v>
          </cell>
          <cell r="U61">
            <v>11220</v>
          </cell>
          <cell r="V61">
            <v>216</v>
          </cell>
          <cell r="W61">
            <v>324</v>
          </cell>
          <cell r="X61">
            <v>168.00000000000003</v>
          </cell>
          <cell r="Y61">
            <v>600</v>
          </cell>
          <cell r="Z61">
            <v>17100</v>
          </cell>
        </row>
        <row r="62">
          <cell r="B62" t="str">
            <v>Honduras</v>
          </cell>
          <cell r="C62" t="str">
            <v>Honduras</v>
          </cell>
          <cell r="D62" t="str">
            <v>HND</v>
          </cell>
          <cell r="E62" t="str">
            <v>RBLAC</v>
          </cell>
          <cell r="F62"/>
          <cell r="G62"/>
          <cell r="H62">
            <v>1</v>
          </cell>
          <cell r="I62" t="str">
            <v>a.Tranche 1 &amp; 2</v>
          </cell>
          <cell r="J62" t="str">
            <v>a.STAR</v>
          </cell>
          <cell r="K62" t="str">
            <v>UNDP</v>
          </cell>
          <cell r="L62" t="str">
            <v/>
          </cell>
          <cell r="M62" t="str">
            <v>UNDP OP8 COB - UNDP CO</v>
          </cell>
          <cell r="N62" t="str">
            <v>UNDP Action</v>
          </cell>
          <cell r="O62">
            <v>11289.777777777777</v>
          </cell>
          <cell r="P62">
            <v>177.81399999999999</v>
          </cell>
          <cell r="Q62">
            <v>569.00479999999993</v>
          </cell>
          <cell r="R62"/>
          <cell r="S62">
            <v>188.16296296296298</v>
          </cell>
          <cell r="T62">
            <v>711.25599999999997</v>
          </cell>
          <cell r="U62">
            <v>5663.7051851851857</v>
          </cell>
          <cell r="V62">
            <v>640.1303999999999</v>
          </cell>
          <cell r="W62">
            <v>960.19560000000001</v>
          </cell>
          <cell r="X62">
            <v>497.87920000000003</v>
          </cell>
          <cell r="Y62">
            <v>4704.0740740740739</v>
          </cell>
          <cell r="Z62">
            <v>25401.999999999996</v>
          </cell>
        </row>
        <row r="63">
          <cell r="B63" t="str">
            <v>India</v>
          </cell>
          <cell r="C63" t="str">
            <v>India</v>
          </cell>
          <cell r="D63" t="str">
            <v>IND</v>
          </cell>
          <cell r="E63" t="str">
            <v>RBAP</v>
          </cell>
          <cell r="F63"/>
          <cell r="G63" t="str">
            <v>NHI</v>
          </cell>
          <cell r="H63">
            <v>4</v>
          </cell>
          <cell r="I63" t="str">
            <v>a.Tranche 1 &amp; 2</v>
          </cell>
          <cell r="J63" t="str">
            <v>a.STAR</v>
          </cell>
          <cell r="K63" t="str">
            <v>NHI</v>
          </cell>
          <cell r="L63" t="str">
            <v/>
          </cell>
          <cell r="M63" t="str">
            <v>UNDP OP8 COB - RPA</v>
          </cell>
          <cell r="N63" t="str">
            <v>UNDP Action</v>
          </cell>
          <cell r="O63"/>
          <cell r="P63"/>
          <cell r="Q63"/>
          <cell r="R63"/>
          <cell r="S63"/>
          <cell r="T63"/>
          <cell r="U63"/>
          <cell r="V63"/>
          <cell r="W63"/>
          <cell r="X63"/>
          <cell r="Y63"/>
          <cell r="Z63" t="str">
            <v>CORE + STAR Budgets</v>
          </cell>
        </row>
        <row r="64">
          <cell r="B64" t="str">
            <v>Indonesia</v>
          </cell>
          <cell r="C64" t="str">
            <v>Indonesia</v>
          </cell>
          <cell r="D64" t="str">
            <v>IDN</v>
          </cell>
          <cell r="E64" t="str">
            <v>RBAP</v>
          </cell>
          <cell r="F64"/>
          <cell r="G64" t="str">
            <v>NHI</v>
          </cell>
          <cell r="H64">
            <v>5</v>
          </cell>
          <cell r="I64" t="str">
            <v>d.Not UNDP</v>
          </cell>
          <cell r="J64" t="str">
            <v/>
          </cell>
          <cell r="K64" t="str">
            <v>N/A</v>
          </cell>
          <cell r="L64" t="str">
            <v/>
          </cell>
          <cell r="M64" t="str">
            <v>N/A</v>
          </cell>
          <cell r="N64" t="str">
            <v>N/A</v>
          </cell>
          <cell r="O64" t="str">
            <v/>
          </cell>
          <cell r="P64" t="str">
            <v/>
          </cell>
          <cell r="Q64" t="str">
            <v/>
          </cell>
          <cell r="R64"/>
          <cell r="S64" t="str">
            <v/>
          </cell>
          <cell r="T64" t="str">
            <v/>
          </cell>
          <cell r="U64" t="str">
            <v/>
          </cell>
          <cell r="V64" t="str">
            <v/>
          </cell>
          <cell r="W64" t="str">
            <v/>
          </cell>
          <cell r="X64" t="str">
            <v/>
          </cell>
          <cell r="Y64" t="str">
            <v/>
          </cell>
          <cell r="Z64">
            <v>0</v>
          </cell>
        </row>
        <row r="65">
          <cell r="B65" t="str">
            <v>Iran</v>
          </cell>
          <cell r="C65" t="str">
            <v>Iran</v>
          </cell>
          <cell r="D65" t="str">
            <v>IRN</v>
          </cell>
          <cell r="E65" t="str">
            <v>RBAP</v>
          </cell>
          <cell r="F65"/>
          <cell r="G65"/>
          <cell r="H65">
            <v>5</v>
          </cell>
          <cell r="I65" t="str">
            <v>d.Not UNDP</v>
          </cell>
          <cell r="J65" t="str">
            <v/>
          </cell>
          <cell r="K65" t="str">
            <v>N/A</v>
          </cell>
          <cell r="L65" t="str">
            <v/>
          </cell>
          <cell r="M65" t="str">
            <v>N/A</v>
          </cell>
          <cell r="N65" t="str">
            <v>N/A</v>
          </cell>
          <cell r="O65">
            <v>8700</v>
          </cell>
          <cell r="P65">
            <v>270</v>
          </cell>
          <cell r="Q65">
            <v>864</v>
          </cell>
          <cell r="R65"/>
          <cell r="S65">
            <v>600</v>
          </cell>
          <cell r="T65">
            <v>1080</v>
          </cell>
          <cell r="U65">
            <v>11100</v>
          </cell>
          <cell r="V65">
            <v>972</v>
          </cell>
          <cell r="W65">
            <v>1458</v>
          </cell>
          <cell r="X65">
            <v>756.00000000000011</v>
          </cell>
          <cell r="Y65">
            <v>3600</v>
          </cell>
          <cell r="Z65">
            <v>29400</v>
          </cell>
        </row>
        <row r="66">
          <cell r="B66" t="str">
            <v>Iraq</v>
          </cell>
          <cell r="C66" t="str">
            <v>Iraq</v>
          </cell>
          <cell r="D66" t="str">
            <v>IRQ</v>
          </cell>
          <cell r="E66" t="str">
            <v>RBAS</v>
          </cell>
          <cell r="F66"/>
          <cell r="G66"/>
          <cell r="H66">
            <v>5</v>
          </cell>
          <cell r="I66" t="str">
            <v>d.Not UNDP</v>
          </cell>
          <cell r="J66" t="str">
            <v/>
          </cell>
          <cell r="K66" t="str">
            <v>N/A</v>
          </cell>
          <cell r="L66" t="str">
            <v/>
          </cell>
          <cell r="M66" t="str">
            <v>N/A</v>
          </cell>
          <cell r="N66" t="str">
            <v>N/A</v>
          </cell>
          <cell r="O66" t="str">
            <v/>
          </cell>
          <cell r="P66" t="str">
            <v/>
          </cell>
          <cell r="Q66" t="str">
            <v/>
          </cell>
          <cell r="R66"/>
          <cell r="S66" t="str">
            <v/>
          </cell>
          <cell r="T66" t="str">
            <v/>
          </cell>
          <cell r="U66" t="str">
            <v/>
          </cell>
          <cell r="V66" t="str">
            <v/>
          </cell>
          <cell r="W66" t="str">
            <v/>
          </cell>
          <cell r="X66" t="str">
            <v/>
          </cell>
          <cell r="Y66" t="str">
            <v/>
          </cell>
          <cell r="Z66">
            <v>0</v>
          </cell>
        </row>
        <row r="67">
          <cell r="B67" t="str">
            <v>Jamaica</v>
          </cell>
          <cell r="C67" t="str">
            <v>Jamaica</v>
          </cell>
          <cell r="D67" t="str">
            <v>JAM</v>
          </cell>
          <cell r="E67" t="str">
            <v>RBLAC</v>
          </cell>
          <cell r="F67" t="str">
            <v>MCO</v>
          </cell>
          <cell r="G67"/>
          <cell r="H67">
            <v>2</v>
          </cell>
          <cell r="I67" t="str">
            <v>b.Tranche 1 Only</v>
          </cell>
          <cell r="J67" t="str">
            <v>a.STAR</v>
          </cell>
          <cell r="K67" t="str">
            <v>UNDP</v>
          </cell>
          <cell r="L67" t="str">
            <v>Yes</v>
          </cell>
          <cell r="M67" t="str">
            <v>n.End of June 2026</v>
          </cell>
          <cell r="N67" t="str">
            <v>UNOPS Action</v>
          </cell>
          <cell r="O67">
            <v>3450</v>
          </cell>
          <cell r="P67">
            <v>248.58750000000001</v>
          </cell>
          <cell r="Q67">
            <v>795.48</v>
          </cell>
          <cell r="R67"/>
          <cell r="S67">
            <v>0</v>
          </cell>
          <cell r="T67">
            <v>994.35</v>
          </cell>
          <cell r="U67">
            <v>4875</v>
          </cell>
          <cell r="V67">
            <v>894.91499999999996</v>
          </cell>
          <cell r="W67">
            <v>1342.3725000000002</v>
          </cell>
          <cell r="X67">
            <v>696.04500000000007</v>
          </cell>
          <cell r="Y67">
            <v>375</v>
          </cell>
          <cell r="Z67">
            <v>13671.75</v>
          </cell>
        </row>
        <row r="68">
          <cell r="B68" t="str">
            <v>Jordan</v>
          </cell>
          <cell r="C68" t="str">
            <v>Jordan</v>
          </cell>
          <cell r="D68" t="str">
            <v>JOR</v>
          </cell>
          <cell r="E68" t="str">
            <v>RBAS</v>
          </cell>
          <cell r="F68"/>
          <cell r="G68" t="str">
            <v>NHI</v>
          </cell>
          <cell r="H68">
            <v>2</v>
          </cell>
          <cell r="I68" t="str">
            <v>a.Tranche 1 &amp; 2</v>
          </cell>
          <cell r="J68" t="str">
            <v>a.STAR</v>
          </cell>
          <cell r="K68" t="str">
            <v>NHI</v>
          </cell>
          <cell r="L68" t="str">
            <v/>
          </cell>
          <cell r="M68" t="str">
            <v>n.End of June 2026</v>
          </cell>
          <cell r="N68" t="str">
            <v>UNOPS Action</v>
          </cell>
          <cell r="O68">
            <v>2000</v>
          </cell>
          <cell r="P68">
            <v>225</v>
          </cell>
          <cell r="Q68">
            <v>720</v>
          </cell>
          <cell r="R68"/>
          <cell r="S68">
            <v>0</v>
          </cell>
          <cell r="T68">
            <v>1900</v>
          </cell>
          <cell r="U68">
            <v>15422</v>
          </cell>
          <cell r="V68">
            <v>810</v>
          </cell>
          <cell r="W68">
            <v>215</v>
          </cell>
          <cell r="X68">
            <v>630.00000000000011</v>
          </cell>
          <cell r="Y68">
            <v>580</v>
          </cell>
          <cell r="Z68">
            <v>22502</v>
          </cell>
        </row>
        <row r="69">
          <cell r="B69" t="str">
            <v>Kazakhstan</v>
          </cell>
          <cell r="C69" t="str">
            <v>Kazakhstan</v>
          </cell>
          <cell r="D69" t="str">
            <v>KAZ</v>
          </cell>
          <cell r="E69" t="str">
            <v>RBEC</v>
          </cell>
          <cell r="F69"/>
          <cell r="G69"/>
          <cell r="H69">
            <v>3</v>
          </cell>
          <cell r="I69" t="str">
            <v>c.Tranche 2 Only</v>
          </cell>
          <cell r="J69" t="str">
            <v>a.STAR</v>
          </cell>
          <cell r="K69" t="str">
            <v>UNDP</v>
          </cell>
          <cell r="L69" t="str">
            <v>Yes</v>
          </cell>
          <cell r="M69" t="str">
            <v>o.End of July 2026</v>
          </cell>
          <cell r="N69" t="str">
            <v>UNOPS Action</v>
          </cell>
          <cell r="O69">
            <v>8604.9880036294471</v>
          </cell>
          <cell r="P69">
            <v>275.52134280621465</v>
          </cell>
          <cell r="Q69">
            <v>881.6682969798868</v>
          </cell>
          <cell r="R69"/>
          <cell r="S69">
            <v>455.77703546194442</v>
          </cell>
          <cell r="T69">
            <v>1102.0853712248586</v>
          </cell>
          <cell r="U69">
            <v>11234.887044752235</v>
          </cell>
          <cell r="V69">
            <v>991.87683410237264</v>
          </cell>
          <cell r="W69">
            <v>1487.8152511535591</v>
          </cell>
          <cell r="X69">
            <v>771.45975985740097</v>
          </cell>
          <cell r="Y69">
            <v>3665.7119680711562</v>
          </cell>
          <cell r="Z69">
            <v>29471.790908039075</v>
          </cell>
        </row>
        <row r="70">
          <cell r="B70" t="str">
            <v>Kenya</v>
          </cell>
          <cell r="C70" t="str">
            <v>Kenya</v>
          </cell>
          <cell r="D70" t="str">
            <v>KEN</v>
          </cell>
          <cell r="E70" t="str">
            <v>RBA</v>
          </cell>
          <cell r="F70"/>
          <cell r="G70"/>
          <cell r="H70">
            <v>5</v>
          </cell>
          <cell r="I70" t="str">
            <v>d.Not UNDP</v>
          </cell>
          <cell r="J70" t="str">
            <v/>
          </cell>
          <cell r="K70" t="str">
            <v>UNDP</v>
          </cell>
          <cell r="L70" t="str">
            <v>Yes</v>
          </cell>
          <cell r="M70" t="str">
            <v>t.End of Dec 2026</v>
          </cell>
          <cell r="N70" t="str">
            <v>UNOPS Action</v>
          </cell>
          <cell r="O70" t="str">
            <v/>
          </cell>
          <cell r="P70" t="str">
            <v/>
          </cell>
          <cell r="Q70" t="str">
            <v/>
          </cell>
          <cell r="R70"/>
          <cell r="S70" t="str">
            <v/>
          </cell>
          <cell r="T70" t="str">
            <v/>
          </cell>
          <cell r="U70" t="str">
            <v/>
          </cell>
          <cell r="V70" t="str">
            <v/>
          </cell>
          <cell r="W70" t="str">
            <v/>
          </cell>
          <cell r="X70" t="str">
            <v/>
          </cell>
          <cell r="Y70" t="str">
            <v/>
          </cell>
          <cell r="Z70">
            <v>0</v>
          </cell>
        </row>
        <row r="71">
          <cell r="B71" t="str">
            <v>Kiribati</v>
          </cell>
          <cell r="C71" t="str">
            <v>Kiribati</v>
          </cell>
          <cell r="D71" t="str">
            <v>KIR</v>
          </cell>
          <cell r="E71" t="str">
            <v>RBAP</v>
          </cell>
          <cell r="F71" t="str">
            <v>SRO</v>
          </cell>
          <cell r="G71"/>
          <cell r="H71">
            <v>3</v>
          </cell>
          <cell r="I71" t="str">
            <v>a.Tranche 1 &amp; 2</v>
          </cell>
          <cell r="J71" t="str">
            <v>b.No STAR</v>
          </cell>
          <cell r="K71" t="str">
            <v>UN Compound</v>
          </cell>
          <cell r="L71" t="str">
            <v>Yes</v>
          </cell>
          <cell r="M71" t="str">
            <v>n.End of June 2026</v>
          </cell>
          <cell r="N71" t="str">
            <v>UNOPS Action</v>
          </cell>
          <cell r="O71">
            <v>10117.552790346908</v>
          </cell>
          <cell r="P71">
            <v>722.02535822021127</v>
          </cell>
          <cell r="Q71">
            <v>2310.4811463046758</v>
          </cell>
          <cell r="R71"/>
          <cell r="S71">
            <v>735.82202111613867</v>
          </cell>
          <cell r="T71">
            <v>2888.1014328808451</v>
          </cell>
          <cell r="U71">
            <v>9135.2303921568637</v>
          </cell>
          <cell r="V71">
            <v>2599.2912895927602</v>
          </cell>
          <cell r="W71">
            <v>3898.9369343891408</v>
          </cell>
          <cell r="X71">
            <v>2021.6710030165916</v>
          </cell>
          <cell r="Y71">
            <v>4598.8876319758674</v>
          </cell>
          <cell r="Z71">
            <v>39028</v>
          </cell>
        </row>
        <row r="72">
          <cell r="B72" t="str">
            <v>Kyrgyzstan</v>
          </cell>
          <cell r="C72" t="str">
            <v>Kyrgyzstan</v>
          </cell>
          <cell r="D72" t="str">
            <v>KGZ</v>
          </cell>
          <cell r="E72" t="str">
            <v>RBEC</v>
          </cell>
          <cell r="F72"/>
          <cell r="G72"/>
          <cell r="H72">
            <v>2</v>
          </cell>
          <cell r="I72" t="str">
            <v>a.Tranche 1 &amp; 2</v>
          </cell>
          <cell r="J72" t="str">
            <v>a.STAR</v>
          </cell>
          <cell r="K72" t="str">
            <v>UNDP</v>
          </cell>
          <cell r="L72" t="str">
            <v>Yes</v>
          </cell>
          <cell r="M72" t="str">
            <v>n.End of June 2026</v>
          </cell>
          <cell r="N72" t="str">
            <v>UNOPS Action</v>
          </cell>
          <cell r="O72">
            <v>3503.9999999999995</v>
          </cell>
          <cell r="P72">
            <v>51</v>
          </cell>
          <cell r="Q72">
            <v>163.20000000000002</v>
          </cell>
          <cell r="R72"/>
          <cell r="S72">
            <v>0</v>
          </cell>
          <cell r="T72">
            <v>204</v>
          </cell>
          <cell r="U72">
            <v>4439.9999999999991</v>
          </cell>
          <cell r="V72">
            <v>183.6</v>
          </cell>
          <cell r="W72">
            <v>275.40000000000003</v>
          </cell>
          <cell r="X72">
            <v>142.80000000000001</v>
          </cell>
          <cell r="Y72">
            <v>4423.2</v>
          </cell>
          <cell r="Z72">
            <v>13387.199999999997</v>
          </cell>
        </row>
        <row r="73">
          <cell r="B73" t="str">
            <v>Lao PDR</v>
          </cell>
          <cell r="C73" t="str">
            <v>Lao PDR</v>
          </cell>
          <cell r="D73" t="str">
            <v>LAO</v>
          </cell>
          <cell r="E73" t="str">
            <v>RBAP</v>
          </cell>
          <cell r="F73"/>
          <cell r="G73"/>
          <cell r="H73">
            <v>3</v>
          </cell>
          <cell r="I73" t="str">
            <v>a.Tranche 1 &amp; 2</v>
          </cell>
          <cell r="J73" t="str">
            <v>a.STAR</v>
          </cell>
          <cell r="K73" t="str">
            <v>UNDP</v>
          </cell>
          <cell r="L73" t="str">
            <v>Yes</v>
          </cell>
          <cell r="M73" t="str">
            <v>k.End of Mar 2026</v>
          </cell>
          <cell r="N73" t="str">
            <v>UNOPS Action</v>
          </cell>
          <cell r="O73">
            <v>9449.2558139534885</v>
          </cell>
          <cell r="P73">
            <v>252.66488372093028</v>
          </cell>
          <cell r="Q73">
            <v>808.52762790697682</v>
          </cell>
          <cell r="R73"/>
          <cell r="S73">
            <v>410.83720930232556</v>
          </cell>
          <cell r="T73">
            <v>1010.6595348837211</v>
          </cell>
          <cell r="U73">
            <v>8627.5813953488378</v>
          </cell>
          <cell r="V73">
            <v>909.59358139534891</v>
          </cell>
          <cell r="W73">
            <v>1364.3903720930234</v>
          </cell>
          <cell r="X73">
            <v>707.46167441860484</v>
          </cell>
          <cell r="Y73">
            <v>2958.0279069767444</v>
          </cell>
          <cell r="Z73">
            <v>26499.000000000004</v>
          </cell>
        </row>
        <row r="74">
          <cell r="B74" t="str">
            <v>Lebanon</v>
          </cell>
          <cell r="C74" t="str">
            <v>Lebanon</v>
          </cell>
          <cell r="D74" t="str">
            <v>LBN</v>
          </cell>
          <cell r="E74" t="str">
            <v>RBAS</v>
          </cell>
          <cell r="F74"/>
          <cell r="G74"/>
          <cell r="H74">
            <v>2</v>
          </cell>
          <cell r="I74" t="str">
            <v>a.Tranche 1 &amp; 2</v>
          </cell>
          <cell r="J74" t="str">
            <v>a.STAR</v>
          </cell>
          <cell r="K74" t="str">
            <v>Private Lease</v>
          </cell>
          <cell r="L74" t="str">
            <v/>
          </cell>
          <cell r="M74" t="str">
            <v>k.End of Mar 2026</v>
          </cell>
          <cell r="N74" t="str">
            <v>UNOPS Action</v>
          </cell>
          <cell r="O74">
            <v>2000</v>
          </cell>
          <cell r="P74">
            <v>0</v>
          </cell>
          <cell r="Q74">
            <v>0</v>
          </cell>
          <cell r="R74"/>
          <cell r="S74">
            <v>0</v>
          </cell>
          <cell r="T74">
            <v>0</v>
          </cell>
          <cell r="U74">
            <v>0</v>
          </cell>
          <cell r="V74">
            <v>0</v>
          </cell>
          <cell r="W74">
            <v>0</v>
          </cell>
          <cell r="X74">
            <v>0</v>
          </cell>
          <cell r="Y74">
            <v>300</v>
          </cell>
          <cell r="Z74">
            <v>2300</v>
          </cell>
        </row>
        <row r="75">
          <cell r="B75" t="str">
            <v>Lesotho</v>
          </cell>
          <cell r="C75" t="str">
            <v>Lesotho</v>
          </cell>
          <cell r="D75" t="str">
            <v>LSO</v>
          </cell>
          <cell r="E75" t="str">
            <v>RBA</v>
          </cell>
          <cell r="F75"/>
          <cell r="G75"/>
          <cell r="H75">
            <v>2</v>
          </cell>
          <cell r="I75" t="str">
            <v>a.Tranche 1 &amp; 2</v>
          </cell>
          <cell r="J75" t="str">
            <v>a.STAR</v>
          </cell>
          <cell r="K75" t="str">
            <v>UNDP</v>
          </cell>
          <cell r="L75" t="str">
            <v>Yes</v>
          </cell>
          <cell r="M75" t="str">
            <v>k.End of Mar 2026</v>
          </cell>
          <cell r="N75" t="str">
            <v>UNOPS Action</v>
          </cell>
          <cell r="O75">
            <v>3877.1999999999994</v>
          </cell>
          <cell r="P75">
            <v>197.39999999999998</v>
          </cell>
          <cell r="Q75">
            <v>631.67999999999995</v>
          </cell>
          <cell r="R75"/>
          <cell r="S75">
            <v>96.59999999999998</v>
          </cell>
          <cell r="T75">
            <v>789.59999999999991</v>
          </cell>
          <cell r="U75">
            <v>3373.7999999999997</v>
          </cell>
          <cell r="V75">
            <v>710.63999999999987</v>
          </cell>
          <cell r="W75">
            <v>1065.96</v>
          </cell>
          <cell r="X75">
            <v>552.72</v>
          </cell>
          <cell r="Y75">
            <v>4164.5999999999995</v>
          </cell>
          <cell r="Z75">
            <v>15460.199999999997</v>
          </cell>
        </row>
        <row r="76">
          <cell r="B76" t="str">
            <v>Liberia</v>
          </cell>
          <cell r="C76" t="str">
            <v>Liberia</v>
          </cell>
          <cell r="D76" t="str">
            <v>LBR</v>
          </cell>
          <cell r="E76" t="str">
            <v>RBA</v>
          </cell>
          <cell r="F76"/>
          <cell r="G76"/>
          <cell r="H76">
            <v>2</v>
          </cell>
          <cell r="I76" t="str">
            <v>a.Tranche 1 &amp; 2</v>
          </cell>
          <cell r="J76" t="str">
            <v>a.STAR</v>
          </cell>
          <cell r="K76" t="str">
            <v>UNDP</v>
          </cell>
          <cell r="L76" t="str">
            <v/>
          </cell>
          <cell r="M76" t="str">
            <v>UNDP OP8 COB - UNDP CO</v>
          </cell>
          <cell r="N76" t="str">
            <v>UNDP Action</v>
          </cell>
          <cell r="O76">
            <v>11626.8</v>
          </cell>
          <cell r="P76">
            <v>142.65</v>
          </cell>
          <cell r="Q76">
            <v>456.48</v>
          </cell>
          <cell r="R76"/>
          <cell r="S76">
            <v>2459.9999999999995</v>
          </cell>
          <cell r="T76">
            <v>570.6</v>
          </cell>
          <cell r="U76">
            <v>4836.5999999999995</v>
          </cell>
          <cell r="V76">
            <v>513.54</v>
          </cell>
          <cell r="W76">
            <v>770.31000000000006</v>
          </cell>
          <cell r="X76">
            <v>399.42</v>
          </cell>
          <cell r="Y76">
            <v>0</v>
          </cell>
          <cell r="Z76">
            <v>21776.399999999998</v>
          </cell>
        </row>
        <row r="77">
          <cell r="B77" t="str">
            <v>Libya</v>
          </cell>
          <cell r="C77" t="str">
            <v>Libya</v>
          </cell>
          <cell r="D77" t="str">
            <v>LBY</v>
          </cell>
          <cell r="E77" t="str">
            <v>RBAS</v>
          </cell>
          <cell r="F77"/>
          <cell r="G77"/>
          <cell r="H77">
            <v>5</v>
          </cell>
          <cell r="I77" t="str">
            <v>d.Not UNDP</v>
          </cell>
          <cell r="J77" t="str">
            <v/>
          </cell>
          <cell r="K77" t="str">
            <v>N/A</v>
          </cell>
          <cell r="L77" t="str">
            <v/>
          </cell>
          <cell r="M77" t="str">
            <v>N/A</v>
          </cell>
          <cell r="N77" t="str">
            <v>N/A</v>
          </cell>
          <cell r="O77" t="str">
            <v/>
          </cell>
          <cell r="P77" t="str">
            <v/>
          </cell>
          <cell r="Q77" t="str">
            <v/>
          </cell>
          <cell r="R77"/>
          <cell r="S77" t="str">
            <v/>
          </cell>
          <cell r="T77" t="str">
            <v/>
          </cell>
          <cell r="U77" t="str">
            <v/>
          </cell>
          <cell r="V77" t="str">
            <v/>
          </cell>
          <cell r="W77" t="str">
            <v/>
          </cell>
          <cell r="X77" t="str">
            <v/>
          </cell>
          <cell r="Y77" t="str">
            <v/>
          </cell>
          <cell r="Z77">
            <v>0</v>
          </cell>
        </row>
        <row r="78">
          <cell r="B78" t="str">
            <v>North Macedonia</v>
          </cell>
          <cell r="C78" t="str">
            <v>Macedonia</v>
          </cell>
          <cell r="D78" t="str">
            <v>MKD</v>
          </cell>
          <cell r="E78" t="str">
            <v>RBEC</v>
          </cell>
          <cell r="F78"/>
          <cell r="G78"/>
          <cell r="H78">
            <v>3</v>
          </cell>
          <cell r="I78" t="str">
            <v>a.Tranche 1 &amp; 2</v>
          </cell>
          <cell r="J78" t="str">
            <v>b.No STAR</v>
          </cell>
          <cell r="K78" t="str">
            <v>Private Lease</v>
          </cell>
          <cell r="L78" t="str">
            <v/>
          </cell>
          <cell r="M78" t="str">
            <v>k.End of Mar 2026</v>
          </cell>
          <cell r="N78" t="str">
            <v>UNOPS Action</v>
          </cell>
          <cell r="O78">
            <v>4275</v>
          </cell>
          <cell r="P78">
            <v>126.75</v>
          </cell>
          <cell r="Q78">
            <v>405.6</v>
          </cell>
          <cell r="R78"/>
          <cell r="S78">
            <v>720</v>
          </cell>
          <cell r="T78">
            <v>507</v>
          </cell>
          <cell r="U78">
            <v>9135</v>
          </cell>
          <cell r="V78">
            <v>456.3</v>
          </cell>
          <cell r="W78">
            <v>684.45</v>
          </cell>
          <cell r="X78">
            <v>354.90000000000003</v>
          </cell>
          <cell r="Y78">
            <v>585</v>
          </cell>
          <cell r="Z78">
            <v>17250</v>
          </cell>
        </row>
        <row r="79">
          <cell r="B79" t="str">
            <v>Madagascar</v>
          </cell>
          <cell r="C79" t="str">
            <v>Madagascar</v>
          </cell>
          <cell r="D79" t="str">
            <v>MDG</v>
          </cell>
          <cell r="E79" t="str">
            <v>RBA</v>
          </cell>
          <cell r="F79"/>
          <cell r="G79"/>
          <cell r="H79">
            <v>1</v>
          </cell>
          <cell r="I79" t="str">
            <v>a.Tranche 1 &amp; 2</v>
          </cell>
          <cell r="J79" t="str">
            <v>a.STAR</v>
          </cell>
          <cell r="K79" t="str">
            <v>UNDP</v>
          </cell>
          <cell r="L79" t="str">
            <v/>
          </cell>
          <cell r="M79" t="str">
            <v>UNDP OP8 COB - UNDP CO</v>
          </cell>
          <cell r="N79" t="str">
            <v>UNDP Action</v>
          </cell>
          <cell r="O79">
            <v>19456.292272727274</v>
          </cell>
          <cell r="P79">
            <v>186.6704431818182</v>
          </cell>
          <cell r="Q79">
            <v>597.34541818181822</v>
          </cell>
          <cell r="R79"/>
          <cell r="S79">
            <v>0</v>
          </cell>
          <cell r="T79">
            <v>746.6817727272728</v>
          </cell>
          <cell r="U79">
            <v>11838.719318181818</v>
          </cell>
          <cell r="V79">
            <v>672.01359545454545</v>
          </cell>
          <cell r="W79">
            <v>1008.0203931818182</v>
          </cell>
          <cell r="X79">
            <v>522.67724090909098</v>
          </cell>
          <cell r="Y79">
            <v>3990.5795454545455</v>
          </cell>
          <cell r="Z79">
            <v>39019</v>
          </cell>
        </row>
        <row r="80">
          <cell r="B80" t="str">
            <v>Malawi</v>
          </cell>
          <cell r="C80" t="str">
            <v>Malawi</v>
          </cell>
          <cell r="D80" t="str">
            <v>MWI</v>
          </cell>
          <cell r="E80" t="str">
            <v>RBA</v>
          </cell>
          <cell r="F80"/>
          <cell r="G80"/>
          <cell r="H80">
            <v>3</v>
          </cell>
          <cell r="I80" t="str">
            <v>c.Tranche 2 Only</v>
          </cell>
          <cell r="J80" t="str">
            <v>b.No STAR</v>
          </cell>
          <cell r="K80" t="str">
            <v>UNDP</v>
          </cell>
          <cell r="L80" t="str">
            <v/>
          </cell>
          <cell r="M80" t="str">
            <v>UNDP OP8 COB - UNDP CO</v>
          </cell>
          <cell r="N80" t="str">
            <v>UNDP Action</v>
          </cell>
          <cell r="O80">
            <v>5376</v>
          </cell>
          <cell r="P80">
            <v>11.625</v>
          </cell>
          <cell r="Q80">
            <v>37.200000000000003</v>
          </cell>
          <cell r="R80"/>
          <cell r="S80">
            <v>300</v>
          </cell>
          <cell r="T80">
            <v>46.5</v>
          </cell>
          <cell r="U80">
            <v>3000</v>
          </cell>
          <cell r="V80">
            <v>41.85</v>
          </cell>
          <cell r="W80">
            <v>62.775000000000006</v>
          </cell>
          <cell r="X80">
            <v>32.550000000000004</v>
          </cell>
          <cell r="Y80">
            <v>6443.25</v>
          </cell>
          <cell r="Z80">
            <v>15351.75</v>
          </cell>
        </row>
        <row r="81">
          <cell r="B81" t="str">
            <v>Malaysia</v>
          </cell>
          <cell r="C81" t="str">
            <v>Malaysia</v>
          </cell>
          <cell r="D81" t="str">
            <v>MYS</v>
          </cell>
          <cell r="E81" t="str">
            <v>RBAP</v>
          </cell>
          <cell r="F81"/>
          <cell r="G81"/>
          <cell r="H81">
            <v>1</v>
          </cell>
          <cell r="I81" t="str">
            <v>c.Tranche 2 Only</v>
          </cell>
          <cell r="J81" t="str">
            <v>a.STAR</v>
          </cell>
          <cell r="K81" t="str">
            <v>UNDP</v>
          </cell>
          <cell r="L81" t="str">
            <v>Yes</v>
          </cell>
          <cell r="M81" t="str">
            <v>l2. 19 Apr 2026</v>
          </cell>
          <cell r="N81" t="str">
            <v>UNOPS Action</v>
          </cell>
          <cell r="O81">
            <v>8604.9880036294471</v>
          </cell>
          <cell r="P81">
            <v>275.52134280621465</v>
          </cell>
          <cell r="Q81">
            <v>881.6682969798868</v>
          </cell>
          <cell r="R81"/>
          <cell r="S81">
            <v>455.77703546194442</v>
          </cell>
          <cell r="T81">
            <v>1102.0853712248586</v>
          </cell>
          <cell r="U81">
            <v>11234.887044752235</v>
          </cell>
          <cell r="V81">
            <v>991.87683410237264</v>
          </cell>
          <cell r="W81">
            <v>1487.8152511535591</v>
          </cell>
          <cell r="X81">
            <v>771.45975985740097</v>
          </cell>
          <cell r="Y81">
            <v>3665.7119680711562</v>
          </cell>
          <cell r="Z81">
            <v>29471.790908039075</v>
          </cell>
        </row>
        <row r="82">
          <cell r="B82" t="str">
            <v>Maldives</v>
          </cell>
          <cell r="C82" t="str">
            <v>Maldives</v>
          </cell>
          <cell r="D82" t="str">
            <v>MDV</v>
          </cell>
          <cell r="E82" t="str">
            <v>RBAP</v>
          </cell>
          <cell r="F82"/>
          <cell r="G82"/>
          <cell r="H82">
            <v>3</v>
          </cell>
          <cell r="I82" t="str">
            <v>a.Tranche 1 &amp; 2</v>
          </cell>
          <cell r="J82" t="str">
            <v>b.No STAR</v>
          </cell>
          <cell r="K82" t="str">
            <v>UNDP</v>
          </cell>
          <cell r="L82" t="str">
            <v>Yes</v>
          </cell>
          <cell r="M82" t="str">
            <v>n.End of June 2026</v>
          </cell>
          <cell r="N82" t="str">
            <v>UNOPS Action</v>
          </cell>
          <cell r="O82">
            <v>10044.497856307653</v>
          </cell>
          <cell r="P82">
            <v>250.79102247628944</v>
          </cell>
          <cell r="Q82">
            <v>802.53127192412626</v>
          </cell>
          <cell r="R82"/>
          <cell r="S82">
            <v>160.71196570092243</v>
          </cell>
          <cell r="T82">
            <v>1003.1640899051578</v>
          </cell>
          <cell r="U82">
            <v>9355.8470832792009</v>
          </cell>
          <cell r="V82">
            <v>902.84768091464196</v>
          </cell>
          <cell r="W82">
            <v>1354.271521371963</v>
          </cell>
          <cell r="X82">
            <v>702.21486293361045</v>
          </cell>
          <cell r="Y82">
            <v>6348.1226451864359</v>
          </cell>
          <cell r="Z82">
            <v>30925</v>
          </cell>
        </row>
        <row r="83">
          <cell r="B83" t="str">
            <v>Mali</v>
          </cell>
          <cell r="C83" t="str">
            <v>Mali</v>
          </cell>
          <cell r="D83" t="str">
            <v>MLI</v>
          </cell>
          <cell r="E83" t="str">
            <v>RBA</v>
          </cell>
          <cell r="F83"/>
          <cell r="G83"/>
          <cell r="H83">
            <v>3</v>
          </cell>
          <cell r="I83" t="str">
            <v>a.Tranche 1 &amp; 2</v>
          </cell>
          <cell r="J83" t="str">
            <v>a.STAR</v>
          </cell>
          <cell r="K83" t="str">
            <v>UNDP</v>
          </cell>
          <cell r="L83" t="str">
            <v/>
          </cell>
          <cell r="M83" t="str">
            <v>UNDP OP8 COB - UNDP CO</v>
          </cell>
          <cell r="N83" t="str">
            <v>UNDP Action</v>
          </cell>
          <cell r="O83">
            <v>7545.3139259294721</v>
          </cell>
          <cell r="P83">
            <v>8.9048131478777162</v>
          </cell>
          <cell r="Q83">
            <v>28.495402073208687</v>
          </cell>
          <cell r="R83"/>
          <cell r="S83">
            <v>0</v>
          </cell>
          <cell r="T83">
            <v>35.619252591510865</v>
          </cell>
          <cell r="U83">
            <v>24318.065643628353</v>
          </cell>
          <cell r="V83">
            <v>32.057327332359776</v>
          </cell>
          <cell r="W83">
            <v>48.085990998539664</v>
          </cell>
          <cell r="X83">
            <v>24.933476814057606</v>
          </cell>
          <cell r="Y83">
            <v>6907.5241674846184</v>
          </cell>
          <cell r="Z83">
            <v>38949</v>
          </cell>
        </row>
        <row r="84">
          <cell r="B84" t="str">
            <v>Marshall Islands</v>
          </cell>
          <cell r="C84" t="str">
            <v>Marshall Islands</v>
          </cell>
          <cell r="D84" t="str">
            <v>MHL</v>
          </cell>
          <cell r="E84" t="str">
            <v>RBAP</v>
          </cell>
          <cell r="F84" t="str">
            <v>SRO</v>
          </cell>
          <cell r="G84"/>
          <cell r="H84">
            <v>5</v>
          </cell>
          <cell r="I84" t="str">
            <v>d.Not UNDP</v>
          </cell>
          <cell r="J84" t="str">
            <v/>
          </cell>
          <cell r="K84" t="str">
            <v>Vacant</v>
          </cell>
          <cell r="L84" t="str">
            <v/>
          </cell>
          <cell r="M84" t="str">
            <v>UNDP OP8 COB - Vacant</v>
          </cell>
          <cell r="N84" t="str">
            <v>UNDP Action</v>
          </cell>
          <cell r="O84">
            <v>8700</v>
          </cell>
          <cell r="P84">
            <v>270</v>
          </cell>
          <cell r="Q84">
            <v>864</v>
          </cell>
          <cell r="R84"/>
          <cell r="S84">
            <v>600</v>
          </cell>
          <cell r="T84">
            <v>1080</v>
          </cell>
          <cell r="U84">
            <v>11100</v>
          </cell>
          <cell r="V84">
            <v>972</v>
          </cell>
          <cell r="W84">
            <v>1458</v>
          </cell>
          <cell r="X84">
            <v>756.00000000000011</v>
          </cell>
          <cell r="Y84">
            <v>3600</v>
          </cell>
          <cell r="Z84">
            <v>29400</v>
          </cell>
        </row>
        <row r="85">
          <cell r="B85" t="str">
            <v>Mauritania</v>
          </cell>
          <cell r="C85" t="str">
            <v>Mauritania</v>
          </cell>
          <cell r="D85" t="str">
            <v>MRT</v>
          </cell>
          <cell r="E85" t="str">
            <v>RBA</v>
          </cell>
          <cell r="F85"/>
          <cell r="G85"/>
          <cell r="H85">
            <v>3</v>
          </cell>
          <cell r="I85" t="str">
            <v>a.Tranche 1 &amp; 2</v>
          </cell>
          <cell r="J85" t="str">
            <v>b.No STAR</v>
          </cell>
          <cell r="K85" t="str">
            <v>UNDP</v>
          </cell>
          <cell r="L85" t="str">
            <v/>
          </cell>
          <cell r="M85" t="str">
            <v>UNDP OP8 COB - UNDP CO</v>
          </cell>
          <cell r="N85" t="str">
            <v>UNDP Action</v>
          </cell>
          <cell r="O85">
            <v>7200</v>
          </cell>
          <cell r="P85">
            <v>168</v>
          </cell>
          <cell r="Q85">
            <v>537.6</v>
          </cell>
          <cell r="R85"/>
          <cell r="S85">
            <v>0</v>
          </cell>
          <cell r="T85">
            <v>672</v>
          </cell>
          <cell r="U85">
            <v>9000</v>
          </cell>
          <cell r="V85">
            <v>604.79999999999995</v>
          </cell>
          <cell r="W85">
            <v>907.2</v>
          </cell>
          <cell r="X85">
            <v>470.40000000000003</v>
          </cell>
          <cell r="Y85">
            <v>1200</v>
          </cell>
          <cell r="Z85">
            <v>20760</v>
          </cell>
        </row>
        <row r="86">
          <cell r="B86" t="str">
            <v>Mauritius</v>
          </cell>
          <cell r="C86" t="str">
            <v>Mauritius</v>
          </cell>
          <cell r="D86" t="str">
            <v>MUS</v>
          </cell>
          <cell r="E86" t="str">
            <v>RBA</v>
          </cell>
          <cell r="F86" t="str">
            <v>MCO</v>
          </cell>
          <cell r="G86"/>
          <cell r="H86">
            <v>3</v>
          </cell>
          <cell r="I86" t="str">
            <v>a.Tranche 1 &amp; 2</v>
          </cell>
          <cell r="J86" t="str">
            <v>b.No STAR</v>
          </cell>
          <cell r="K86" t="str">
            <v>Private Lease</v>
          </cell>
          <cell r="L86" t="str">
            <v>Yes</v>
          </cell>
          <cell r="M86" t="str">
            <v>n.End of June 2026</v>
          </cell>
          <cell r="N86" t="str">
            <v>UNOPS Action</v>
          </cell>
          <cell r="O86">
            <v>11067</v>
          </cell>
          <cell r="P86">
            <v>444</v>
          </cell>
          <cell r="Q86">
            <v>1100</v>
          </cell>
          <cell r="R86"/>
          <cell r="S86">
            <v>0</v>
          </cell>
          <cell r="T86">
            <v>0</v>
          </cell>
          <cell r="U86">
            <v>11402</v>
          </cell>
          <cell r="V86">
            <v>9197</v>
          </cell>
          <cell r="W86">
            <v>2000</v>
          </cell>
          <cell r="X86">
            <v>4264</v>
          </cell>
          <cell r="Y86">
            <v>2220</v>
          </cell>
          <cell r="Z86">
            <v>41694</v>
          </cell>
        </row>
        <row r="87">
          <cell r="B87" t="str">
            <v>Mexico</v>
          </cell>
          <cell r="C87" t="str">
            <v>Mexico</v>
          </cell>
          <cell r="D87" t="str">
            <v>MEX</v>
          </cell>
          <cell r="E87" t="str">
            <v>RBLAC</v>
          </cell>
          <cell r="F87"/>
          <cell r="G87"/>
          <cell r="H87">
            <v>1</v>
          </cell>
          <cell r="I87" t="str">
            <v>c.Tranche 2 Only</v>
          </cell>
          <cell r="J87" t="str">
            <v>a.STAR</v>
          </cell>
          <cell r="K87" t="str">
            <v>Private Lease</v>
          </cell>
          <cell r="L87" t="str">
            <v>Yes</v>
          </cell>
          <cell r="M87" t="str">
            <v>n.End of June 2026</v>
          </cell>
          <cell r="N87" t="str">
            <v>UNOPS Action</v>
          </cell>
          <cell r="O87">
            <v>24380.799343616764</v>
          </cell>
          <cell r="P87">
            <v>780.64380461760811</v>
          </cell>
          <cell r="Q87">
            <v>2498.0601747763462</v>
          </cell>
          <cell r="R87"/>
          <cell r="S87">
            <v>1291.3682671421759</v>
          </cell>
          <cell r="T87">
            <v>3122.5752184704324</v>
          </cell>
          <cell r="U87">
            <v>31832.179960131332</v>
          </cell>
          <cell r="V87">
            <v>2810.3176966233891</v>
          </cell>
          <cell r="W87">
            <v>4215.4765449350843</v>
          </cell>
          <cell r="X87">
            <v>2185.8026529293029</v>
          </cell>
          <cell r="Y87">
            <v>10386.183909534942</v>
          </cell>
          <cell r="Z87">
            <v>83503.407572777374</v>
          </cell>
        </row>
        <row r="88">
          <cell r="B88" t="str">
            <v>Moldova</v>
          </cell>
          <cell r="C88" t="str">
            <v>Moldova</v>
          </cell>
          <cell r="D88" t="str">
            <v>MDA</v>
          </cell>
          <cell r="E88" t="str">
            <v>RBEC</v>
          </cell>
          <cell r="F88"/>
          <cell r="G88"/>
          <cell r="H88">
            <v>2</v>
          </cell>
          <cell r="I88" t="str">
            <v>a.Tranche 1 &amp; 2</v>
          </cell>
          <cell r="J88" t="str">
            <v>a.STAR</v>
          </cell>
          <cell r="K88" t="str">
            <v>Private Lease</v>
          </cell>
          <cell r="L88" t="str">
            <v/>
          </cell>
          <cell r="M88" t="str">
            <v>k.End of Mar 2026</v>
          </cell>
          <cell r="N88" t="str">
            <v>UNOPS Action</v>
          </cell>
          <cell r="O88">
            <v>527.6943546854211</v>
          </cell>
          <cell r="P88">
            <v>50.88481277323703</v>
          </cell>
          <cell r="Q88">
            <v>162.83140087435848</v>
          </cell>
          <cell r="R88"/>
          <cell r="S88">
            <v>113.0773617183045</v>
          </cell>
          <cell r="T88">
            <v>203.53925109294812</v>
          </cell>
          <cell r="U88">
            <v>6122.7622125071275</v>
          </cell>
          <cell r="V88">
            <v>183.18532598365329</v>
          </cell>
          <cell r="W88">
            <v>274.77798897547996</v>
          </cell>
          <cell r="X88">
            <v>142.47747576506367</v>
          </cell>
          <cell r="Y88">
            <v>150.76981562440602</v>
          </cell>
          <cell r="Z88">
            <v>7932</v>
          </cell>
        </row>
        <row r="89">
          <cell r="B89" t="str">
            <v>Mongolia</v>
          </cell>
          <cell r="C89" t="str">
            <v>Mongolia</v>
          </cell>
          <cell r="D89" t="str">
            <v>MNG</v>
          </cell>
          <cell r="E89" t="str">
            <v>RBAP</v>
          </cell>
          <cell r="F89"/>
          <cell r="G89"/>
          <cell r="H89">
            <v>3</v>
          </cell>
          <cell r="I89" t="str">
            <v>a.Tranche 1 &amp; 2</v>
          </cell>
          <cell r="J89" t="str">
            <v>a.STAR</v>
          </cell>
          <cell r="K89" t="str">
            <v>UNDP</v>
          </cell>
          <cell r="L89" t="str">
            <v/>
          </cell>
          <cell r="M89" t="str">
            <v>UNDP OP8 COB - UNDP CO</v>
          </cell>
          <cell r="N89" t="str">
            <v>UNDP Action</v>
          </cell>
          <cell r="O89">
            <v>6300</v>
          </cell>
          <cell r="P89">
            <v>6</v>
          </cell>
          <cell r="Q89">
            <v>19.2</v>
          </cell>
          <cell r="R89"/>
          <cell r="S89">
            <v>0</v>
          </cell>
          <cell r="T89">
            <v>24</v>
          </cell>
          <cell r="U89">
            <v>1500</v>
          </cell>
          <cell r="V89">
            <v>21.599999999999998</v>
          </cell>
          <cell r="W89">
            <v>32.400000000000006</v>
          </cell>
          <cell r="X89">
            <v>16.8</v>
          </cell>
          <cell r="Y89">
            <v>60</v>
          </cell>
          <cell r="Z89">
            <v>7980</v>
          </cell>
        </row>
        <row r="90">
          <cell r="B90" t="str">
            <v>Montenegro</v>
          </cell>
          <cell r="C90" t="str">
            <v>Montenegro</v>
          </cell>
          <cell r="D90" t="str">
            <v>MNE</v>
          </cell>
          <cell r="E90" t="str">
            <v>RBEC</v>
          </cell>
          <cell r="F90"/>
          <cell r="G90"/>
          <cell r="H90">
            <v>3</v>
          </cell>
          <cell r="I90" t="str">
            <v>c.Tranche 2 Only</v>
          </cell>
          <cell r="J90" t="str">
            <v>b.No STAR</v>
          </cell>
          <cell r="K90" t="str">
            <v>Vacant</v>
          </cell>
          <cell r="L90" t="str">
            <v/>
          </cell>
          <cell r="M90" t="str">
            <v>UNDP OP8 COB - Vacant</v>
          </cell>
          <cell r="N90" t="str">
            <v>UNDP Action</v>
          </cell>
          <cell r="O90">
            <v>8604.9880036294471</v>
          </cell>
          <cell r="P90">
            <v>275.52134280621465</v>
          </cell>
          <cell r="Q90">
            <v>881.6682969798868</v>
          </cell>
          <cell r="R90"/>
          <cell r="S90">
            <v>455.77703546194442</v>
          </cell>
          <cell r="T90">
            <v>1102.0853712248586</v>
          </cell>
          <cell r="U90">
            <v>11234.887044752235</v>
          </cell>
          <cell r="V90">
            <v>991.87683410237264</v>
          </cell>
          <cell r="W90">
            <v>1487.8152511535591</v>
          </cell>
          <cell r="X90">
            <v>771.45975985740097</v>
          </cell>
          <cell r="Y90">
            <v>3665.7119680711562</v>
          </cell>
          <cell r="Z90">
            <v>29471.790908039075</v>
          </cell>
        </row>
        <row r="91">
          <cell r="B91" t="str">
            <v>Morocco</v>
          </cell>
          <cell r="C91" t="str">
            <v>Morocco</v>
          </cell>
          <cell r="D91" t="str">
            <v>MAR</v>
          </cell>
          <cell r="E91" t="str">
            <v>RBAS</v>
          </cell>
          <cell r="F91"/>
          <cell r="G91"/>
          <cell r="H91">
            <v>3</v>
          </cell>
          <cell r="I91" t="str">
            <v>a.Tranche 1 &amp; 2</v>
          </cell>
          <cell r="J91" t="str">
            <v>a.STAR</v>
          </cell>
          <cell r="K91" t="str">
            <v>UNICEF</v>
          </cell>
          <cell r="L91" t="str">
            <v>Yes</v>
          </cell>
          <cell r="M91" t="str">
            <v>i.End of Jan 2026</v>
          </cell>
          <cell r="N91" t="str">
            <v>UNOPS Action</v>
          </cell>
          <cell r="O91">
            <v>4200</v>
          </cell>
          <cell r="P91">
            <v>32.512500000000003</v>
          </cell>
          <cell r="Q91">
            <v>104.04</v>
          </cell>
          <cell r="R91"/>
          <cell r="S91">
            <v>225.00000000000003</v>
          </cell>
          <cell r="T91">
            <v>130.05000000000001</v>
          </cell>
          <cell r="U91">
            <v>11652.75</v>
          </cell>
          <cell r="V91">
            <v>117.045</v>
          </cell>
          <cell r="W91">
            <v>175.56750000000002</v>
          </cell>
          <cell r="X91">
            <v>91.035000000000011</v>
          </cell>
          <cell r="Y91">
            <v>150</v>
          </cell>
          <cell r="Z91">
            <v>16878</v>
          </cell>
        </row>
        <row r="92">
          <cell r="B92" t="str">
            <v>Mozambique</v>
          </cell>
          <cell r="C92" t="str">
            <v>Mozambique</v>
          </cell>
          <cell r="D92" t="str">
            <v>MOZ</v>
          </cell>
          <cell r="E92" t="str">
            <v>RBA</v>
          </cell>
          <cell r="F92"/>
          <cell r="G92"/>
          <cell r="H92">
            <v>3</v>
          </cell>
          <cell r="I92" t="str">
            <v>a.Tranche 1 &amp; 2</v>
          </cell>
          <cell r="J92" t="str">
            <v>a.STAR</v>
          </cell>
          <cell r="K92" t="str">
            <v>UNDP</v>
          </cell>
          <cell r="L92" t="str">
            <v/>
          </cell>
          <cell r="M92" t="str">
            <v>UNDP OP8 COB - UNDP CO</v>
          </cell>
          <cell r="N92" t="str">
            <v>UNDP Action</v>
          </cell>
          <cell r="O92">
            <v>8932.1999999999989</v>
          </cell>
          <cell r="P92">
            <v>6.660000000000001</v>
          </cell>
          <cell r="Q92">
            <v>21.312000000000005</v>
          </cell>
          <cell r="R92"/>
          <cell r="S92">
            <v>0</v>
          </cell>
          <cell r="T92">
            <v>26.640000000000004</v>
          </cell>
          <cell r="U92">
            <v>14140.8</v>
          </cell>
          <cell r="V92">
            <v>23.976000000000003</v>
          </cell>
          <cell r="W92">
            <v>35.964000000000006</v>
          </cell>
          <cell r="X92">
            <v>18.648000000000003</v>
          </cell>
          <cell r="Y92">
            <v>793.8</v>
          </cell>
          <cell r="Z92">
            <v>23999.999999999996</v>
          </cell>
        </row>
        <row r="93">
          <cell r="B93" t="str">
            <v>Namibia</v>
          </cell>
          <cell r="C93" t="str">
            <v>Namibia</v>
          </cell>
          <cell r="D93" t="str">
            <v>NAM</v>
          </cell>
          <cell r="E93" t="str">
            <v>RBA</v>
          </cell>
          <cell r="F93"/>
          <cell r="G93" t="str">
            <v>NHI</v>
          </cell>
          <cell r="H93">
            <v>2</v>
          </cell>
          <cell r="I93" t="str">
            <v>a.Tranche 1 &amp; 2</v>
          </cell>
          <cell r="J93" t="str">
            <v>a.STAR</v>
          </cell>
          <cell r="K93" t="str">
            <v>NHI</v>
          </cell>
          <cell r="L93" t="str">
            <v>Yes</v>
          </cell>
          <cell r="M93" t="str">
            <v>k.End of Mar 2026</v>
          </cell>
          <cell r="N93" t="str">
            <v>UNOPS Action</v>
          </cell>
          <cell r="O93">
            <v>10800</v>
          </cell>
          <cell r="P93">
            <v>158.70000000000002</v>
          </cell>
          <cell r="Q93">
            <v>507.84000000000003</v>
          </cell>
          <cell r="R93"/>
          <cell r="S93">
            <v>300</v>
          </cell>
          <cell r="T93">
            <v>634.80000000000007</v>
          </cell>
          <cell r="U93">
            <v>7200</v>
          </cell>
          <cell r="V93">
            <v>571.31999999999994</v>
          </cell>
          <cell r="W93">
            <v>856.98</v>
          </cell>
          <cell r="X93">
            <v>444.36000000000007</v>
          </cell>
          <cell r="Y93">
            <v>480.00000000000006</v>
          </cell>
          <cell r="Z93">
            <v>21954</v>
          </cell>
        </row>
        <row r="94">
          <cell r="B94" t="str">
            <v>Nauru</v>
          </cell>
          <cell r="C94" t="str">
            <v>Nauru</v>
          </cell>
          <cell r="D94" t="str">
            <v>NRU</v>
          </cell>
          <cell r="E94" t="str">
            <v>RBAP</v>
          </cell>
          <cell r="F94" t="str">
            <v>SRO</v>
          </cell>
          <cell r="G94" t="str">
            <v>NHI</v>
          </cell>
          <cell r="H94">
            <v>4</v>
          </cell>
          <cell r="I94" t="str">
            <v>a.Tranche 1 &amp; 2</v>
          </cell>
          <cell r="J94" t="str">
            <v>a.STAR</v>
          </cell>
          <cell r="K94" t="str">
            <v>NHI</v>
          </cell>
          <cell r="L94" t="str">
            <v>Yes</v>
          </cell>
          <cell r="M94" t="str">
            <v>n.End of June 2026</v>
          </cell>
          <cell r="N94" t="str">
            <v>UNOPS Action</v>
          </cell>
          <cell r="O94">
            <v>900</v>
          </cell>
          <cell r="P94">
            <v>345</v>
          </cell>
          <cell r="Q94">
            <v>1104</v>
          </cell>
          <cell r="R94">
            <v>4000</v>
          </cell>
          <cell r="S94">
            <v>0</v>
          </cell>
          <cell r="T94">
            <v>1380</v>
          </cell>
          <cell r="U94">
            <v>21600</v>
          </cell>
          <cell r="V94">
            <v>1242</v>
          </cell>
          <cell r="W94">
            <v>1863.0000000000002</v>
          </cell>
          <cell r="X94">
            <v>966.00000000000011</v>
          </cell>
          <cell r="Y94">
            <v>900</v>
          </cell>
          <cell r="Z94">
            <v>34300</v>
          </cell>
        </row>
        <row r="95">
          <cell r="B95" t="str">
            <v>Nepal</v>
          </cell>
          <cell r="C95" t="str">
            <v>Nepal</v>
          </cell>
          <cell r="D95" t="str">
            <v>NPL</v>
          </cell>
          <cell r="E95" t="str">
            <v>RBAP</v>
          </cell>
          <cell r="F95"/>
          <cell r="G95"/>
          <cell r="H95">
            <v>3</v>
          </cell>
          <cell r="I95" t="str">
            <v>a.Tranche 1 &amp; 2</v>
          </cell>
          <cell r="J95" t="str">
            <v>a.STAR</v>
          </cell>
          <cell r="K95" t="str">
            <v>Private Lease</v>
          </cell>
          <cell r="L95" t="str">
            <v>Yes</v>
          </cell>
          <cell r="M95" t="str">
            <v>n.End of June 2026</v>
          </cell>
          <cell r="N95" t="str">
            <v>UNOPS Action</v>
          </cell>
          <cell r="O95">
            <v>6678.140625</v>
          </cell>
          <cell r="P95">
            <v>316.34772443181822</v>
          </cell>
          <cell r="Q95">
            <v>1012.3127181818182</v>
          </cell>
          <cell r="R95"/>
          <cell r="S95">
            <v>186.80113636363637</v>
          </cell>
          <cell r="T95">
            <v>1265.3908977272729</v>
          </cell>
          <cell r="U95">
            <v>19109.756250000002</v>
          </cell>
          <cell r="V95">
            <v>1138.8518079545454</v>
          </cell>
          <cell r="W95">
            <v>1708.2777119318184</v>
          </cell>
          <cell r="X95">
            <v>885.77362840909097</v>
          </cell>
          <cell r="Y95">
            <v>575.34750000000008</v>
          </cell>
          <cell r="Z95">
            <v>32877.000000000007</v>
          </cell>
        </row>
        <row r="96">
          <cell r="B96" t="str">
            <v>Niger</v>
          </cell>
          <cell r="C96" t="str">
            <v>Niger</v>
          </cell>
          <cell r="D96" t="str">
            <v>NER</v>
          </cell>
          <cell r="E96" t="str">
            <v>RBA</v>
          </cell>
          <cell r="F96"/>
          <cell r="G96"/>
          <cell r="H96">
            <v>1</v>
          </cell>
          <cell r="I96" t="str">
            <v>a.Tranche 1 &amp; 2</v>
          </cell>
          <cell r="J96" t="str">
            <v>a.STAR</v>
          </cell>
          <cell r="K96" t="str">
            <v>UNDP</v>
          </cell>
          <cell r="L96" t="str">
            <v/>
          </cell>
          <cell r="M96" t="str">
            <v>UNDP OP8 COB - UNDP CO</v>
          </cell>
          <cell r="N96" t="str">
            <v>UNDP Action</v>
          </cell>
          <cell r="O96">
            <v>15000</v>
          </cell>
          <cell r="P96">
            <v>117</v>
          </cell>
          <cell r="Q96">
            <v>374.40000000000003</v>
          </cell>
          <cell r="R96"/>
          <cell r="S96">
            <v>180</v>
          </cell>
          <cell r="T96">
            <v>468</v>
          </cell>
          <cell r="U96">
            <v>10234.800000000001</v>
          </cell>
          <cell r="V96">
            <v>421.2</v>
          </cell>
          <cell r="W96">
            <v>631.80000000000007</v>
          </cell>
          <cell r="X96">
            <v>327.60000000000002</v>
          </cell>
          <cell r="Y96">
            <v>660</v>
          </cell>
          <cell r="Z96">
            <v>28414.799999999999</v>
          </cell>
        </row>
        <row r="97">
          <cell r="B97" t="str">
            <v>Nigeria</v>
          </cell>
          <cell r="C97" t="str">
            <v>Nigeria</v>
          </cell>
          <cell r="D97" t="str">
            <v>NGA</v>
          </cell>
          <cell r="E97" t="str">
            <v>RBA</v>
          </cell>
          <cell r="F97"/>
          <cell r="G97"/>
          <cell r="H97">
            <v>3</v>
          </cell>
          <cell r="I97" t="str">
            <v>a.Tranche 1 &amp; 2</v>
          </cell>
          <cell r="J97" t="str">
            <v>a.STAR</v>
          </cell>
          <cell r="K97" t="str">
            <v>UNDP</v>
          </cell>
          <cell r="L97" t="str">
            <v>Yes</v>
          </cell>
          <cell r="M97" t="str">
            <v>n.End of June 2026</v>
          </cell>
          <cell r="N97" t="str">
            <v>UNOPS Action</v>
          </cell>
          <cell r="O97">
            <v>4150.6438193343902</v>
          </cell>
          <cell r="P97">
            <v>253.53630150554673</v>
          </cell>
          <cell r="Q97">
            <v>811.3161648177495</v>
          </cell>
          <cell r="R97"/>
          <cell r="S97">
            <v>2835.5883518225041</v>
          </cell>
          <cell r="T97">
            <v>1014.1452060221869</v>
          </cell>
          <cell r="U97">
            <v>10904.762612255678</v>
          </cell>
          <cell r="V97">
            <v>912.73068541996815</v>
          </cell>
          <cell r="W97">
            <v>1369.0960281299524</v>
          </cell>
          <cell r="X97">
            <v>709.90164421553095</v>
          </cell>
          <cell r="Y97">
            <v>11613.279186476493</v>
          </cell>
          <cell r="Z97">
            <v>34574.999999999993</v>
          </cell>
        </row>
        <row r="98">
          <cell r="B98" t="str">
            <v>Niue</v>
          </cell>
          <cell r="C98" t="str">
            <v>Niue</v>
          </cell>
          <cell r="D98" t="str">
            <v>NIU</v>
          </cell>
          <cell r="E98" t="str">
            <v>RBAP</v>
          </cell>
          <cell r="F98" t="str">
            <v>SRO</v>
          </cell>
          <cell r="G98"/>
          <cell r="H98">
            <v>3</v>
          </cell>
          <cell r="I98" t="str">
            <v>c.Tranche 2 Only</v>
          </cell>
          <cell r="J98" t="str">
            <v>b.No STAR</v>
          </cell>
          <cell r="K98" t="str">
            <v>N/A</v>
          </cell>
          <cell r="L98" t="str">
            <v/>
          </cell>
          <cell r="M98" t="str">
            <v>N/A</v>
          </cell>
          <cell r="N98" t="str">
            <v>N/A</v>
          </cell>
          <cell r="O98">
            <v>4175.9259259259261</v>
          </cell>
          <cell r="P98">
            <v>0</v>
          </cell>
          <cell r="Q98">
            <v>0</v>
          </cell>
          <cell r="R98"/>
          <cell r="S98">
            <v>0</v>
          </cell>
          <cell r="T98">
            <v>0</v>
          </cell>
          <cell r="U98">
            <v>0</v>
          </cell>
          <cell r="V98">
            <v>0</v>
          </cell>
          <cell r="W98">
            <v>0</v>
          </cell>
          <cell r="X98">
            <v>0</v>
          </cell>
          <cell r="Y98">
            <v>334.07407407407408</v>
          </cell>
          <cell r="Z98">
            <v>4510</v>
          </cell>
        </row>
        <row r="99">
          <cell r="B99" t="str">
            <v>Pakistan</v>
          </cell>
          <cell r="C99" t="str">
            <v>Pakistan</v>
          </cell>
          <cell r="D99" t="str">
            <v>PAK</v>
          </cell>
          <cell r="E99" t="str">
            <v>RBAP</v>
          </cell>
          <cell r="F99"/>
          <cell r="G99"/>
          <cell r="H99">
            <v>3</v>
          </cell>
          <cell r="I99" t="str">
            <v>c.Tranche 2 Only</v>
          </cell>
          <cell r="J99" t="str">
            <v>b.No STAR</v>
          </cell>
          <cell r="K99" t="str">
            <v>Vacant</v>
          </cell>
          <cell r="L99" t="str">
            <v/>
          </cell>
          <cell r="M99" t="str">
            <v>UNDP OP8 COB - Vacant</v>
          </cell>
          <cell r="N99" t="str">
            <v>UNDP Action</v>
          </cell>
          <cell r="O99">
            <v>8604.9880036294471</v>
          </cell>
          <cell r="P99">
            <v>275.52134280621465</v>
          </cell>
          <cell r="Q99">
            <v>881.6682969798868</v>
          </cell>
          <cell r="R99"/>
          <cell r="S99">
            <v>455.77703546194442</v>
          </cell>
          <cell r="T99">
            <v>1102.0853712248586</v>
          </cell>
          <cell r="U99">
            <v>11234.887044752235</v>
          </cell>
          <cell r="V99">
            <v>991.87683410237264</v>
          </cell>
          <cell r="W99">
            <v>1487.8152511535591</v>
          </cell>
          <cell r="X99">
            <v>771.45975985740097</v>
          </cell>
          <cell r="Y99">
            <v>3665.7119680711562</v>
          </cell>
          <cell r="Z99">
            <v>29471.790908039075</v>
          </cell>
        </row>
        <row r="100">
          <cell r="B100" t="str">
            <v>Palau</v>
          </cell>
          <cell r="C100" t="str">
            <v>Palau</v>
          </cell>
          <cell r="D100" t="str">
            <v>PLW</v>
          </cell>
          <cell r="E100" t="str">
            <v>RBAP</v>
          </cell>
          <cell r="F100" t="str">
            <v>SRO</v>
          </cell>
          <cell r="G100"/>
          <cell r="H100">
            <v>3</v>
          </cell>
          <cell r="I100" t="str">
            <v>a.Tranche 1 &amp; 2</v>
          </cell>
          <cell r="J100" t="str">
            <v>a.STAR</v>
          </cell>
          <cell r="K100" t="str">
            <v>Private Lease</v>
          </cell>
          <cell r="L100" t="str">
            <v>Yes</v>
          </cell>
          <cell r="M100" t="str">
            <v>n.End of June 2026</v>
          </cell>
          <cell r="N100" t="str">
            <v>UNOPS Action</v>
          </cell>
          <cell r="O100">
            <v>2434.993455356951</v>
          </cell>
          <cell r="P100">
            <v>60.874836383923778</v>
          </cell>
          <cell r="Q100">
            <v>194.79947642855609</v>
          </cell>
          <cell r="R100"/>
          <cell r="S100">
            <v>324.66579404759352</v>
          </cell>
          <cell r="T100">
            <v>243.49934553569511</v>
          </cell>
          <cell r="U100">
            <v>31925.199193184988</v>
          </cell>
          <cell r="V100">
            <v>219.14941098212557</v>
          </cell>
          <cell r="W100">
            <v>328.72411647318842</v>
          </cell>
          <cell r="X100">
            <v>170.44954187498658</v>
          </cell>
          <cell r="Y100">
            <v>1923.6448297319914</v>
          </cell>
          <cell r="Z100">
            <v>37826.000000000007</v>
          </cell>
        </row>
        <row r="101">
          <cell r="B101" t="str">
            <v>Palestinian Authority</v>
          </cell>
          <cell r="C101" t="str">
            <v>Palestinian Authority</v>
          </cell>
          <cell r="D101" t="str">
            <v>PSE</v>
          </cell>
          <cell r="E101" t="str">
            <v>RBAS</v>
          </cell>
          <cell r="F101"/>
          <cell r="G101"/>
          <cell r="H101">
            <v>3</v>
          </cell>
          <cell r="I101" t="str">
            <v>a.Tranche 1 &amp; 2</v>
          </cell>
          <cell r="J101" t="str">
            <v>b.No STAR</v>
          </cell>
          <cell r="K101" t="str">
            <v>UNDP</v>
          </cell>
          <cell r="L101" t="str">
            <v/>
          </cell>
          <cell r="M101" t="str">
            <v>UNDP OP8 COB - UNDP CO</v>
          </cell>
          <cell r="N101" t="str">
            <v>UNDP Action</v>
          </cell>
          <cell r="O101">
            <v>4697.6369224567943</v>
          </cell>
          <cell r="P101">
            <v>107.65417947296822</v>
          </cell>
          <cell r="Q101">
            <v>344.49337431349829</v>
          </cell>
          <cell r="R101"/>
          <cell r="S101">
            <v>0</v>
          </cell>
          <cell r="T101">
            <v>430.6167178918729</v>
          </cell>
          <cell r="U101">
            <v>7748.7521035924819</v>
          </cell>
          <cell r="V101">
            <v>387.55504610268554</v>
          </cell>
          <cell r="W101">
            <v>581.33256915402842</v>
          </cell>
          <cell r="X101">
            <v>301.43170252431105</v>
          </cell>
          <cell r="Y101">
            <v>939.52738449135893</v>
          </cell>
          <cell r="Z101">
            <v>15538.999999999998</v>
          </cell>
        </row>
        <row r="102">
          <cell r="B102" t="str">
            <v>Panama</v>
          </cell>
          <cell r="C102" t="str">
            <v>Panama</v>
          </cell>
          <cell r="D102" t="str">
            <v>PAN</v>
          </cell>
          <cell r="E102" t="str">
            <v>RBLAC</v>
          </cell>
          <cell r="F102"/>
          <cell r="G102"/>
          <cell r="H102">
            <v>1</v>
          </cell>
          <cell r="I102" t="str">
            <v>a.Tranche 1 &amp; 2</v>
          </cell>
          <cell r="J102" t="str">
            <v>a.STAR</v>
          </cell>
          <cell r="K102" t="str">
            <v>UNDP</v>
          </cell>
          <cell r="L102" t="str">
            <v>Yes</v>
          </cell>
          <cell r="M102" t="str">
            <v>k.End of Mar 2026</v>
          </cell>
          <cell r="N102" t="str">
            <v>UNOPS Action</v>
          </cell>
          <cell r="O102">
            <v>11393.218059558118</v>
          </cell>
          <cell r="P102">
            <v>446.37608069164276</v>
          </cell>
          <cell r="Q102">
            <v>1428.4034582132567</v>
          </cell>
          <cell r="R102"/>
          <cell r="S102">
            <v>255.07204610951007</v>
          </cell>
          <cell r="T102">
            <v>1785.504322766571</v>
          </cell>
          <cell r="U102">
            <v>15814.466858789625</v>
          </cell>
          <cell r="V102">
            <v>1606.9538904899136</v>
          </cell>
          <cell r="W102">
            <v>2410.4308357348709</v>
          </cell>
          <cell r="X102">
            <v>1249.8530259365998</v>
          </cell>
          <cell r="Y102">
            <v>7864.7214217098945</v>
          </cell>
          <cell r="Z102">
            <v>44255.000000000007</v>
          </cell>
        </row>
        <row r="103">
          <cell r="B103" t="str">
            <v>Papua New Guinea</v>
          </cell>
          <cell r="C103" t="str">
            <v>Papua New Guinea</v>
          </cell>
          <cell r="D103" t="str">
            <v>PNG</v>
          </cell>
          <cell r="E103" t="str">
            <v>RBAP</v>
          </cell>
          <cell r="F103"/>
          <cell r="G103"/>
          <cell r="H103">
            <v>1</v>
          </cell>
          <cell r="I103" t="str">
            <v>c.Tranche 2 Only</v>
          </cell>
          <cell r="J103" t="str">
            <v>a.STAR</v>
          </cell>
          <cell r="K103" t="str">
            <v>Vacant</v>
          </cell>
          <cell r="L103" t="str">
            <v/>
          </cell>
          <cell r="M103" t="str">
            <v>UNDP OP8 COB - Vacant</v>
          </cell>
          <cell r="N103" t="str">
            <v>UNDP Action</v>
          </cell>
          <cell r="O103">
            <v>8700</v>
          </cell>
          <cell r="P103">
            <v>270</v>
          </cell>
          <cell r="Q103">
            <v>864</v>
          </cell>
          <cell r="R103"/>
          <cell r="S103">
            <v>600</v>
          </cell>
          <cell r="T103">
            <v>1080</v>
          </cell>
          <cell r="U103">
            <v>11100</v>
          </cell>
          <cell r="V103">
            <v>972</v>
          </cell>
          <cell r="W103">
            <v>1458</v>
          </cell>
          <cell r="X103">
            <v>756.00000000000011</v>
          </cell>
          <cell r="Y103">
            <v>3600</v>
          </cell>
          <cell r="Z103">
            <v>29400</v>
          </cell>
        </row>
        <row r="104">
          <cell r="B104" t="str">
            <v>Paraguay</v>
          </cell>
          <cell r="C104" t="str">
            <v>Paraguay</v>
          </cell>
          <cell r="D104" t="str">
            <v>PRY</v>
          </cell>
          <cell r="E104" t="str">
            <v>RBLAC</v>
          </cell>
          <cell r="F104"/>
          <cell r="G104"/>
          <cell r="H104">
            <v>2</v>
          </cell>
          <cell r="I104" t="str">
            <v>a.Tranche 1 &amp; 2</v>
          </cell>
          <cell r="J104" t="str">
            <v>a.STAR</v>
          </cell>
          <cell r="K104" t="str">
            <v>UNDP</v>
          </cell>
          <cell r="L104" t="str">
            <v>Yes</v>
          </cell>
          <cell r="M104" t="str">
            <v>n.End of June 2026</v>
          </cell>
          <cell r="N104" t="str">
            <v>UNOPS Action</v>
          </cell>
          <cell r="O104">
            <v>11494.08</v>
          </cell>
          <cell r="P104">
            <v>167.99040000000002</v>
          </cell>
          <cell r="Q104">
            <v>537.56928000000005</v>
          </cell>
          <cell r="R104"/>
          <cell r="S104">
            <v>0</v>
          </cell>
          <cell r="T104">
            <v>671.96160000000009</v>
          </cell>
          <cell r="U104">
            <v>6454.3679999999995</v>
          </cell>
          <cell r="V104">
            <v>604.76544000000001</v>
          </cell>
          <cell r="W104">
            <v>907.14816000000008</v>
          </cell>
          <cell r="X104">
            <v>470.37312000000003</v>
          </cell>
          <cell r="Y104">
            <v>795.74399999999991</v>
          </cell>
          <cell r="Z104">
            <v>22104</v>
          </cell>
        </row>
        <row r="105">
          <cell r="B105" t="str">
            <v>Peru</v>
          </cell>
          <cell r="C105" t="str">
            <v>Peru</v>
          </cell>
          <cell r="D105" t="str">
            <v>PER</v>
          </cell>
          <cell r="E105" t="str">
            <v>RBLAC</v>
          </cell>
          <cell r="F105"/>
          <cell r="G105"/>
          <cell r="H105">
            <v>1</v>
          </cell>
          <cell r="I105" t="str">
            <v>c.Tranche 2 Only</v>
          </cell>
          <cell r="J105" t="str">
            <v>a.STAR</v>
          </cell>
          <cell r="K105" t="str">
            <v>UNDP</v>
          </cell>
          <cell r="L105" t="str">
            <v>Yes</v>
          </cell>
          <cell r="M105" t="str">
            <v>k.End of Mar 2026</v>
          </cell>
          <cell r="N105" t="str">
            <v>UNOPS Action</v>
          </cell>
          <cell r="O105">
            <v>8604.9880036294471</v>
          </cell>
          <cell r="P105">
            <v>275.52134280621465</v>
          </cell>
          <cell r="Q105">
            <v>881.6682969798868</v>
          </cell>
          <cell r="R105"/>
          <cell r="S105">
            <v>455.77703546194442</v>
          </cell>
          <cell r="T105">
            <v>1102.0853712248586</v>
          </cell>
          <cell r="U105">
            <v>11234.887044752235</v>
          </cell>
          <cell r="V105">
            <v>991.87683410237264</v>
          </cell>
          <cell r="W105">
            <v>1487.8152511535591</v>
          </cell>
          <cell r="X105">
            <v>771.45975985740097</v>
          </cell>
          <cell r="Y105">
            <v>3665.7119680711562</v>
          </cell>
          <cell r="Z105">
            <v>29471.790908039075</v>
          </cell>
        </row>
        <row r="106">
          <cell r="B106" t="str">
            <v>Philippines</v>
          </cell>
          <cell r="C106" t="str">
            <v>Philippines</v>
          </cell>
          <cell r="D106" t="str">
            <v>PHL</v>
          </cell>
          <cell r="E106" t="str">
            <v>RBAP</v>
          </cell>
          <cell r="F106"/>
          <cell r="G106" t="str">
            <v>NHI</v>
          </cell>
          <cell r="H106">
            <v>4</v>
          </cell>
          <cell r="I106" t="str">
            <v>a.Tranche 1 &amp; 2</v>
          </cell>
          <cell r="J106" t="str">
            <v>a.STAR</v>
          </cell>
          <cell r="K106" t="str">
            <v>NHI</v>
          </cell>
          <cell r="L106" t="str">
            <v/>
          </cell>
          <cell r="M106" t="str">
            <v>UNDP OP8 COB - RPA</v>
          </cell>
          <cell r="N106" t="str">
            <v>UNDP Action</v>
          </cell>
          <cell r="O106"/>
          <cell r="P106"/>
          <cell r="Q106"/>
          <cell r="R106"/>
          <cell r="S106"/>
          <cell r="T106"/>
          <cell r="U106"/>
          <cell r="V106"/>
          <cell r="W106"/>
          <cell r="X106"/>
          <cell r="Y106"/>
          <cell r="Z106" t="str">
            <v>CORE + STAR Budgets</v>
          </cell>
        </row>
        <row r="107">
          <cell r="B107" t="str">
            <v>Rwanda</v>
          </cell>
          <cell r="C107" t="str">
            <v>Rwanda</v>
          </cell>
          <cell r="D107" t="str">
            <v>RWA</v>
          </cell>
          <cell r="E107" t="str">
            <v>RBA</v>
          </cell>
          <cell r="F107"/>
          <cell r="G107"/>
          <cell r="H107">
            <v>3</v>
          </cell>
          <cell r="I107" t="str">
            <v>a.Tranche 1 &amp; 2</v>
          </cell>
          <cell r="J107" t="str">
            <v>a.STAR</v>
          </cell>
          <cell r="K107" t="str">
            <v>UNDP</v>
          </cell>
          <cell r="L107" t="str">
            <v/>
          </cell>
          <cell r="M107" t="str">
            <v>UNDP OP8 COB - UNDP CO</v>
          </cell>
          <cell r="N107" t="str">
            <v>UNDP Action</v>
          </cell>
          <cell r="O107">
            <v>6600</v>
          </cell>
          <cell r="P107">
            <v>0</v>
          </cell>
          <cell r="Q107">
            <v>0</v>
          </cell>
          <cell r="R107"/>
          <cell r="S107">
            <v>120</v>
          </cell>
          <cell r="T107">
            <v>0</v>
          </cell>
          <cell r="U107">
            <v>11077.199999999999</v>
          </cell>
          <cell r="V107">
            <v>0</v>
          </cell>
          <cell r="W107">
            <v>0</v>
          </cell>
          <cell r="X107">
            <v>0</v>
          </cell>
          <cell r="Y107">
            <v>2099.9999999999995</v>
          </cell>
          <cell r="Z107">
            <v>19897.199999999997</v>
          </cell>
        </row>
        <row r="108">
          <cell r="B108" t="str">
            <v>Samoa</v>
          </cell>
          <cell r="C108" t="str">
            <v>Samoa</v>
          </cell>
          <cell r="D108" t="str">
            <v>WSM</v>
          </cell>
          <cell r="E108" t="str">
            <v>RBAP</v>
          </cell>
          <cell r="F108" t="str">
            <v>MCO</v>
          </cell>
          <cell r="G108"/>
          <cell r="H108">
            <v>1</v>
          </cell>
          <cell r="I108" t="str">
            <v>a.Tranche 1 &amp; 2</v>
          </cell>
          <cell r="J108" t="str">
            <v>a.STAR</v>
          </cell>
          <cell r="K108" t="str">
            <v>UNDP</v>
          </cell>
          <cell r="L108" t="str">
            <v>Yes</v>
          </cell>
          <cell r="M108" t="str">
            <v>i.End of Jan 2026</v>
          </cell>
          <cell r="N108" t="str">
            <v>UNOPS Action</v>
          </cell>
          <cell r="O108">
            <v>13535.25</v>
          </cell>
          <cell r="P108">
            <v>468</v>
          </cell>
          <cell r="Q108">
            <v>1497.6000000000001</v>
          </cell>
          <cell r="R108"/>
          <cell r="S108">
            <v>0</v>
          </cell>
          <cell r="T108">
            <v>1872</v>
          </cell>
          <cell r="U108">
            <v>5907</v>
          </cell>
          <cell r="V108">
            <v>1684.8</v>
          </cell>
          <cell r="W108">
            <v>2527.2000000000003</v>
          </cell>
          <cell r="X108">
            <v>1310.4000000000001</v>
          </cell>
          <cell r="Y108">
            <v>6225</v>
          </cell>
          <cell r="Z108">
            <v>35027.25</v>
          </cell>
        </row>
        <row r="109">
          <cell r="B109" t="str">
            <v>Sao Tome and Principe</v>
          </cell>
          <cell r="C109" t="str">
            <v>Sao Tome and Principe</v>
          </cell>
          <cell r="D109" t="str">
            <v>STP</v>
          </cell>
          <cell r="E109" t="str">
            <v>RBA</v>
          </cell>
          <cell r="F109"/>
          <cell r="G109"/>
          <cell r="H109">
            <v>3</v>
          </cell>
          <cell r="I109" t="str">
            <v>c.Tranche 2 Only</v>
          </cell>
          <cell r="J109" t="str">
            <v>b.No STAR</v>
          </cell>
          <cell r="K109" t="str">
            <v>Vacant</v>
          </cell>
          <cell r="L109" t="str">
            <v/>
          </cell>
          <cell r="M109" t="str">
            <v>UNDP OP8 COB - Vacant</v>
          </cell>
          <cell r="N109" t="str">
            <v>UNDP Action</v>
          </cell>
          <cell r="O109">
            <v>8604.9880036294471</v>
          </cell>
          <cell r="P109">
            <v>275.52134280621465</v>
          </cell>
          <cell r="Q109">
            <v>881.6682969798868</v>
          </cell>
          <cell r="R109"/>
          <cell r="S109">
            <v>455.77703546194442</v>
          </cell>
          <cell r="T109">
            <v>1102.0853712248586</v>
          </cell>
          <cell r="U109">
            <v>11234.887044752235</v>
          </cell>
          <cell r="V109">
            <v>991.87683410237264</v>
          </cell>
          <cell r="W109">
            <v>1487.8152511535591</v>
          </cell>
          <cell r="X109">
            <v>771.45975985740097</v>
          </cell>
          <cell r="Y109">
            <v>3665.7119680711562</v>
          </cell>
          <cell r="Z109">
            <v>29471.790908039075</v>
          </cell>
        </row>
        <row r="110">
          <cell r="B110" t="str">
            <v>Senegal</v>
          </cell>
          <cell r="C110" t="str">
            <v>Senegal</v>
          </cell>
          <cell r="D110" t="str">
            <v>SEN</v>
          </cell>
          <cell r="E110" t="str">
            <v>RBA</v>
          </cell>
          <cell r="F110"/>
          <cell r="G110"/>
          <cell r="H110">
            <v>1</v>
          </cell>
          <cell r="I110" t="str">
            <v>a.Tranche 1 &amp; 2</v>
          </cell>
          <cell r="J110" t="str">
            <v>a.STAR</v>
          </cell>
          <cell r="K110" t="str">
            <v>UNDP - WFH</v>
          </cell>
          <cell r="L110" t="str">
            <v/>
          </cell>
          <cell r="M110" t="str">
            <v>UNDP OP8 COB - UNDP WFH</v>
          </cell>
          <cell r="N110" t="str">
            <v>UNDP Action</v>
          </cell>
          <cell r="O110">
            <v>10800</v>
          </cell>
          <cell r="P110">
            <v>3000</v>
          </cell>
          <cell r="Q110">
            <v>1099.0079999999998</v>
          </cell>
          <cell r="R110"/>
          <cell r="S110">
            <v>512.4</v>
          </cell>
          <cell r="T110">
            <v>1373.76</v>
          </cell>
          <cell r="U110">
            <v>12000</v>
          </cell>
          <cell r="V110">
            <v>1236.3839999999998</v>
          </cell>
          <cell r="W110">
            <v>1854.576</v>
          </cell>
          <cell r="X110">
            <v>961.63199999999995</v>
          </cell>
          <cell r="Y110">
            <v>2803.7999999999997</v>
          </cell>
          <cell r="Z110">
            <v>35641.56</v>
          </cell>
        </row>
        <row r="111">
          <cell r="B111" t="str">
            <v>Serbia</v>
          </cell>
          <cell r="C111" t="str">
            <v>Serbia</v>
          </cell>
          <cell r="D111" t="str">
            <v>SRB</v>
          </cell>
          <cell r="E111" t="str">
            <v>RBEC</v>
          </cell>
          <cell r="F111"/>
          <cell r="G111"/>
          <cell r="H111">
            <v>5</v>
          </cell>
          <cell r="I111" t="str">
            <v>d.Not UNDP</v>
          </cell>
          <cell r="J111" t="str">
            <v/>
          </cell>
          <cell r="K111" t="str">
            <v>N/A</v>
          </cell>
          <cell r="L111" t="str">
            <v/>
          </cell>
          <cell r="M111" t="str">
            <v>N/A</v>
          </cell>
          <cell r="N111" t="str">
            <v>N/A</v>
          </cell>
          <cell r="O111" t="str">
            <v/>
          </cell>
          <cell r="P111" t="str">
            <v/>
          </cell>
          <cell r="Q111" t="str">
            <v/>
          </cell>
          <cell r="R111"/>
          <cell r="S111" t="str">
            <v/>
          </cell>
          <cell r="T111" t="str">
            <v/>
          </cell>
          <cell r="U111" t="str">
            <v/>
          </cell>
          <cell r="V111" t="str">
            <v/>
          </cell>
          <cell r="W111" t="str">
            <v/>
          </cell>
          <cell r="X111" t="str">
            <v/>
          </cell>
          <cell r="Y111" t="str">
            <v/>
          </cell>
          <cell r="Z111">
            <v>0</v>
          </cell>
        </row>
        <row r="112">
          <cell r="B112" t="str">
            <v>Seychelles</v>
          </cell>
          <cell r="C112" t="str">
            <v>Seychelles</v>
          </cell>
          <cell r="D112" t="str">
            <v>SYC</v>
          </cell>
          <cell r="E112" t="str">
            <v>RBA</v>
          </cell>
          <cell r="F112" t="str">
            <v>SRO</v>
          </cell>
          <cell r="G112"/>
          <cell r="H112">
            <v>2</v>
          </cell>
          <cell r="I112" t="str">
            <v>a.Tranche 1 &amp; 2</v>
          </cell>
          <cell r="J112" t="str">
            <v>a.STAR</v>
          </cell>
          <cell r="K112" t="str">
            <v>UNDP</v>
          </cell>
          <cell r="L112" t="str">
            <v/>
          </cell>
          <cell r="M112" t="str">
            <v>UNDP OP8 COB - UNDP CO</v>
          </cell>
          <cell r="N112" t="str">
            <v>UNDP Action</v>
          </cell>
          <cell r="O112">
            <v>4680</v>
          </cell>
          <cell r="P112">
            <v>254.49</v>
          </cell>
          <cell r="Q112">
            <v>814.36800000000005</v>
          </cell>
          <cell r="R112"/>
          <cell r="S112">
            <v>180</v>
          </cell>
          <cell r="T112">
            <v>1017.96</v>
          </cell>
          <cell r="U112">
            <v>4173</v>
          </cell>
          <cell r="V112">
            <v>916.16399999999999</v>
          </cell>
          <cell r="W112">
            <v>1374.2460000000001</v>
          </cell>
          <cell r="X112">
            <v>712.57200000000012</v>
          </cell>
          <cell r="Y112">
            <v>1079.9999999999998</v>
          </cell>
          <cell r="Z112">
            <v>15202.8</v>
          </cell>
        </row>
        <row r="113">
          <cell r="B113" t="str">
            <v>Sierra Leone</v>
          </cell>
          <cell r="C113" t="str">
            <v>Sierra Leone</v>
          </cell>
          <cell r="D113" t="str">
            <v>SLE</v>
          </cell>
          <cell r="E113" t="str">
            <v>RBA</v>
          </cell>
          <cell r="F113"/>
          <cell r="G113"/>
          <cell r="H113">
            <v>2</v>
          </cell>
          <cell r="I113" t="str">
            <v>a.Tranche 1 &amp; 2</v>
          </cell>
          <cell r="J113" t="str">
            <v>a.STAR</v>
          </cell>
          <cell r="K113" t="str">
            <v>UNDP</v>
          </cell>
          <cell r="L113" t="str">
            <v/>
          </cell>
          <cell r="M113" t="str">
            <v>UNDP OP8 COB - UNDP CO</v>
          </cell>
          <cell r="N113" t="str">
            <v>UNDP Action</v>
          </cell>
          <cell r="O113">
            <v>8805</v>
          </cell>
          <cell r="P113">
            <v>94.575000000000003</v>
          </cell>
          <cell r="Q113">
            <v>302.64</v>
          </cell>
          <cell r="R113"/>
          <cell r="S113">
            <v>1500</v>
          </cell>
          <cell r="T113">
            <v>378.3</v>
          </cell>
          <cell r="U113">
            <v>13173</v>
          </cell>
          <cell r="V113">
            <v>340.46999999999997</v>
          </cell>
          <cell r="W113">
            <v>510.70500000000004</v>
          </cell>
          <cell r="X113">
            <v>264.81</v>
          </cell>
          <cell r="Y113">
            <v>2541</v>
          </cell>
          <cell r="Z113">
            <v>27910.500000000004</v>
          </cell>
        </row>
        <row r="114">
          <cell r="B114" t="str">
            <v>Solomon Islands</v>
          </cell>
          <cell r="C114" t="str">
            <v>Solomon Islands</v>
          </cell>
          <cell r="D114" t="str">
            <v>SLB</v>
          </cell>
          <cell r="E114" t="str">
            <v>RBAP</v>
          </cell>
          <cell r="F114" t="str">
            <v>SRO</v>
          </cell>
          <cell r="G114"/>
          <cell r="H114">
            <v>2</v>
          </cell>
          <cell r="I114" t="str">
            <v>a.Tranche 1 &amp; 2</v>
          </cell>
          <cell r="J114" t="str">
            <v>a.STAR</v>
          </cell>
          <cell r="K114" t="str">
            <v>UNDP</v>
          </cell>
          <cell r="L114" t="str">
            <v/>
          </cell>
          <cell r="M114" t="str">
            <v>UNDP OP8 COB - UNDP CO</v>
          </cell>
          <cell r="N114" t="str">
            <v>UNDP Action</v>
          </cell>
          <cell r="O114">
            <v>18000</v>
          </cell>
          <cell r="P114">
            <v>80</v>
          </cell>
          <cell r="Q114">
            <v>256</v>
          </cell>
          <cell r="R114"/>
          <cell r="S114">
            <v>250</v>
          </cell>
          <cell r="T114">
            <v>320</v>
          </cell>
          <cell r="U114">
            <v>17150</v>
          </cell>
          <cell r="V114">
            <v>288</v>
          </cell>
          <cell r="W114">
            <v>432</v>
          </cell>
          <cell r="X114">
            <v>224.00000000000003</v>
          </cell>
          <cell r="Y114">
            <v>800</v>
          </cell>
          <cell r="Z114">
            <v>37800</v>
          </cell>
        </row>
        <row r="115">
          <cell r="B115" t="str">
            <v>Somalia</v>
          </cell>
          <cell r="C115" t="str">
            <v>Somalia</v>
          </cell>
          <cell r="D115" t="str">
            <v>SOM</v>
          </cell>
          <cell r="E115" t="str">
            <v>RBAS</v>
          </cell>
          <cell r="F115"/>
          <cell r="G115"/>
          <cell r="H115">
            <v>3</v>
          </cell>
          <cell r="I115" t="str">
            <v>c.Tranche 2 Only</v>
          </cell>
          <cell r="J115" t="str">
            <v>a.STAR</v>
          </cell>
          <cell r="K115" t="str">
            <v>Vacant</v>
          </cell>
          <cell r="L115" t="str">
            <v/>
          </cell>
          <cell r="M115" t="str">
            <v>UNDP OP8 COB - Vacant</v>
          </cell>
          <cell r="N115" t="str">
            <v>UNDP Action</v>
          </cell>
          <cell r="O115">
            <v>8604.9880036294471</v>
          </cell>
          <cell r="P115">
            <v>275.52134280621465</v>
          </cell>
          <cell r="Q115">
            <v>881.6682969798868</v>
          </cell>
          <cell r="R115"/>
          <cell r="S115">
            <v>455.77703546194442</v>
          </cell>
          <cell r="T115">
            <v>1102.0853712248586</v>
          </cell>
          <cell r="U115">
            <v>11234.887044752235</v>
          </cell>
          <cell r="V115">
            <v>991.87683410237264</v>
          </cell>
          <cell r="W115">
            <v>1487.8152511535591</v>
          </cell>
          <cell r="X115">
            <v>771.45975985740097</v>
          </cell>
          <cell r="Y115">
            <v>3665.7119680711562</v>
          </cell>
          <cell r="Z115">
            <v>29471.790908039075</v>
          </cell>
        </row>
        <row r="116">
          <cell r="B116" t="str">
            <v>South Africa</v>
          </cell>
          <cell r="C116" t="str">
            <v>South Africa</v>
          </cell>
          <cell r="D116" t="str">
            <v>ZAF</v>
          </cell>
          <cell r="E116" t="str">
            <v>RBA</v>
          </cell>
          <cell r="F116"/>
          <cell r="G116"/>
          <cell r="H116">
            <v>2</v>
          </cell>
          <cell r="I116" t="str">
            <v>a.Tranche 1 &amp; 2</v>
          </cell>
          <cell r="J116" t="str">
            <v>a.STAR</v>
          </cell>
          <cell r="K116" t="str">
            <v>Private Lease</v>
          </cell>
          <cell r="L116" t="str">
            <v>Yes</v>
          </cell>
          <cell r="M116" t="str">
            <v>k.End of Mar 2026</v>
          </cell>
          <cell r="N116" t="str">
            <v>UNOPS Action</v>
          </cell>
          <cell r="O116">
            <v>7586.3162790697679</v>
          </cell>
          <cell r="P116">
            <v>160.47976744186047</v>
          </cell>
          <cell r="Q116">
            <v>513.53525581395354</v>
          </cell>
          <cell r="R116"/>
          <cell r="S116">
            <v>476.57627906976739</v>
          </cell>
          <cell r="T116">
            <v>641.9190697674419</v>
          </cell>
          <cell r="U116">
            <v>13723.451627906978</v>
          </cell>
          <cell r="V116">
            <v>577.72716279069766</v>
          </cell>
          <cell r="W116">
            <v>866.59074418604655</v>
          </cell>
          <cell r="X116">
            <v>449.34334883720936</v>
          </cell>
          <cell r="Y116">
            <v>16826.060465116279</v>
          </cell>
          <cell r="Z116">
            <v>41822</v>
          </cell>
        </row>
        <row r="117">
          <cell r="B117" t="str">
            <v>South Sudan</v>
          </cell>
          <cell r="C117" t="str">
            <v>South Sudan</v>
          </cell>
          <cell r="D117" t="str">
            <v>SSD</v>
          </cell>
          <cell r="E117" t="str">
            <v>RBA</v>
          </cell>
          <cell r="F117"/>
          <cell r="G117"/>
          <cell r="H117">
            <v>5</v>
          </cell>
          <cell r="I117" t="str">
            <v>d.Not UNDP</v>
          </cell>
          <cell r="J117" t="str">
            <v/>
          </cell>
          <cell r="K117" t="str">
            <v>N/A</v>
          </cell>
          <cell r="L117" t="str">
            <v/>
          </cell>
          <cell r="M117" t="str">
            <v>N/A</v>
          </cell>
          <cell r="N117" t="str">
            <v>N/A</v>
          </cell>
          <cell r="O117" t="str">
            <v/>
          </cell>
          <cell r="P117" t="str">
            <v/>
          </cell>
          <cell r="Q117" t="str">
            <v/>
          </cell>
          <cell r="R117"/>
          <cell r="S117" t="str">
            <v/>
          </cell>
          <cell r="T117" t="str">
            <v/>
          </cell>
          <cell r="U117" t="str">
            <v/>
          </cell>
          <cell r="V117" t="str">
            <v/>
          </cell>
          <cell r="W117" t="str">
            <v/>
          </cell>
          <cell r="X117" t="str">
            <v/>
          </cell>
          <cell r="Y117" t="str">
            <v/>
          </cell>
          <cell r="Z117">
            <v>0</v>
          </cell>
        </row>
        <row r="118">
          <cell r="B118" t="str">
            <v>Sri Lanka</v>
          </cell>
          <cell r="C118" t="str">
            <v>Sri Lanka</v>
          </cell>
          <cell r="D118" t="str">
            <v>LKA</v>
          </cell>
          <cell r="E118" t="str">
            <v>RBAP</v>
          </cell>
          <cell r="F118"/>
          <cell r="G118"/>
          <cell r="H118">
            <v>2</v>
          </cell>
          <cell r="I118" t="str">
            <v>c.Tranche 2 Only</v>
          </cell>
          <cell r="J118" t="str">
            <v>a.STAR</v>
          </cell>
          <cell r="K118" t="str">
            <v>UNDP</v>
          </cell>
          <cell r="L118" t="str">
            <v>Yes</v>
          </cell>
          <cell r="M118" t="str">
            <v>n.End of June 2026</v>
          </cell>
          <cell r="N118" t="str">
            <v>UNOPS Action</v>
          </cell>
          <cell r="O118">
            <v>12907.48200544417</v>
          </cell>
          <cell r="P118">
            <v>413.28201420932191</v>
          </cell>
          <cell r="Q118">
            <v>1322.5024454698303</v>
          </cell>
          <cell r="R118"/>
          <cell r="S118">
            <v>683.66555319291672</v>
          </cell>
          <cell r="T118">
            <v>1653.1280568372877</v>
          </cell>
          <cell r="U118">
            <v>16852.330567128352</v>
          </cell>
          <cell r="V118">
            <v>1487.8152511535588</v>
          </cell>
          <cell r="W118">
            <v>2231.7228767303386</v>
          </cell>
          <cell r="X118">
            <v>1157.1896397861015</v>
          </cell>
          <cell r="Y118">
            <v>5498.567952106735</v>
          </cell>
          <cell r="Z118">
            <v>44207.686362058615</v>
          </cell>
        </row>
        <row r="119">
          <cell r="B119" t="str">
            <v>St. Kitts &amp; Nevis</v>
          </cell>
          <cell r="C119" t="str">
            <v>St. Kitts and Nevis</v>
          </cell>
          <cell r="D119" t="str">
            <v>KNA</v>
          </cell>
          <cell r="E119" t="str">
            <v>RBLAC</v>
          </cell>
          <cell r="F119" t="str">
            <v>SRO</v>
          </cell>
          <cell r="G119"/>
          <cell r="H119">
            <v>3</v>
          </cell>
          <cell r="I119" t="str">
            <v>c.Tranche 2 Only</v>
          </cell>
          <cell r="J119" t="str">
            <v>a.STAR</v>
          </cell>
          <cell r="K119" t="str">
            <v>Private Lease</v>
          </cell>
          <cell r="L119" t="str">
            <v>Yes</v>
          </cell>
          <cell r="M119" t="str">
            <v>k.End of Mar 2026</v>
          </cell>
          <cell r="N119" t="str">
            <v>UNOPS Action</v>
          </cell>
          <cell r="O119">
            <v>2250</v>
          </cell>
          <cell r="P119">
            <v>146.25</v>
          </cell>
          <cell r="Q119">
            <v>468</v>
          </cell>
          <cell r="R119"/>
          <cell r="S119">
            <v>375</v>
          </cell>
          <cell r="T119">
            <v>585</v>
          </cell>
          <cell r="U119">
            <v>11565</v>
          </cell>
          <cell r="V119">
            <v>526.5</v>
          </cell>
          <cell r="W119">
            <v>789.75</v>
          </cell>
          <cell r="X119">
            <v>409.50000000000006</v>
          </cell>
          <cell r="Y119">
            <v>1125</v>
          </cell>
          <cell r="Z119">
            <v>18240</v>
          </cell>
        </row>
        <row r="120">
          <cell r="B120" t="str">
            <v>St. Lucia</v>
          </cell>
          <cell r="C120" t="str">
            <v>St. Lucia</v>
          </cell>
          <cell r="D120" t="str">
            <v>LCA</v>
          </cell>
          <cell r="E120" t="str">
            <v>RBLAC</v>
          </cell>
          <cell r="F120" t="str">
            <v>SRO</v>
          </cell>
          <cell r="G120"/>
          <cell r="H120">
            <v>2</v>
          </cell>
          <cell r="I120" t="str">
            <v>a.Tranche 1 &amp; 2</v>
          </cell>
          <cell r="J120" t="str">
            <v>a.STAR</v>
          </cell>
          <cell r="K120" t="str">
            <v>Private Lease</v>
          </cell>
          <cell r="L120" t="str">
            <v/>
          </cell>
          <cell r="M120" t="str">
            <v>k.End of Mar 2026</v>
          </cell>
          <cell r="N120" t="str">
            <v>UNOPS Action</v>
          </cell>
          <cell r="O120">
            <v>616.27935416701087</v>
          </cell>
          <cell r="P120">
            <v>472.04430698550669</v>
          </cell>
          <cell r="Q120">
            <v>1510.5417823536213</v>
          </cell>
          <cell r="R120"/>
          <cell r="S120">
            <v>616.27935416701087</v>
          </cell>
          <cell r="T120">
            <v>1888.1772279420268</v>
          </cell>
          <cell r="U120">
            <v>19312.654261208703</v>
          </cell>
          <cell r="V120">
            <v>1699.3595051478239</v>
          </cell>
          <cell r="W120">
            <v>2549.0392577217362</v>
          </cell>
          <cell r="X120">
            <v>1321.7240595594189</v>
          </cell>
          <cell r="Y120">
            <v>1090.3008907471369</v>
          </cell>
          <cell r="Z120">
            <v>31076.399999999994</v>
          </cell>
        </row>
        <row r="121">
          <cell r="B121" t="str">
            <v>St. Vincent &amp; Grenadines</v>
          </cell>
          <cell r="C121" t="str">
            <v>St. Vincent &amp; the Grenadines</v>
          </cell>
          <cell r="D121" t="str">
            <v>VCT</v>
          </cell>
          <cell r="E121" t="str">
            <v>RBLAC</v>
          </cell>
          <cell r="F121" t="str">
            <v>SRO</v>
          </cell>
          <cell r="G121"/>
          <cell r="H121">
            <v>5</v>
          </cell>
          <cell r="I121" t="str">
            <v>d.Not UNDP</v>
          </cell>
          <cell r="J121" t="str">
            <v/>
          </cell>
          <cell r="K121" t="str">
            <v>Private Lease</v>
          </cell>
          <cell r="L121" t="str">
            <v/>
          </cell>
          <cell r="M121" t="str">
            <v>k.End of Mar 2026</v>
          </cell>
          <cell r="N121" t="str">
            <v>UNOPS Action</v>
          </cell>
          <cell r="O121">
            <v>6375</v>
          </cell>
          <cell r="P121">
            <v>618.75</v>
          </cell>
          <cell r="Q121">
            <v>1980</v>
          </cell>
          <cell r="R121"/>
          <cell r="S121">
            <v>1500</v>
          </cell>
          <cell r="T121">
            <v>2475</v>
          </cell>
          <cell r="U121">
            <v>12375</v>
          </cell>
          <cell r="V121">
            <v>2227.5</v>
          </cell>
          <cell r="W121">
            <v>3341.25</v>
          </cell>
          <cell r="X121">
            <v>1732.5000000000002</v>
          </cell>
          <cell r="Y121">
            <v>3375</v>
          </cell>
          <cell r="Z121">
            <v>36000</v>
          </cell>
        </row>
        <row r="122">
          <cell r="B122" t="str">
            <v>Sudan</v>
          </cell>
          <cell r="C122" t="str">
            <v>Sudan</v>
          </cell>
          <cell r="D122" t="str">
            <v>SDN</v>
          </cell>
          <cell r="E122" t="str">
            <v>RBAS</v>
          </cell>
          <cell r="F122"/>
          <cell r="G122"/>
          <cell r="H122">
            <v>5</v>
          </cell>
          <cell r="I122" t="str">
            <v>d.Not UNDP</v>
          </cell>
          <cell r="J122" t="str">
            <v/>
          </cell>
          <cell r="K122" t="str">
            <v>N/A</v>
          </cell>
          <cell r="L122" t="str">
            <v/>
          </cell>
          <cell r="M122" t="str">
            <v>N/A</v>
          </cell>
          <cell r="N122" t="str">
            <v>N/A</v>
          </cell>
          <cell r="O122" t="str">
            <v/>
          </cell>
          <cell r="P122" t="str">
            <v/>
          </cell>
          <cell r="Q122" t="str">
            <v/>
          </cell>
          <cell r="R122"/>
          <cell r="S122" t="str">
            <v/>
          </cell>
          <cell r="T122" t="str">
            <v/>
          </cell>
          <cell r="U122" t="str">
            <v/>
          </cell>
          <cell r="V122" t="str">
            <v/>
          </cell>
          <cell r="W122" t="str">
            <v/>
          </cell>
          <cell r="X122" t="str">
            <v/>
          </cell>
          <cell r="Y122" t="str">
            <v/>
          </cell>
          <cell r="Z122">
            <v>0</v>
          </cell>
        </row>
        <row r="123">
          <cell r="B123" t="str">
            <v>Suriname</v>
          </cell>
          <cell r="C123" t="str">
            <v>Suriname</v>
          </cell>
          <cell r="D123" t="str">
            <v>SUR</v>
          </cell>
          <cell r="E123" t="str">
            <v>RBLAC</v>
          </cell>
          <cell r="F123"/>
          <cell r="G123"/>
          <cell r="H123">
            <v>2</v>
          </cell>
          <cell r="I123" t="str">
            <v>a.Tranche 1 &amp; 2</v>
          </cell>
          <cell r="J123" t="str">
            <v>a.STAR</v>
          </cell>
          <cell r="K123" t="str">
            <v>UNDP</v>
          </cell>
          <cell r="L123" t="str">
            <v/>
          </cell>
          <cell r="M123" t="str">
            <v>UNDP OP8 COB - UNDP CO</v>
          </cell>
          <cell r="N123" t="str">
            <v>UNDP Action</v>
          </cell>
          <cell r="O123">
            <v>1500</v>
          </cell>
          <cell r="P123">
            <v>390</v>
          </cell>
          <cell r="Q123">
            <v>1248</v>
          </cell>
          <cell r="R123"/>
          <cell r="S123">
            <v>720</v>
          </cell>
          <cell r="T123">
            <v>1560</v>
          </cell>
          <cell r="U123">
            <v>12000</v>
          </cell>
          <cell r="V123">
            <v>1404</v>
          </cell>
          <cell r="W123">
            <v>2106</v>
          </cell>
          <cell r="X123">
            <v>1092</v>
          </cell>
          <cell r="Y123">
            <v>2400</v>
          </cell>
          <cell r="Z123">
            <v>24420</v>
          </cell>
        </row>
        <row r="124">
          <cell r="B124" t="str">
            <v>Tajikistan</v>
          </cell>
          <cell r="C124" t="str">
            <v>Tajikistan</v>
          </cell>
          <cell r="D124" t="str">
            <v>TJK</v>
          </cell>
          <cell r="E124" t="str">
            <v>RBEC</v>
          </cell>
          <cell r="F124"/>
          <cell r="G124"/>
          <cell r="H124">
            <v>5</v>
          </cell>
          <cell r="I124" t="str">
            <v>d.Not UNDP</v>
          </cell>
          <cell r="J124" t="str">
            <v/>
          </cell>
          <cell r="K124" t="str">
            <v>N/A</v>
          </cell>
          <cell r="L124" t="str">
            <v/>
          </cell>
          <cell r="M124" t="str">
            <v>N/A</v>
          </cell>
          <cell r="N124" t="str">
            <v>N/A</v>
          </cell>
          <cell r="O124">
            <v>8700</v>
          </cell>
          <cell r="P124">
            <v>270</v>
          </cell>
          <cell r="Q124">
            <v>864</v>
          </cell>
          <cell r="R124"/>
          <cell r="S124">
            <v>600</v>
          </cell>
          <cell r="T124">
            <v>1080</v>
          </cell>
          <cell r="U124">
            <v>11100</v>
          </cell>
          <cell r="V124">
            <v>972</v>
          </cell>
          <cell r="W124">
            <v>1458</v>
          </cell>
          <cell r="X124">
            <v>756.00000000000011</v>
          </cell>
          <cell r="Y124">
            <v>3600</v>
          </cell>
          <cell r="Z124">
            <v>29400</v>
          </cell>
        </row>
        <row r="125">
          <cell r="B125" t="str">
            <v>Tanzania</v>
          </cell>
          <cell r="C125" t="str">
            <v>Tanzania</v>
          </cell>
          <cell r="D125" t="str">
            <v>TZA</v>
          </cell>
          <cell r="E125" t="str">
            <v>RBA</v>
          </cell>
          <cell r="F125"/>
          <cell r="G125"/>
          <cell r="H125">
            <v>1</v>
          </cell>
          <cell r="I125" t="str">
            <v>a.Tranche 1 &amp; 2</v>
          </cell>
          <cell r="J125" t="str">
            <v>a.STAR</v>
          </cell>
          <cell r="K125" t="str">
            <v>UNDP</v>
          </cell>
          <cell r="L125" t="str">
            <v/>
          </cell>
          <cell r="M125" t="str">
            <v>UNDP OP8 COB - UNDP CO</v>
          </cell>
          <cell r="N125" t="str">
            <v>UNDP Action</v>
          </cell>
          <cell r="O125">
            <v>8136</v>
          </cell>
          <cell r="P125">
            <v>117</v>
          </cell>
          <cell r="Q125">
            <v>374.40000000000003</v>
          </cell>
          <cell r="R125"/>
          <cell r="S125">
            <v>0</v>
          </cell>
          <cell r="T125">
            <v>468</v>
          </cell>
          <cell r="U125">
            <v>3770.4</v>
          </cell>
          <cell r="V125">
            <v>421.2</v>
          </cell>
          <cell r="W125">
            <v>631.80000000000007</v>
          </cell>
          <cell r="X125">
            <v>327.60000000000002</v>
          </cell>
          <cell r="Y125">
            <v>3855.6</v>
          </cell>
          <cell r="Z125">
            <v>18102</v>
          </cell>
        </row>
        <row r="126">
          <cell r="B126" t="str">
            <v xml:space="preserve">Thailand </v>
          </cell>
          <cell r="C126" t="str">
            <v>Thailand</v>
          </cell>
          <cell r="D126" t="str">
            <v>THA</v>
          </cell>
          <cell r="E126" t="str">
            <v>RBAP</v>
          </cell>
          <cell r="F126"/>
          <cell r="G126"/>
          <cell r="H126">
            <v>3</v>
          </cell>
          <cell r="I126" t="str">
            <v>a.Tranche 1 &amp; 2</v>
          </cell>
          <cell r="J126" t="str">
            <v>b.No STAR</v>
          </cell>
          <cell r="K126" t="str">
            <v>UNDP</v>
          </cell>
          <cell r="L126" t="str">
            <v/>
          </cell>
          <cell r="M126" t="str">
            <v>UNDP OP8 COB - UNDP CO</v>
          </cell>
          <cell r="N126" t="str">
            <v>UNDP Action</v>
          </cell>
          <cell r="O126">
            <v>8604.9880036294471</v>
          </cell>
          <cell r="P126">
            <v>275.52134280621465</v>
          </cell>
          <cell r="Q126">
            <v>881.6682969798868</v>
          </cell>
          <cell r="R126"/>
          <cell r="S126">
            <v>455.77703546194442</v>
          </cell>
          <cell r="T126">
            <v>1102.0853712248586</v>
          </cell>
          <cell r="U126">
            <v>11234.887044752235</v>
          </cell>
          <cell r="V126">
            <v>991.87683410237264</v>
          </cell>
          <cell r="W126">
            <v>1487.8152511535591</v>
          </cell>
          <cell r="X126">
            <v>771.45975985740097</v>
          </cell>
          <cell r="Y126">
            <v>3665.7119680711562</v>
          </cell>
          <cell r="Z126">
            <v>29471.790908039075</v>
          </cell>
        </row>
        <row r="127">
          <cell r="B127" t="str">
            <v>Timor-Leste</v>
          </cell>
          <cell r="C127" t="str">
            <v>Timor-Leste</v>
          </cell>
          <cell r="D127" t="str">
            <v>TLS</v>
          </cell>
          <cell r="E127" t="str">
            <v>RBAP</v>
          </cell>
          <cell r="F127"/>
          <cell r="G127"/>
          <cell r="H127">
            <v>2</v>
          </cell>
          <cell r="I127" t="str">
            <v>a.Tranche 1 &amp; 2</v>
          </cell>
          <cell r="J127" t="str">
            <v>a.STAR</v>
          </cell>
          <cell r="K127" t="str">
            <v>UNDP</v>
          </cell>
          <cell r="L127" t="str">
            <v>Yes</v>
          </cell>
          <cell r="M127" t="str">
            <v>n.End of June 2026</v>
          </cell>
          <cell r="N127" t="str">
            <v>UNOPS Action</v>
          </cell>
          <cell r="O127">
            <v>5673.75</v>
          </cell>
          <cell r="P127">
            <v>122.4</v>
          </cell>
          <cell r="Q127">
            <v>391.68</v>
          </cell>
          <cell r="R127"/>
          <cell r="S127">
            <v>375</v>
          </cell>
          <cell r="T127">
            <v>489.6</v>
          </cell>
          <cell r="U127">
            <v>4479</v>
          </cell>
          <cell r="V127">
            <v>440.64</v>
          </cell>
          <cell r="W127">
            <v>660.96</v>
          </cell>
          <cell r="X127">
            <v>342.72</v>
          </cell>
          <cell r="Y127">
            <v>1943.25</v>
          </cell>
          <cell r="Z127">
            <v>14918.999999999998</v>
          </cell>
        </row>
        <row r="128">
          <cell r="B128" t="str">
            <v>Togo</v>
          </cell>
          <cell r="C128" t="str">
            <v>Togo</v>
          </cell>
          <cell r="D128" t="str">
            <v>TGO</v>
          </cell>
          <cell r="E128" t="str">
            <v>RBA</v>
          </cell>
          <cell r="F128"/>
          <cell r="G128"/>
          <cell r="H128">
            <v>2</v>
          </cell>
          <cell r="I128" t="str">
            <v>a.Tranche 1 &amp; 2</v>
          </cell>
          <cell r="J128" t="str">
            <v>a.STAR</v>
          </cell>
          <cell r="K128" t="str">
            <v>UNDP</v>
          </cell>
          <cell r="L128" t="str">
            <v/>
          </cell>
          <cell r="M128" t="str">
            <v>UNDP OP8 COB - UNDP CO</v>
          </cell>
          <cell r="N128" t="str">
            <v>UNDP Action</v>
          </cell>
          <cell r="O128">
            <v>10500</v>
          </cell>
          <cell r="P128">
            <v>262.5</v>
          </cell>
          <cell r="Q128">
            <v>840</v>
          </cell>
          <cell r="R128"/>
          <cell r="S128">
            <v>600</v>
          </cell>
          <cell r="T128">
            <v>1050</v>
          </cell>
          <cell r="U128">
            <v>7500</v>
          </cell>
          <cell r="V128">
            <v>945</v>
          </cell>
          <cell r="W128">
            <v>1417.5</v>
          </cell>
          <cell r="X128">
            <v>735.00000000000011</v>
          </cell>
          <cell r="Y128">
            <v>1500</v>
          </cell>
          <cell r="Z128">
            <v>25350</v>
          </cell>
        </row>
        <row r="129">
          <cell r="B129" t="str">
            <v>Tokelau</v>
          </cell>
          <cell r="C129" t="str">
            <v>Tokelau</v>
          </cell>
          <cell r="D129" t="str">
            <v>TKL</v>
          </cell>
          <cell r="E129" t="str">
            <v>RBAP</v>
          </cell>
          <cell r="F129" t="str">
            <v>SRO</v>
          </cell>
          <cell r="G129"/>
          <cell r="H129">
            <v>5</v>
          </cell>
          <cell r="I129" t="str">
            <v>d.Not UNDP</v>
          </cell>
          <cell r="J129" t="str">
            <v/>
          </cell>
          <cell r="K129" t="str">
            <v>N/A</v>
          </cell>
          <cell r="L129" t="str">
            <v/>
          </cell>
          <cell r="M129" t="str">
            <v>N/A</v>
          </cell>
          <cell r="N129" t="str">
            <v>N/A</v>
          </cell>
          <cell r="O129" t="str">
            <v/>
          </cell>
          <cell r="P129" t="str">
            <v/>
          </cell>
          <cell r="Q129" t="str">
            <v/>
          </cell>
          <cell r="R129"/>
          <cell r="S129" t="str">
            <v/>
          </cell>
          <cell r="T129" t="str">
            <v/>
          </cell>
          <cell r="U129" t="str">
            <v/>
          </cell>
          <cell r="V129" t="str">
            <v/>
          </cell>
          <cell r="W129" t="str">
            <v/>
          </cell>
          <cell r="X129" t="str">
            <v/>
          </cell>
          <cell r="Y129" t="str">
            <v/>
          </cell>
          <cell r="Z129">
            <v>0</v>
          </cell>
        </row>
        <row r="130">
          <cell r="B130" t="str">
            <v>Tonga</v>
          </cell>
          <cell r="C130" t="str">
            <v>Tonga</v>
          </cell>
          <cell r="D130" t="str">
            <v>TON</v>
          </cell>
          <cell r="E130" t="str">
            <v>RBAP</v>
          </cell>
          <cell r="F130" t="str">
            <v>SRO</v>
          </cell>
          <cell r="G130" t="str">
            <v>NHI</v>
          </cell>
          <cell r="H130">
            <v>4</v>
          </cell>
          <cell r="I130" t="str">
            <v>a.Tranche 1 &amp; 2</v>
          </cell>
          <cell r="J130" t="str">
            <v>a.STAR</v>
          </cell>
          <cell r="K130" t="str">
            <v>NHI</v>
          </cell>
          <cell r="L130" t="str">
            <v>Yes</v>
          </cell>
          <cell r="M130" t="str">
            <v>n.End of June 2026</v>
          </cell>
          <cell r="N130" t="str">
            <v>UNOPS Action</v>
          </cell>
          <cell r="O130">
            <v>7999.9999999999991</v>
          </cell>
          <cell r="P130">
            <v>1032.55</v>
          </cell>
          <cell r="Q130">
            <v>3304.16</v>
          </cell>
          <cell r="R130">
            <v>6730</v>
          </cell>
          <cell r="S130">
            <v>0</v>
          </cell>
          <cell r="T130">
            <v>4130.2</v>
          </cell>
          <cell r="U130">
            <v>0</v>
          </cell>
          <cell r="V130">
            <v>3717.18</v>
          </cell>
          <cell r="W130">
            <v>5575.77</v>
          </cell>
          <cell r="X130">
            <v>2891.1400000000003</v>
          </cell>
          <cell r="Y130">
            <v>5000</v>
          </cell>
          <cell r="Z130">
            <v>40381</v>
          </cell>
        </row>
        <row r="131">
          <cell r="B131" t="str">
            <v>Trinidad &amp; Tobago</v>
          </cell>
          <cell r="C131" t="str">
            <v>Trinidad &amp; Tobago</v>
          </cell>
          <cell r="D131" t="str">
            <v>TTO</v>
          </cell>
          <cell r="E131" t="str">
            <v>RBLAC</v>
          </cell>
          <cell r="F131"/>
          <cell r="G131"/>
          <cell r="H131">
            <v>3</v>
          </cell>
          <cell r="I131" t="str">
            <v>a.Tranche 1 &amp; 2</v>
          </cell>
          <cell r="J131" t="str">
            <v>b.No STAR</v>
          </cell>
          <cell r="K131" t="str">
            <v>UNDP</v>
          </cell>
          <cell r="L131" t="str">
            <v>Yes</v>
          </cell>
          <cell r="M131" t="str">
            <v>n.End of June 2026</v>
          </cell>
          <cell r="N131" t="str">
            <v>UNOPS Action</v>
          </cell>
          <cell r="O131">
            <v>817.38621305969002</v>
          </cell>
          <cell r="P131">
            <v>40.869310652984502</v>
          </cell>
          <cell r="Q131">
            <v>130.7817940895504</v>
          </cell>
          <cell r="R131"/>
          <cell r="S131">
            <v>408.69310652984501</v>
          </cell>
          <cell r="T131">
            <v>163.47724261193801</v>
          </cell>
          <cell r="U131">
            <v>13855.513697574806</v>
          </cell>
          <cell r="V131">
            <v>147.12951835074421</v>
          </cell>
          <cell r="W131">
            <v>220.69427752611631</v>
          </cell>
          <cell r="X131">
            <v>114.43406982835661</v>
          </cell>
          <cell r="Y131">
            <v>10626.020769775969</v>
          </cell>
          <cell r="Z131">
            <v>26525</v>
          </cell>
        </row>
        <row r="132">
          <cell r="B132" t="str">
            <v>Tunisia</v>
          </cell>
          <cell r="C132" t="str">
            <v>Tunisia</v>
          </cell>
          <cell r="D132" t="str">
            <v>TUN</v>
          </cell>
          <cell r="E132" t="str">
            <v>RBAS</v>
          </cell>
          <cell r="F132"/>
          <cell r="G132"/>
          <cell r="H132">
            <v>2</v>
          </cell>
          <cell r="I132" t="str">
            <v>a.Tranche 1 &amp; 2</v>
          </cell>
          <cell r="J132" t="str">
            <v>a.STAR</v>
          </cell>
          <cell r="K132" t="str">
            <v>UNDP</v>
          </cell>
          <cell r="L132" t="str">
            <v>Yes</v>
          </cell>
          <cell r="M132" t="str">
            <v>n.End of June 2026</v>
          </cell>
          <cell r="N132" t="str">
            <v>UNOPS Action</v>
          </cell>
          <cell r="O132">
            <v>19926.767441860466</v>
          </cell>
          <cell r="P132">
            <v>282.64752093023253</v>
          </cell>
          <cell r="Q132">
            <v>904.47206697674414</v>
          </cell>
          <cell r="R132"/>
          <cell r="S132">
            <v>0</v>
          </cell>
          <cell r="T132">
            <v>1130.5900837209301</v>
          </cell>
          <cell r="U132">
            <v>6459.3984186046509</v>
          </cell>
          <cell r="V132">
            <v>1017.531075348837</v>
          </cell>
          <cell r="W132">
            <v>1526.2966130232558</v>
          </cell>
          <cell r="X132">
            <v>791.41305860465116</v>
          </cell>
          <cell r="Y132">
            <v>1562.8837209302326</v>
          </cell>
          <cell r="Z132">
            <v>33602</v>
          </cell>
        </row>
        <row r="133">
          <cell r="B133" t="str">
            <v>Turkey</v>
          </cell>
          <cell r="C133" t="str">
            <v>Turkey</v>
          </cell>
          <cell r="D133" t="str">
            <v>TUR</v>
          </cell>
          <cell r="E133" t="str">
            <v>RBEC</v>
          </cell>
          <cell r="F133"/>
          <cell r="G133"/>
          <cell r="H133">
            <v>3</v>
          </cell>
          <cell r="I133" t="str">
            <v>a.Tranche 1 &amp; 2</v>
          </cell>
          <cell r="J133" t="str">
            <v>a.STAR</v>
          </cell>
          <cell r="K133" t="str">
            <v>UNDP - WFH</v>
          </cell>
          <cell r="L133" t="str">
            <v>Yes</v>
          </cell>
          <cell r="M133" t="str">
            <v>n.End of June 2026</v>
          </cell>
          <cell r="N133" t="str">
            <v>UNOPS Action</v>
          </cell>
          <cell r="O133">
            <v>3267.7248677248676</v>
          </cell>
          <cell r="P133">
            <v>516.70899470899474</v>
          </cell>
          <cell r="Q133">
            <v>1653.4687830687833</v>
          </cell>
          <cell r="R133"/>
          <cell r="S133">
            <v>0</v>
          </cell>
          <cell r="T133">
            <v>2066.8359788359789</v>
          </cell>
          <cell r="U133">
            <v>204.23280423280423</v>
          </cell>
          <cell r="V133">
            <v>1860.152380952381</v>
          </cell>
          <cell r="W133">
            <v>2790.2285714285717</v>
          </cell>
          <cell r="X133">
            <v>1446.7851851851854</v>
          </cell>
          <cell r="Y133">
            <v>1633.8624338624338</v>
          </cell>
          <cell r="Z133">
            <v>15440</v>
          </cell>
        </row>
        <row r="134">
          <cell r="B134" t="str">
            <v>Turkmenistan</v>
          </cell>
          <cell r="C134" t="str">
            <v>Turkmenistan</v>
          </cell>
          <cell r="D134" t="str">
            <v>TKM</v>
          </cell>
          <cell r="E134" t="str">
            <v>RBEC</v>
          </cell>
          <cell r="F134"/>
          <cell r="G134"/>
          <cell r="H134">
            <v>5</v>
          </cell>
          <cell r="I134" t="str">
            <v>d.Not UNDP</v>
          </cell>
          <cell r="J134" t="str">
            <v/>
          </cell>
          <cell r="K134" t="str">
            <v>N/A</v>
          </cell>
          <cell r="L134" t="str">
            <v/>
          </cell>
          <cell r="M134" t="str">
            <v>N/A</v>
          </cell>
          <cell r="N134" t="str">
            <v>N/A</v>
          </cell>
          <cell r="O134" t="str">
            <v/>
          </cell>
          <cell r="P134" t="str">
            <v/>
          </cell>
          <cell r="Q134" t="str">
            <v/>
          </cell>
          <cell r="R134"/>
          <cell r="S134" t="str">
            <v/>
          </cell>
          <cell r="T134" t="str">
            <v/>
          </cell>
          <cell r="U134" t="str">
            <v/>
          </cell>
          <cell r="V134" t="str">
            <v/>
          </cell>
          <cell r="W134" t="str">
            <v/>
          </cell>
          <cell r="X134" t="str">
            <v/>
          </cell>
          <cell r="Y134" t="str">
            <v/>
          </cell>
          <cell r="Z134">
            <v>0</v>
          </cell>
        </row>
        <row r="135">
          <cell r="B135" t="str">
            <v>Tuvalu</v>
          </cell>
          <cell r="C135" t="str">
            <v>Tuvalu</v>
          </cell>
          <cell r="D135" t="str">
            <v>TUV</v>
          </cell>
          <cell r="E135" t="str">
            <v>RBAP</v>
          </cell>
          <cell r="F135" t="str">
            <v>SRO</v>
          </cell>
          <cell r="G135" t="str">
            <v>NHI</v>
          </cell>
          <cell r="H135">
            <v>4</v>
          </cell>
          <cell r="I135" t="str">
            <v>c.Tranche 2 Only</v>
          </cell>
          <cell r="J135" t="str">
            <v>b.No STAR</v>
          </cell>
          <cell r="K135" t="str">
            <v>NHI</v>
          </cell>
          <cell r="L135" t="str">
            <v>Yes</v>
          </cell>
          <cell r="M135" t="str">
            <v>n.End of June 2026</v>
          </cell>
          <cell r="N135" t="str">
            <v>UNOPS Action</v>
          </cell>
          <cell r="O135">
            <v>0</v>
          </cell>
          <cell r="P135">
            <v>179.16666666666666</v>
          </cell>
          <cell r="Q135">
            <v>573.33333333333326</v>
          </cell>
          <cell r="R135">
            <v>4000</v>
          </cell>
          <cell r="S135">
            <v>895.83333333333337</v>
          </cell>
          <cell r="T135">
            <v>716.66666666666663</v>
          </cell>
          <cell r="U135">
            <v>2575.5208333333335</v>
          </cell>
          <cell r="V135">
            <v>644.99999999999989</v>
          </cell>
          <cell r="W135">
            <v>967.5</v>
          </cell>
          <cell r="X135">
            <v>501.66666666666669</v>
          </cell>
          <cell r="Y135">
            <v>0</v>
          </cell>
          <cell r="Z135">
            <v>11054.6875</v>
          </cell>
        </row>
        <row r="136">
          <cell r="B136" t="str">
            <v>Uganda</v>
          </cell>
          <cell r="C136" t="str">
            <v>Uganda</v>
          </cell>
          <cell r="D136" t="str">
            <v>UGA</v>
          </cell>
          <cell r="E136" t="str">
            <v>RBA</v>
          </cell>
          <cell r="F136"/>
          <cell r="G136"/>
          <cell r="H136">
            <v>3</v>
          </cell>
          <cell r="I136" t="str">
            <v>b.Tranche 1 Only</v>
          </cell>
          <cell r="J136" t="str">
            <v>b.No STAR</v>
          </cell>
          <cell r="K136" t="str">
            <v>Private Lease</v>
          </cell>
          <cell r="L136" t="str">
            <v>Yes</v>
          </cell>
          <cell r="M136" t="str">
            <v>n.End of June 2026</v>
          </cell>
          <cell r="N136" t="str">
            <v>UNOPS Action</v>
          </cell>
          <cell r="O136">
            <v>10565.38962310328</v>
          </cell>
          <cell r="P136">
            <v>684.28255832925436</v>
          </cell>
          <cell r="Q136">
            <v>2189.7041866536138</v>
          </cell>
          <cell r="R136"/>
          <cell r="S136">
            <v>1673.0624898025778</v>
          </cell>
          <cell r="T136">
            <v>2737.1302333170174</v>
          </cell>
          <cell r="U136">
            <v>21130.779246206559</v>
          </cell>
          <cell r="V136">
            <v>2463.4172099853154</v>
          </cell>
          <cell r="W136">
            <v>3695.1258149779737</v>
          </cell>
          <cell r="X136">
            <v>1915.9911633219124</v>
          </cell>
          <cell r="Y136">
            <v>4216.1174743024967</v>
          </cell>
          <cell r="Z136">
            <v>51271</v>
          </cell>
        </row>
        <row r="137">
          <cell r="B137" t="str">
            <v>Ukraine</v>
          </cell>
          <cell r="C137" t="str">
            <v>Ukraine</v>
          </cell>
          <cell r="D137" t="str">
            <v>UKR</v>
          </cell>
          <cell r="E137" t="str">
            <v>RBEC</v>
          </cell>
          <cell r="F137"/>
          <cell r="G137"/>
          <cell r="H137">
            <v>2</v>
          </cell>
          <cell r="I137" t="str">
            <v>a.Tranche 1 &amp; 2</v>
          </cell>
          <cell r="J137" t="str">
            <v>a.STAR</v>
          </cell>
          <cell r="K137" t="str">
            <v>Private Lease</v>
          </cell>
          <cell r="L137" t="str">
            <v/>
          </cell>
          <cell r="M137" t="str">
            <v>k.End of Mar 2026</v>
          </cell>
          <cell r="N137" t="str">
            <v>UNOPS Action</v>
          </cell>
          <cell r="O137">
            <v>1974.9452797742404</v>
          </cell>
          <cell r="P137">
            <v>204.83442832576395</v>
          </cell>
          <cell r="Q137">
            <v>655.4701706424446</v>
          </cell>
          <cell r="R137"/>
          <cell r="S137">
            <v>2018.4725957934654</v>
          </cell>
          <cell r="T137">
            <v>819.33771330305581</v>
          </cell>
          <cell r="U137">
            <v>9985.6783808809905</v>
          </cell>
          <cell r="V137">
            <v>737.40394197275009</v>
          </cell>
          <cell r="W137">
            <v>1106.1059129591254</v>
          </cell>
          <cell r="X137">
            <v>573.53639931213911</v>
          </cell>
          <cell r="Y137">
            <v>1280.2151770360247</v>
          </cell>
          <cell r="Z137">
            <v>19356</v>
          </cell>
        </row>
        <row r="138">
          <cell r="B138" t="str">
            <v>Uruguay</v>
          </cell>
          <cell r="C138" t="str">
            <v>Uruguay</v>
          </cell>
          <cell r="D138" t="str">
            <v>URY</v>
          </cell>
          <cell r="E138" t="str">
            <v>RBLAC</v>
          </cell>
          <cell r="F138"/>
          <cell r="G138"/>
          <cell r="H138">
            <v>3</v>
          </cell>
          <cell r="I138" t="str">
            <v>a.Tranche 1 &amp; 2</v>
          </cell>
          <cell r="J138" t="str">
            <v>a.STAR</v>
          </cell>
          <cell r="K138" t="str">
            <v>UNDP</v>
          </cell>
          <cell r="L138" t="str">
            <v/>
          </cell>
          <cell r="M138" t="str">
            <v>UNDP OP8 COB - UNDP CO</v>
          </cell>
          <cell r="N138" t="str">
            <v>UNDP Action</v>
          </cell>
          <cell r="O138">
            <v>216</v>
          </cell>
          <cell r="P138">
            <v>361.8</v>
          </cell>
          <cell r="Q138">
            <v>1157.76</v>
          </cell>
          <cell r="R138"/>
          <cell r="S138">
            <v>60</v>
          </cell>
          <cell r="T138">
            <v>1447.2</v>
          </cell>
          <cell r="U138">
            <v>2160</v>
          </cell>
          <cell r="V138">
            <v>1302.48</v>
          </cell>
          <cell r="W138">
            <v>1953.72</v>
          </cell>
          <cell r="X138">
            <v>1013.0400000000001</v>
          </cell>
          <cell r="Y138">
            <v>480</v>
          </cell>
          <cell r="Z138">
            <v>10152</v>
          </cell>
        </row>
        <row r="139">
          <cell r="B139" t="str">
            <v>Uzbekistan</v>
          </cell>
          <cell r="C139" t="str">
            <v>Uzbekistan</v>
          </cell>
          <cell r="D139" t="str">
            <v>UZB</v>
          </cell>
          <cell r="E139" t="str">
            <v>RBEC</v>
          </cell>
          <cell r="F139"/>
          <cell r="G139"/>
          <cell r="H139">
            <v>3</v>
          </cell>
          <cell r="I139" t="str">
            <v>c.Tranche 2 Only</v>
          </cell>
          <cell r="J139" t="str">
            <v>a.STAR</v>
          </cell>
          <cell r="K139" t="str">
            <v>UNDP</v>
          </cell>
          <cell r="L139" t="str">
            <v>Yes</v>
          </cell>
          <cell r="M139" t="str">
            <v>n.End of June 2026</v>
          </cell>
          <cell r="N139" t="str">
            <v>UNOPS Action</v>
          </cell>
          <cell r="O139">
            <v>3525</v>
          </cell>
          <cell r="P139">
            <v>388.125</v>
          </cell>
          <cell r="Q139">
            <v>1242</v>
          </cell>
          <cell r="R139"/>
          <cell r="S139">
            <v>0</v>
          </cell>
          <cell r="T139">
            <v>1552.5</v>
          </cell>
          <cell r="U139">
            <v>3450</v>
          </cell>
          <cell r="V139">
            <v>1397.25</v>
          </cell>
          <cell r="W139">
            <v>2095.875</v>
          </cell>
          <cell r="X139">
            <v>1086.75</v>
          </cell>
          <cell r="Y139">
            <v>7500.0000000000009</v>
          </cell>
          <cell r="Z139">
            <v>22237.5</v>
          </cell>
        </row>
        <row r="140">
          <cell r="B140" t="str">
            <v>Vanuatu</v>
          </cell>
          <cell r="C140" t="str">
            <v>Vanuatu</v>
          </cell>
          <cell r="D140" t="str">
            <v>VUT</v>
          </cell>
          <cell r="E140" t="str">
            <v>RBAP</v>
          </cell>
          <cell r="F140" t="str">
            <v>SRO</v>
          </cell>
          <cell r="G140"/>
          <cell r="H140">
            <v>3</v>
          </cell>
          <cell r="I140" t="str">
            <v>a.Tranche 1 &amp; 2</v>
          </cell>
          <cell r="J140" t="str">
            <v>a.STAR</v>
          </cell>
          <cell r="K140" t="str">
            <v>UN Compound</v>
          </cell>
          <cell r="L140" t="str">
            <v/>
          </cell>
          <cell r="M140" t="str">
            <v>UNDP OP8 COB - UN Compound</v>
          </cell>
          <cell r="N140" t="str">
            <v>UNDP Action</v>
          </cell>
          <cell r="O140">
            <v>4260</v>
          </cell>
          <cell r="P140">
            <v>78</v>
          </cell>
          <cell r="Q140">
            <v>249.6</v>
          </cell>
          <cell r="R140"/>
          <cell r="S140">
            <v>180</v>
          </cell>
          <cell r="T140">
            <v>312</v>
          </cell>
          <cell r="U140">
            <v>17124</v>
          </cell>
          <cell r="V140">
            <v>280.8</v>
          </cell>
          <cell r="W140">
            <v>421.20000000000005</v>
          </cell>
          <cell r="X140">
            <v>218.40000000000003</v>
          </cell>
          <cell r="Y140">
            <v>1728</v>
          </cell>
          <cell r="Z140">
            <v>24852</v>
          </cell>
        </row>
        <row r="141">
          <cell r="B141" t="str">
            <v>Venezuela</v>
          </cell>
          <cell r="C141" t="str">
            <v>Venezuela</v>
          </cell>
          <cell r="D141" t="str">
            <v>VEN</v>
          </cell>
          <cell r="E141" t="str">
            <v>RBLAC</v>
          </cell>
          <cell r="F141"/>
          <cell r="G141"/>
          <cell r="H141">
            <v>1</v>
          </cell>
          <cell r="I141" t="str">
            <v>b.Tranche 1 Only</v>
          </cell>
          <cell r="J141" t="str">
            <v>a.STAR</v>
          </cell>
          <cell r="K141" t="str">
            <v>UNDP</v>
          </cell>
          <cell r="L141" t="str">
            <v>Yes</v>
          </cell>
          <cell r="M141" t="str">
            <v>n.End of June 2026</v>
          </cell>
          <cell r="N141" t="str">
            <v>UNOPS Action</v>
          </cell>
          <cell r="O141">
            <v>3600</v>
          </cell>
          <cell r="P141">
            <v>221.31</v>
          </cell>
          <cell r="Q141">
            <v>708.19200000000001</v>
          </cell>
          <cell r="R141"/>
          <cell r="S141">
            <v>0</v>
          </cell>
          <cell r="T141">
            <v>885.24</v>
          </cell>
          <cell r="U141">
            <v>4799.9999999999991</v>
          </cell>
          <cell r="V141">
            <v>796.71599999999989</v>
          </cell>
          <cell r="W141">
            <v>1195.0740000000001</v>
          </cell>
          <cell r="X141">
            <v>619.66800000000001</v>
          </cell>
          <cell r="Y141">
            <v>599.99999999999989</v>
          </cell>
          <cell r="Z141">
            <v>13426.199999999999</v>
          </cell>
        </row>
        <row r="142">
          <cell r="B142" t="str">
            <v>Vietnam</v>
          </cell>
          <cell r="C142" t="str">
            <v>Vietnam</v>
          </cell>
          <cell r="D142" t="str">
            <v>VNM</v>
          </cell>
          <cell r="E142" t="str">
            <v>RBAP</v>
          </cell>
          <cell r="F142"/>
          <cell r="G142"/>
          <cell r="H142">
            <v>3</v>
          </cell>
          <cell r="I142" t="str">
            <v>c.Tranche 2 Only</v>
          </cell>
          <cell r="J142" t="str">
            <v>a.STAR</v>
          </cell>
          <cell r="K142" t="str">
            <v>UNDP</v>
          </cell>
          <cell r="L142" t="str">
            <v>Yes</v>
          </cell>
          <cell r="M142" t="str">
            <v>k.End of Mar 2026</v>
          </cell>
          <cell r="N142" t="str">
            <v>UNOPS Action</v>
          </cell>
          <cell r="O142">
            <v>5000</v>
          </cell>
          <cell r="P142">
            <v>155</v>
          </cell>
          <cell r="Q142">
            <v>496</v>
          </cell>
          <cell r="R142"/>
          <cell r="S142">
            <v>0</v>
          </cell>
          <cell r="T142">
            <v>620</v>
          </cell>
          <cell r="U142">
            <v>7000</v>
          </cell>
          <cell r="V142">
            <v>558</v>
          </cell>
          <cell r="W142">
            <v>837</v>
          </cell>
          <cell r="X142">
            <v>434.00000000000006</v>
          </cell>
          <cell r="Y142">
            <v>900</v>
          </cell>
          <cell r="Z142">
            <v>16000</v>
          </cell>
        </row>
        <row r="143">
          <cell r="B143" t="str">
            <v>Yemen</v>
          </cell>
          <cell r="C143" t="str">
            <v>Yemen</v>
          </cell>
          <cell r="D143" t="str">
            <v>YEM</v>
          </cell>
          <cell r="E143" t="str">
            <v>RBAS</v>
          </cell>
          <cell r="F143"/>
          <cell r="G143"/>
          <cell r="H143">
            <v>3</v>
          </cell>
          <cell r="I143" t="str">
            <v>c.Tranche 2 Only</v>
          </cell>
          <cell r="J143" t="str">
            <v>a.STAR</v>
          </cell>
          <cell r="K143" t="str">
            <v>UNDP</v>
          </cell>
          <cell r="L143" t="str">
            <v>Yes</v>
          </cell>
          <cell r="M143" t="str">
            <v>n.End of June 2026</v>
          </cell>
          <cell r="N143" t="str">
            <v>UNOPS Action</v>
          </cell>
          <cell r="O143">
            <v>24045.599999999999</v>
          </cell>
          <cell r="P143">
            <v>32.4</v>
          </cell>
          <cell r="Q143">
            <v>103.67999999999998</v>
          </cell>
          <cell r="R143"/>
          <cell r="S143">
            <v>180</v>
          </cell>
          <cell r="T143">
            <v>129.6</v>
          </cell>
          <cell r="U143">
            <v>26034.6</v>
          </cell>
          <cell r="V143">
            <v>116.63999999999997</v>
          </cell>
          <cell r="W143">
            <v>174.95999999999998</v>
          </cell>
          <cell r="X143">
            <v>90.72</v>
          </cell>
          <cell r="Y143">
            <v>1800</v>
          </cell>
          <cell r="Z143">
            <v>52708.2</v>
          </cell>
        </row>
        <row r="144">
          <cell r="B144" t="str">
            <v>Zambia</v>
          </cell>
          <cell r="C144" t="str">
            <v>Zambia</v>
          </cell>
          <cell r="D144" t="str">
            <v>ZMB</v>
          </cell>
          <cell r="E144" t="str">
            <v>RBA</v>
          </cell>
          <cell r="F144"/>
          <cell r="G144"/>
          <cell r="H144">
            <v>2</v>
          </cell>
          <cell r="I144" t="str">
            <v>a.Tranche 1 &amp; 2</v>
          </cell>
          <cell r="J144" t="str">
            <v>a.STAR</v>
          </cell>
          <cell r="K144" t="str">
            <v>UNDP</v>
          </cell>
          <cell r="L144" t="str">
            <v/>
          </cell>
          <cell r="M144" t="str">
            <v>UNDP OP8 COB - UNDP CO</v>
          </cell>
          <cell r="N144" t="str">
            <v>UNDP Action</v>
          </cell>
          <cell r="O144">
            <v>19716.892061631217</v>
          </cell>
          <cell r="P144">
            <v>274.67242714788148</v>
          </cell>
          <cell r="Q144">
            <v>878.95176687322066</v>
          </cell>
          <cell r="R144"/>
          <cell r="S144">
            <v>248.0112209010216</v>
          </cell>
          <cell r="T144">
            <v>1098.6897085915259</v>
          </cell>
          <cell r="U144">
            <v>6355.7008876235141</v>
          </cell>
          <cell r="V144">
            <v>988.82073773237312</v>
          </cell>
          <cell r="W144">
            <v>1483.2311065985598</v>
          </cell>
          <cell r="X144">
            <v>769.08279601406809</v>
          </cell>
          <cell r="Y144">
            <v>7675.9472868866187</v>
          </cell>
          <cell r="Z144">
            <v>39490.000000000007</v>
          </cell>
        </row>
        <row r="145">
          <cell r="B145" t="str">
            <v>Zimbabwe</v>
          </cell>
          <cell r="C145" t="str">
            <v>Zimbabwe</v>
          </cell>
          <cell r="D145" t="str">
            <v>ZWE</v>
          </cell>
          <cell r="E145" t="str">
            <v>RBA</v>
          </cell>
          <cell r="F145"/>
          <cell r="G145"/>
          <cell r="H145">
            <v>2</v>
          </cell>
          <cell r="I145" t="str">
            <v>a.Tranche 1 &amp; 2</v>
          </cell>
          <cell r="J145" t="str">
            <v>a.STAR</v>
          </cell>
          <cell r="K145" t="str">
            <v>UNDP</v>
          </cell>
          <cell r="L145" t="str">
            <v/>
          </cell>
          <cell r="M145" t="str">
            <v>UNDP OP8 COB - UNDP CO</v>
          </cell>
          <cell r="N145" t="str">
            <v>UNDP Action</v>
          </cell>
          <cell r="O145">
            <v>19370.747724137931</v>
          </cell>
          <cell r="P145">
            <v>474.88752413793111</v>
          </cell>
          <cell r="Q145">
            <v>1519.6400772413795</v>
          </cell>
          <cell r="R145"/>
          <cell r="S145">
            <v>1776.0465517241378</v>
          </cell>
          <cell r="T145">
            <v>1899.5500965517244</v>
          </cell>
          <cell r="U145">
            <v>18580.179310344825</v>
          </cell>
          <cell r="V145">
            <v>1709.5950868965519</v>
          </cell>
          <cell r="W145">
            <v>2564.3926303448279</v>
          </cell>
          <cell r="X145">
            <v>1329.6850675862072</v>
          </cell>
          <cell r="Y145">
            <v>3601.2759310344827</v>
          </cell>
          <cell r="Z145">
            <v>52826</v>
          </cell>
        </row>
      </sheetData>
      <sheetData sheetId="3"/>
      <sheetData sheetId="4"/>
      <sheetData sheetId="5">
        <row r="5">
          <cell r="B5">
            <v>50000</v>
          </cell>
          <cell r="C5">
            <v>50000</v>
          </cell>
          <cell r="D5">
            <v>50000</v>
          </cell>
          <cell r="E5">
            <v>0</v>
          </cell>
        </row>
        <row r="6">
          <cell r="B6">
            <v>928310</v>
          </cell>
          <cell r="C6">
            <v>1173317</v>
          </cell>
          <cell r="D6">
            <v>1173317</v>
          </cell>
          <cell r="E6">
            <v>218100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lobal"/>
      <sheetName val="Global_UN2UN"/>
      <sheetName val="BU breakdown"/>
      <sheetName val="Global_UN2UN&amp;COB"/>
      <sheetName val="2026 COB_BR"/>
      <sheetName val="budget_2026 COB"/>
      <sheetName val="2025 COB"/>
      <sheetName val="Country"/>
      <sheetName val="budget_Brazil"/>
      <sheetName val="budget_India"/>
      <sheetName val="budget_Philippines"/>
      <sheetName val="budget_Egypt"/>
      <sheetName val="RPA_Kris"/>
      <sheetName val="budget_UN2UN"/>
      <sheetName val="UN2UN Amend 1"/>
      <sheetName val="UN2UN"/>
      <sheetName val="breakdown"/>
      <sheetName val="OP8 PIF1 Analysis"/>
      <sheetName val="TBWP_CORE&amp;STAR"/>
      <sheetName val="clean TBWP"/>
      <sheetName val="funds summary"/>
      <sheetName val="TBWP_Corp Res"/>
      <sheetName val="TBWP_BPPS"/>
      <sheetName val="TBWP_GEF"/>
      <sheetName val="original TBWP_ProDoc"/>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B3">
            <v>456818.18</v>
          </cell>
          <cell r="C3">
            <v>456818.18</v>
          </cell>
          <cell r="D3">
            <v>456818.18</v>
          </cell>
          <cell r="E3">
            <v>456818.18</v>
          </cell>
        </row>
        <row r="4">
          <cell r="B4">
            <v>2680000</v>
          </cell>
          <cell r="C4">
            <v>3350000</v>
          </cell>
          <cell r="D4">
            <v>3350000</v>
          </cell>
          <cell r="E4">
            <v>954750</v>
          </cell>
        </row>
        <row r="5">
          <cell r="B5">
            <v>50000</v>
          </cell>
          <cell r="C5">
            <v>50000</v>
          </cell>
          <cell r="D5">
            <v>50000</v>
          </cell>
          <cell r="E5">
            <v>0</v>
          </cell>
        </row>
        <row r="6">
          <cell r="B6">
            <v>928310</v>
          </cell>
          <cell r="C6">
            <v>1173317</v>
          </cell>
          <cell r="D6">
            <v>1173317</v>
          </cell>
          <cell r="E6">
            <v>218100</v>
          </cell>
        </row>
      </sheetData>
      <sheetData sheetId="13"/>
      <sheetData sheetId="14"/>
      <sheetData sheetId="15"/>
      <sheetData sheetId="16">
        <row r="6">
          <cell r="A6">
            <v>61200</v>
          </cell>
          <cell r="B6" t="str">
            <v>Salaries Costs - GS Staff</v>
          </cell>
          <cell r="C6">
            <v>0.12541220571794415</v>
          </cell>
          <cell r="D6">
            <v>0.13013773205552048</v>
          </cell>
          <cell r="E6">
            <v>0.12068549947537417</v>
          </cell>
          <cell r="F6">
            <v>0.12523292373180631</v>
          </cell>
          <cell r="G6">
            <v>6.6840758554762389E-2</v>
          </cell>
          <cell r="H6">
            <v>6.9359315366405452E-2</v>
          </cell>
          <cell r="I6"/>
          <cell r="J6"/>
          <cell r="K6">
            <v>0.17781573799669667</v>
          </cell>
          <cell r="L6">
            <v>0.1845158271014905</v>
          </cell>
          <cell r="M6">
            <v>8.1198458687706324E-2</v>
          </cell>
          <cell r="Q6">
            <v>61200</v>
          </cell>
          <cell r="R6" t="str">
            <v>Salaries Costs - GS Staff</v>
          </cell>
          <cell r="S6"/>
          <cell r="T6"/>
          <cell r="U6"/>
          <cell r="V6"/>
          <cell r="W6"/>
          <cell r="X6"/>
          <cell r="AK6">
            <v>61200</v>
          </cell>
          <cell r="AL6" t="str">
            <v>Salaries Costs - GS Staff</v>
          </cell>
          <cell r="AM6"/>
          <cell r="AN6"/>
          <cell r="AO6"/>
          <cell r="AP6"/>
          <cell r="AQ6"/>
          <cell r="AR6"/>
          <cell r="BE6">
            <v>61200</v>
          </cell>
          <cell r="BF6" t="str">
            <v>Salaries Costs - GS Staff</v>
          </cell>
          <cell r="BG6"/>
          <cell r="BH6"/>
          <cell r="BI6"/>
          <cell r="BJ6"/>
          <cell r="BK6"/>
          <cell r="BL6"/>
          <cell r="BM6"/>
          <cell r="BN6"/>
          <cell r="BO6"/>
          <cell r="BP6"/>
          <cell r="BQ6"/>
        </row>
        <row r="7">
          <cell r="A7">
            <v>61300</v>
          </cell>
          <cell r="B7" t="str">
            <v xml:space="preserve"> Salary &amp; Post Adj Cst-IP Staff</v>
          </cell>
          <cell r="C7">
            <v>0.13851568755862212</v>
          </cell>
          <cell r="D7">
            <v>0.14373495250957821</v>
          </cell>
          <cell r="E7">
            <v>0.13329461863907915</v>
          </cell>
          <cell r="F7">
            <v>0.13831715394519437</v>
          </cell>
          <cell r="G7">
            <v>7.382470998348678E-2</v>
          </cell>
          <cell r="H7">
            <v>7.6606421774566336E-2</v>
          </cell>
          <cell r="I7"/>
          <cell r="J7"/>
          <cell r="K7">
            <v>0.1451191855635893</v>
          </cell>
          <cell r="L7">
            <v>0.15058727002588376</v>
          </cell>
          <cell r="M7">
            <v>0.13441791997113581</v>
          </cell>
          <cell r="Q7">
            <v>61300</v>
          </cell>
          <cell r="R7" t="str">
            <v xml:space="preserve"> Salary &amp; Post Adj Cst-IP Staff</v>
          </cell>
          <cell r="S7"/>
          <cell r="T7"/>
          <cell r="U7"/>
          <cell r="V7"/>
          <cell r="W7"/>
          <cell r="X7"/>
          <cell r="AA7">
            <v>61200</v>
          </cell>
          <cell r="AB7" t="str">
            <v>Salaries Costs - GS Staff</v>
          </cell>
          <cell r="AC7"/>
          <cell r="AD7"/>
          <cell r="AE7"/>
          <cell r="AF7"/>
          <cell r="AG7"/>
          <cell r="AH7"/>
          <cell r="AK7">
            <v>61300</v>
          </cell>
          <cell r="AL7" t="str">
            <v xml:space="preserve"> Salary &amp; Post Adj Cst-IP Staff</v>
          </cell>
          <cell r="AM7"/>
          <cell r="AN7"/>
          <cell r="AO7"/>
          <cell r="AP7"/>
          <cell r="AQ7"/>
          <cell r="AR7"/>
          <cell r="AU7">
            <v>61200</v>
          </cell>
          <cell r="AV7" t="str">
            <v>Salaries Costs - GS Staff</v>
          </cell>
          <cell r="AW7"/>
          <cell r="AX7"/>
          <cell r="AY7"/>
          <cell r="AZ7"/>
          <cell r="BA7"/>
          <cell r="BB7"/>
          <cell r="BE7">
            <v>61300</v>
          </cell>
          <cell r="BF7" t="str">
            <v xml:space="preserve"> Salary &amp; Post Adj Cst-IP Staff</v>
          </cell>
          <cell r="BG7"/>
          <cell r="BH7"/>
          <cell r="BI7"/>
          <cell r="BJ7"/>
          <cell r="BK7"/>
          <cell r="BL7"/>
          <cell r="BM7"/>
          <cell r="BN7"/>
          <cell r="BO7"/>
          <cell r="BP7"/>
          <cell r="BQ7"/>
        </row>
        <row r="8">
          <cell r="A8">
            <v>71200</v>
          </cell>
          <cell r="B8" t="str">
            <v>International Consultants</v>
          </cell>
          <cell r="C8">
            <v>0.19667540782321671</v>
          </cell>
          <cell r="D8">
            <v>0.20408066368967265</v>
          </cell>
          <cell r="E8">
            <v>0.18926060680698209</v>
          </cell>
          <cell r="F8">
            <v>0.19638647330069306</v>
          </cell>
          <cell r="G8">
            <v>0.1048235508216501</v>
          </cell>
          <cell r="H8">
            <v>0.10877329755778538</v>
          </cell>
          <cell r="I8"/>
          <cell r="J8"/>
          <cell r="K8">
            <v>0</v>
          </cell>
          <cell r="L8">
            <v>0</v>
          </cell>
          <cell r="M8">
            <v>6.3493724769224389E-3</v>
          </cell>
          <cell r="Q8">
            <v>71200</v>
          </cell>
          <cell r="R8" t="str">
            <v>International Consultants</v>
          </cell>
          <cell r="S8"/>
          <cell r="T8"/>
          <cell r="U8"/>
          <cell r="V8"/>
          <cell r="W8"/>
          <cell r="X8"/>
          <cell r="AA8">
            <v>61300</v>
          </cell>
          <cell r="AB8" t="str">
            <v xml:space="preserve"> Salary &amp; Post Adj Cst-IP Staff</v>
          </cell>
          <cell r="AC8"/>
          <cell r="AD8"/>
          <cell r="AE8"/>
          <cell r="AF8"/>
          <cell r="AG8"/>
          <cell r="AH8"/>
          <cell r="AK8">
            <v>71200</v>
          </cell>
          <cell r="AL8" t="str">
            <v>International Consultants</v>
          </cell>
          <cell r="AM8"/>
          <cell r="AN8"/>
          <cell r="AO8"/>
          <cell r="AP8"/>
          <cell r="AQ8"/>
          <cell r="AR8"/>
          <cell r="AU8">
            <v>61300</v>
          </cell>
          <cell r="AV8" t="str">
            <v xml:space="preserve"> Salary &amp; Post Adj Cst-IP Staff</v>
          </cell>
          <cell r="AW8"/>
          <cell r="AX8"/>
          <cell r="AY8"/>
          <cell r="AZ8"/>
          <cell r="BA8"/>
          <cell r="BB8"/>
          <cell r="BE8">
            <v>71200</v>
          </cell>
          <cell r="BF8" t="str">
            <v>International Consultants</v>
          </cell>
          <cell r="BG8"/>
          <cell r="BH8"/>
          <cell r="BI8"/>
          <cell r="BJ8"/>
          <cell r="BK8"/>
          <cell r="BL8"/>
          <cell r="BM8"/>
          <cell r="BN8"/>
          <cell r="BO8"/>
          <cell r="BP8"/>
          <cell r="BQ8"/>
        </row>
        <row r="9">
          <cell r="A9">
            <v>71300</v>
          </cell>
          <cell r="B9" t="str">
            <v>Local Consultants</v>
          </cell>
          <cell r="C9">
            <v>0.19667223547762208</v>
          </cell>
          <cell r="D9">
            <v>0.20408283656943063</v>
          </cell>
          <cell r="E9">
            <v>0.18926071577757744</v>
          </cell>
          <cell r="F9">
            <v>0.19639205113648919</v>
          </cell>
          <cell r="G9">
            <v>0.1048212504895778</v>
          </cell>
          <cell r="H9">
            <v>0.10877091054930285</v>
          </cell>
          <cell r="I9"/>
          <cell r="J9"/>
          <cell r="K9">
            <v>0</v>
          </cell>
          <cell r="L9">
            <v>0</v>
          </cell>
          <cell r="M9">
            <v>2.5425130414369095E-2</v>
          </cell>
          <cell r="Q9">
            <v>71300</v>
          </cell>
          <cell r="R9" t="str">
            <v>Local Consultants</v>
          </cell>
          <cell r="S9">
            <v>0.28897744936910591</v>
          </cell>
          <cell r="T9">
            <v>0.27808744217685288</v>
          </cell>
          <cell r="U9">
            <v>0.15401755887197879</v>
          </cell>
          <cell r="V9">
            <v>0.27891754958206239</v>
          </cell>
          <cell r="W9">
            <v>0</v>
          </cell>
          <cell r="X9">
            <v>3.9742282846033261E-2</v>
          </cell>
          <cell r="AA9">
            <v>71200</v>
          </cell>
          <cell r="AB9" t="str">
            <v>International Consultants</v>
          </cell>
          <cell r="AC9"/>
          <cell r="AD9"/>
          <cell r="AE9"/>
          <cell r="AF9"/>
          <cell r="AG9"/>
          <cell r="AH9"/>
          <cell r="AK9">
            <v>71300</v>
          </cell>
          <cell r="AL9" t="str">
            <v>Local Consultants</v>
          </cell>
          <cell r="AM9">
            <v>0.28897744936910591</v>
          </cell>
          <cell r="AN9">
            <v>0.27808744217685288</v>
          </cell>
          <cell r="AO9">
            <v>0.15401755887197879</v>
          </cell>
          <cell r="AP9">
            <v>0.27891754958206239</v>
          </cell>
          <cell r="AQ9">
            <v>0</v>
          </cell>
          <cell r="AR9">
            <v>0.11849472993646935</v>
          </cell>
          <cell r="AU9">
            <v>71200</v>
          </cell>
          <cell r="AV9" t="str">
            <v>International Consultants</v>
          </cell>
          <cell r="AW9"/>
          <cell r="AX9"/>
          <cell r="AY9"/>
          <cell r="AZ9"/>
          <cell r="BA9"/>
          <cell r="BB9"/>
          <cell r="BE9">
            <v>71300</v>
          </cell>
          <cell r="BF9" t="str">
            <v>Local Consultants</v>
          </cell>
          <cell r="BG9"/>
          <cell r="BH9"/>
          <cell r="BI9"/>
          <cell r="BJ9"/>
          <cell r="BK9"/>
          <cell r="BL9"/>
          <cell r="BM9"/>
          <cell r="BN9"/>
          <cell r="BO9"/>
          <cell r="BP9"/>
          <cell r="BQ9"/>
        </row>
        <row r="10">
          <cell r="A10">
            <v>71400</v>
          </cell>
          <cell r="B10" t="str">
            <v>Contractual Services - Individ</v>
          </cell>
          <cell r="C10">
            <v>0.13669454925456065</v>
          </cell>
          <cell r="D10">
            <v>0.14184519379515917</v>
          </cell>
          <cell r="E10">
            <v>0.13117455525125091</v>
          </cell>
          <cell r="F10">
            <v>0.13611720666313781</v>
          </cell>
          <cell r="G10">
            <v>7.1425702055211523E-2</v>
          </cell>
          <cell r="H10">
            <v>7.4117019334176248E-2</v>
          </cell>
          <cell r="I10"/>
          <cell r="J10"/>
          <cell r="K10">
            <v>0.1514593951837542</v>
          </cell>
          <cell r="L10">
            <v>0.15716637846274939</v>
          </cell>
          <cell r="M10">
            <v>0.56190168300282273</v>
          </cell>
          <cell r="Q10">
            <v>71400</v>
          </cell>
          <cell r="R10" t="str">
            <v>Contractual Services - Individ</v>
          </cell>
          <cell r="S10">
            <v>0.26543429104084515</v>
          </cell>
          <cell r="T10">
            <v>0.25471553376187228</v>
          </cell>
          <cell r="U10">
            <v>0.1386948542608927</v>
          </cell>
          <cell r="V10">
            <v>4.7050564007073727E-2</v>
          </cell>
          <cell r="W10">
            <v>0.29410475692931615</v>
          </cell>
          <cell r="X10">
            <v>0.66460716972526102</v>
          </cell>
          <cell r="AA10">
            <v>71300</v>
          </cell>
          <cell r="AB10" t="str">
            <v>Local Consultants</v>
          </cell>
          <cell r="AC10">
            <v>0.28897744936910591</v>
          </cell>
          <cell r="AD10">
            <v>0.27808744217685288</v>
          </cell>
          <cell r="AE10">
            <v>0.15401755887197879</v>
          </cell>
          <cell r="AF10">
            <v>0.27891754958206239</v>
          </cell>
          <cell r="AG10">
            <v>0</v>
          </cell>
          <cell r="AH10">
            <v>3.974228284603324E-2</v>
          </cell>
          <cell r="AK10">
            <v>71400</v>
          </cell>
          <cell r="AL10" t="str">
            <v>Contractual Services - Individ</v>
          </cell>
          <cell r="AM10"/>
          <cell r="AN10"/>
          <cell r="AO10"/>
          <cell r="AP10"/>
          <cell r="AQ10"/>
          <cell r="AR10"/>
          <cell r="AU10">
            <v>71300</v>
          </cell>
          <cell r="AV10" t="str">
            <v>Local Consultants</v>
          </cell>
          <cell r="AW10">
            <v>0.28897744936910591</v>
          </cell>
          <cell r="AX10">
            <v>0.27808744217685288</v>
          </cell>
          <cell r="AY10">
            <v>0.15401755887197879</v>
          </cell>
          <cell r="AZ10">
            <v>0.27891754958206239</v>
          </cell>
          <cell r="BA10">
            <v>0</v>
          </cell>
          <cell r="BB10">
            <v>0.11849472993646901</v>
          </cell>
          <cell r="BE10">
            <v>71400</v>
          </cell>
          <cell r="BF10" t="str">
            <v>Contractual Services - Individ</v>
          </cell>
          <cell r="BG10"/>
          <cell r="BH10"/>
          <cell r="BI10"/>
          <cell r="BJ10"/>
          <cell r="BK10"/>
          <cell r="BL10"/>
          <cell r="BM10"/>
          <cell r="BN10"/>
          <cell r="BO10"/>
          <cell r="BP10"/>
          <cell r="BQ10"/>
        </row>
        <row r="11">
          <cell r="A11">
            <v>71600</v>
          </cell>
          <cell r="B11" t="str">
            <v>Travel</v>
          </cell>
          <cell r="C11">
            <v>0.14446497150865745</v>
          </cell>
          <cell r="D11">
            <v>0.14990840521443824</v>
          </cell>
          <cell r="E11">
            <v>6.3180542666641498E-2</v>
          </cell>
          <cell r="F11">
            <v>6.556118270629642E-2</v>
          </cell>
          <cell r="G11">
            <v>0.13615640715530045</v>
          </cell>
          <cell r="H11">
            <v>0.14128677452551633</v>
          </cell>
          <cell r="I11"/>
          <cell r="J11"/>
          <cell r="K11">
            <v>0.14695228041417799</v>
          </cell>
          <cell r="L11">
            <v>0.15248943580897178</v>
          </cell>
          <cell r="M11">
            <v>5.6558065330609995E-2</v>
          </cell>
          <cell r="Q11">
            <v>71600</v>
          </cell>
          <cell r="R11" t="str">
            <v>Travel</v>
          </cell>
          <cell r="S11">
            <v>0.17892090709310435</v>
          </cell>
          <cell r="T11">
            <v>7.824955687526397E-2</v>
          </cell>
          <cell r="U11">
            <v>0.16863069033523115</v>
          </cell>
          <cell r="V11">
            <v>0.3921973886198018</v>
          </cell>
          <cell r="W11">
            <v>0.18200145707659865</v>
          </cell>
          <cell r="X11">
            <v>0.10488334510891259</v>
          </cell>
          <cell r="AA11">
            <v>71400</v>
          </cell>
          <cell r="AB11" t="str">
            <v>Contractual Services - Individ</v>
          </cell>
          <cell r="AC11">
            <v>0.26543429104084515</v>
          </cell>
          <cell r="AD11">
            <v>0.25471553376187228</v>
          </cell>
          <cell r="AE11">
            <v>0.1386948542608927</v>
          </cell>
          <cell r="AF11">
            <v>4.7050564007073734E-2</v>
          </cell>
          <cell r="AG11">
            <v>0.2941047569293162</v>
          </cell>
          <cell r="AH11">
            <v>0.66460716972526068</v>
          </cell>
          <cell r="AK11">
            <v>71600</v>
          </cell>
          <cell r="AL11" t="str">
            <v>Travel</v>
          </cell>
          <cell r="AM11">
            <v>0.17892090709310435</v>
          </cell>
          <cell r="AN11">
            <v>7.824955687526397E-2</v>
          </cell>
          <cell r="AO11">
            <v>0.16863069033523115</v>
          </cell>
          <cell r="AP11">
            <v>0.3921973886198018</v>
          </cell>
          <cell r="AQ11">
            <v>0.18200145707659865</v>
          </cell>
          <cell r="AR11">
            <v>0.31271791058561649</v>
          </cell>
          <cell r="AU11">
            <v>71400</v>
          </cell>
          <cell r="AV11" t="str">
            <v>Contractual Services - Individ</v>
          </cell>
          <cell r="AW11"/>
          <cell r="AX11"/>
          <cell r="AY11"/>
          <cell r="AZ11"/>
          <cell r="BA11"/>
          <cell r="BB11"/>
          <cell r="BE11">
            <v>71600</v>
          </cell>
          <cell r="BF11" t="str">
            <v>Travel</v>
          </cell>
          <cell r="BG11">
            <v>8.7806186935927913E-2</v>
          </cell>
          <cell r="BH11">
            <v>9.1114720157176476E-2</v>
          </cell>
          <cell r="BI11">
            <v>3.8401298821202724E-2</v>
          </cell>
          <cell r="BJ11">
            <v>3.9848258054061253E-2</v>
          </cell>
          <cell r="BK11">
            <v>8.2756219825137103E-2</v>
          </cell>
          <cell r="BL11">
            <v>8.5874470510094073E-2</v>
          </cell>
          <cell r="BM11">
            <v>0.19247251637849708</v>
          </cell>
          <cell r="BN11">
            <v>0.19972487224130478</v>
          </cell>
          <cell r="BO11">
            <v>8.9317979784012527E-2</v>
          </cell>
          <cell r="BP11">
            <v>9.2683477292586136E-2</v>
          </cell>
          <cell r="BQ11">
            <v>0.35475444243581011</v>
          </cell>
        </row>
        <row r="12">
          <cell r="A12">
            <v>72100</v>
          </cell>
          <cell r="B12" t="str">
            <v>Contractual Services-Companies</v>
          </cell>
          <cell r="C12">
            <v>0</v>
          </cell>
          <cell r="D12">
            <v>0</v>
          </cell>
          <cell r="E12">
            <v>0</v>
          </cell>
          <cell r="F12">
            <v>0</v>
          </cell>
          <cell r="G12">
            <v>0</v>
          </cell>
          <cell r="H12">
            <v>0</v>
          </cell>
          <cell r="I12"/>
          <cell r="J12"/>
          <cell r="K12">
            <v>0</v>
          </cell>
          <cell r="L12">
            <v>0</v>
          </cell>
          <cell r="M12">
            <v>9.7316965508802867E-19</v>
          </cell>
          <cell r="Q12">
            <v>72100</v>
          </cell>
          <cell r="R12" t="str">
            <v>Contractual Services-Companies</v>
          </cell>
          <cell r="S12"/>
          <cell r="T12"/>
          <cell r="U12"/>
          <cell r="V12"/>
          <cell r="W12"/>
          <cell r="X12"/>
          <cell r="AA12">
            <v>71600</v>
          </cell>
          <cell r="AB12" t="str">
            <v>Travel</v>
          </cell>
          <cell r="AC12">
            <v>0.17892090709310438</v>
          </cell>
          <cell r="AD12">
            <v>7.824955687526397E-2</v>
          </cell>
          <cell r="AE12">
            <v>0.16863069033523118</v>
          </cell>
          <cell r="AF12">
            <v>0.3921973886198018</v>
          </cell>
          <cell r="AG12">
            <v>0.18200145707659868</v>
          </cell>
          <cell r="AH12">
            <v>0.10488334510891252</v>
          </cell>
          <cell r="AK12">
            <v>72100</v>
          </cell>
          <cell r="AL12" t="str">
            <v>Contractual Services-Companies</v>
          </cell>
          <cell r="AM12"/>
          <cell r="AN12"/>
          <cell r="AO12"/>
          <cell r="AP12"/>
          <cell r="AQ12"/>
          <cell r="AR12"/>
          <cell r="AU12">
            <v>71600</v>
          </cell>
          <cell r="AV12" t="str">
            <v>Travel</v>
          </cell>
          <cell r="AW12">
            <v>0.17892090709310438</v>
          </cell>
          <cell r="AX12">
            <v>7.824955687526397E-2</v>
          </cell>
          <cell r="AY12">
            <v>0.16863069033523118</v>
          </cell>
          <cell r="AZ12">
            <v>0.3921973886198018</v>
          </cell>
          <cell r="BA12">
            <v>0.18200145707659868</v>
          </cell>
          <cell r="BB12">
            <v>0.3127179105856156</v>
          </cell>
          <cell r="BE12">
            <v>72100</v>
          </cell>
          <cell r="BF12" t="str">
            <v>Contractual Services-Companies</v>
          </cell>
          <cell r="BG12"/>
          <cell r="BH12"/>
          <cell r="BI12"/>
          <cell r="BJ12"/>
          <cell r="BK12"/>
          <cell r="BL12"/>
          <cell r="BM12"/>
          <cell r="BN12"/>
          <cell r="BO12"/>
          <cell r="BP12"/>
          <cell r="BQ12"/>
        </row>
        <row r="13">
          <cell r="A13">
            <v>72200</v>
          </cell>
          <cell r="B13" t="str">
            <v>Equipment and Furniture</v>
          </cell>
          <cell r="C13">
            <v>0</v>
          </cell>
          <cell r="D13">
            <v>0</v>
          </cell>
          <cell r="E13">
            <v>0</v>
          </cell>
          <cell r="F13">
            <v>0</v>
          </cell>
          <cell r="G13">
            <v>0</v>
          </cell>
          <cell r="H13">
            <v>0</v>
          </cell>
          <cell r="I13"/>
          <cell r="J13"/>
          <cell r="K13">
            <v>0.4907542017447773</v>
          </cell>
          <cell r="L13">
            <v>0.50924579825522265</v>
          </cell>
          <cell r="M13">
            <v>1.2252298732548866E-3</v>
          </cell>
          <cell r="Q13">
            <v>72200</v>
          </cell>
          <cell r="R13" t="str">
            <v>Equipment and Furniture</v>
          </cell>
          <cell r="S13">
            <v>0</v>
          </cell>
          <cell r="T13">
            <v>0</v>
          </cell>
          <cell r="U13">
            <v>0</v>
          </cell>
          <cell r="V13">
            <v>0</v>
          </cell>
          <cell r="W13">
            <v>1</v>
          </cell>
          <cell r="X13">
            <v>1.3809950556502937E-3</v>
          </cell>
          <cell r="AA13">
            <v>72100</v>
          </cell>
          <cell r="AB13" t="str">
            <v>Contractual Services-Companies</v>
          </cell>
          <cell r="AC13"/>
          <cell r="AD13"/>
          <cell r="AE13"/>
          <cell r="AF13"/>
          <cell r="AG13"/>
          <cell r="AH13"/>
          <cell r="AK13">
            <v>72200</v>
          </cell>
          <cell r="AL13" t="str">
            <v>Equipment and Furniture</v>
          </cell>
          <cell r="AM13">
            <v>0</v>
          </cell>
          <cell r="AN13">
            <v>0</v>
          </cell>
          <cell r="AO13">
            <v>0</v>
          </cell>
          <cell r="AP13">
            <v>0</v>
          </cell>
          <cell r="AQ13">
            <v>1</v>
          </cell>
          <cell r="AR13">
            <v>4.1175449532389972E-3</v>
          </cell>
          <cell r="AU13">
            <v>72100</v>
          </cell>
          <cell r="AV13" t="str">
            <v>Contractual Services-Companies</v>
          </cell>
          <cell r="AW13"/>
          <cell r="AX13"/>
          <cell r="AY13"/>
          <cell r="AZ13"/>
          <cell r="BA13"/>
          <cell r="BB13"/>
          <cell r="BE13">
            <v>72200</v>
          </cell>
          <cell r="BF13" t="str">
            <v>Equipment and Furniture</v>
          </cell>
          <cell r="BG13">
            <v>0</v>
          </cell>
          <cell r="BH13">
            <v>0</v>
          </cell>
          <cell r="BI13">
            <v>0</v>
          </cell>
          <cell r="BJ13">
            <v>0</v>
          </cell>
          <cell r="BK13">
            <v>0</v>
          </cell>
          <cell r="BL13">
            <v>0</v>
          </cell>
          <cell r="BM13">
            <v>0</v>
          </cell>
          <cell r="BN13">
            <v>0</v>
          </cell>
          <cell r="BO13">
            <v>0.4907542017447773</v>
          </cell>
          <cell r="BP13">
            <v>0.50924579825522265</v>
          </cell>
          <cell r="BQ13">
            <v>4.6710383852183179E-3</v>
          </cell>
        </row>
        <row r="14">
          <cell r="A14">
            <v>72300</v>
          </cell>
          <cell r="B14" t="str">
            <v>Materials &amp; Goods</v>
          </cell>
          <cell r="C14">
            <v>0</v>
          </cell>
          <cell r="D14">
            <v>0</v>
          </cell>
          <cell r="E14">
            <v>0</v>
          </cell>
          <cell r="F14">
            <v>0</v>
          </cell>
          <cell r="G14">
            <v>0</v>
          </cell>
          <cell r="H14">
            <v>0</v>
          </cell>
          <cell r="I14"/>
          <cell r="J14"/>
          <cell r="K14">
            <v>0.49075420174477724</v>
          </cell>
          <cell r="L14">
            <v>0.50924579825522265</v>
          </cell>
          <cell r="M14">
            <v>2.9550369744835805E-3</v>
          </cell>
          <cell r="Q14">
            <v>72300</v>
          </cell>
          <cell r="R14" t="str">
            <v>Materials &amp; Goods</v>
          </cell>
          <cell r="S14"/>
          <cell r="T14"/>
          <cell r="U14"/>
          <cell r="V14"/>
          <cell r="W14"/>
          <cell r="X14"/>
          <cell r="AA14">
            <v>72200</v>
          </cell>
          <cell r="AB14" t="str">
            <v>Equipment and Furniture</v>
          </cell>
          <cell r="AC14">
            <v>0</v>
          </cell>
          <cell r="AD14">
            <v>0</v>
          </cell>
          <cell r="AE14">
            <v>0</v>
          </cell>
          <cell r="AF14">
            <v>0</v>
          </cell>
          <cell r="AG14">
            <v>1</v>
          </cell>
          <cell r="AH14">
            <v>1.3809950556502931E-3</v>
          </cell>
          <cell r="AK14">
            <v>72300</v>
          </cell>
          <cell r="AL14" t="str">
            <v>Materials &amp; Goods</v>
          </cell>
          <cell r="AM14"/>
          <cell r="AN14"/>
          <cell r="AO14"/>
          <cell r="AP14"/>
          <cell r="AQ14"/>
          <cell r="AR14"/>
          <cell r="AU14">
            <v>72200</v>
          </cell>
          <cell r="AV14" t="str">
            <v>Equipment and Furniture</v>
          </cell>
          <cell r="AW14">
            <v>0</v>
          </cell>
          <cell r="AX14">
            <v>0</v>
          </cell>
          <cell r="AY14">
            <v>0</v>
          </cell>
          <cell r="AZ14">
            <v>0</v>
          </cell>
          <cell r="BA14">
            <v>1</v>
          </cell>
          <cell r="BB14">
            <v>4.117544953238985E-3</v>
          </cell>
          <cell r="BE14">
            <v>72300</v>
          </cell>
          <cell r="BF14" t="str">
            <v>Materials &amp; Goods</v>
          </cell>
          <cell r="BG14"/>
          <cell r="BH14"/>
          <cell r="BI14"/>
          <cell r="BJ14"/>
          <cell r="BK14"/>
          <cell r="BL14"/>
          <cell r="BM14"/>
          <cell r="BN14"/>
          <cell r="BO14"/>
          <cell r="BP14"/>
          <cell r="BQ14"/>
        </row>
        <row r="15">
          <cell r="A15">
            <v>72400</v>
          </cell>
          <cell r="B15" t="str">
            <v>Communic &amp; Audio Visual Equip</v>
          </cell>
          <cell r="C15">
            <v>0</v>
          </cell>
          <cell r="D15">
            <v>0</v>
          </cell>
          <cell r="E15">
            <v>0</v>
          </cell>
          <cell r="F15">
            <v>0</v>
          </cell>
          <cell r="G15">
            <v>0</v>
          </cell>
          <cell r="H15">
            <v>0</v>
          </cell>
          <cell r="I15"/>
          <cell r="J15"/>
          <cell r="K15">
            <v>0.4907542017447773</v>
          </cell>
          <cell r="L15">
            <v>0.50924579825522265</v>
          </cell>
          <cell r="M15">
            <v>8.7209937695364205E-3</v>
          </cell>
          <cell r="Q15">
            <v>72400</v>
          </cell>
          <cell r="R15" t="str">
            <v>Communic &amp; Audio Visual Equip</v>
          </cell>
          <cell r="S15">
            <v>0</v>
          </cell>
          <cell r="T15">
            <v>0</v>
          </cell>
          <cell r="U15">
            <v>0</v>
          </cell>
          <cell r="V15">
            <v>0</v>
          </cell>
          <cell r="W15">
            <v>1</v>
          </cell>
          <cell r="X15">
            <v>9.8297058690645835E-3</v>
          </cell>
          <cell r="AA15">
            <v>72300</v>
          </cell>
          <cell r="AB15" t="str">
            <v>Materials &amp; Goods</v>
          </cell>
          <cell r="AC15"/>
          <cell r="AD15"/>
          <cell r="AE15"/>
          <cell r="AF15"/>
          <cell r="AG15"/>
          <cell r="AH15"/>
          <cell r="AK15">
            <v>72400</v>
          </cell>
          <cell r="AL15" t="str">
            <v>Communic &amp; Audio Visual Equip</v>
          </cell>
          <cell r="AM15">
            <v>0</v>
          </cell>
          <cell r="AN15">
            <v>0</v>
          </cell>
          <cell r="AO15">
            <v>0</v>
          </cell>
          <cell r="AP15">
            <v>0</v>
          </cell>
          <cell r="AQ15">
            <v>1</v>
          </cell>
          <cell r="AR15">
            <v>2.9308038162332007E-2</v>
          </cell>
          <cell r="AU15">
            <v>72300</v>
          </cell>
          <cell r="AV15" t="str">
            <v>Materials &amp; Goods</v>
          </cell>
          <cell r="AW15"/>
          <cell r="AX15"/>
          <cell r="AY15"/>
          <cell r="AZ15"/>
          <cell r="BA15"/>
          <cell r="BB15"/>
          <cell r="BE15">
            <v>72400</v>
          </cell>
          <cell r="BF15" t="str">
            <v>Communic &amp; Audio Visual Equip</v>
          </cell>
          <cell r="BG15">
            <v>0</v>
          </cell>
          <cell r="BH15">
            <v>0</v>
          </cell>
          <cell r="BI15">
            <v>0</v>
          </cell>
          <cell r="BJ15">
            <v>0</v>
          </cell>
          <cell r="BK15">
            <v>0</v>
          </cell>
          <cell r="BL15">
            <v>0</v>
          </cell>
          <cell r="BM15">
            <v>0</v>
          </cell>
          <cell r="BN15">
            <v>0</v>
          </cell>
          <cell r="BO15">
            <v>0.4907542017447773</v>
          </cell>
          <cell r="BP15">
            <v>0.50924579825522265</v>
          </cell>
          <cell r="BQ15">
            <v>3.3247717464263964E-2</v>
          </cell>
        </row>
        <row r="16">
          <cell r="A16">
            <v>72500</v>
          </cell>
          <cell r="B16" t="str">
            <v>Supplies</v>
          </cell>
          <cell r="C16">
            <v>3.3117568547102953E-2</v>
          </cell>
          <cell r="D16">
            <v>3.4365437058065863E-2</v>
          </cell>
          <cell r="E16">
            <v>3.187301310973327E-2</v>
          </cell>
          <cell r="F16">
            <v>3.3073986827129656E-2</v>
          </cell>
          <cell r="G16">
            <v>1.7652719239593575E-2</v>
          </cell>
          <cell r="H16">
            <v>1.8317872915976162E-2</v>
          </cell>
          <cell r="I16"/>
          <cell r="J16"/>
          <cell r="K16">
            <v>0.40811090084834745</v>
          </cell>
          <cell r="L16">
            <v>0.42348850145405098</v>
          </cell>
          <cell r="M16">
            <v>9.532931758248148E-3</v>
          </cell>
          <cell r="Q16">
            <v>72500</v>
          </cell>
          <cell r="R16" t="str">
            <v>Supplies</v>
          </cell>
          <cell r="S16">
            <v>5.0903558671781979E-2</v>
          </cell>
          <cell r="T16">
            <v>4.8990607223177676E-2</v>
          </cell>
          <cell r="U16">
            <v>2.7133218679719538E-2</v>
          </cell>
          <cell r="V16">
            <v>0.24568329144066678</v>
          </cell>
          <cell r="W16">
            <v>0.62728932398465409</v>
          </cell>
          <cell r="X16">
            <v>1.424450306432587E-2</v>
          </cell>
          <cell r="AA16">
            <v>72400</v>
          </cell>
          <cell r="AB16" t="str">
            <v>Communic &amp; Audio Visual Equip</v>
          </cell>
          <cell r="AC16">
            <v>0</v>
          </cell>
          <cell r="AD16">
            <v>0</v>
          </cell>
          <cell r="AE16">
            <v>0</v>
          </cell>
          <cell r="AF16">
            <v>0</v>
          </cell>
          <cell r="AG16">
            <v>1</v>
          </cell>
          <cell r="AH16">
            <v>9.8297058690645783E-3</v>
          </cell>
          <cell r="AK16">
            <v>72500</v>
          </cell>
          <cell r="AL16" t="str">
            <v>Supplies</v>
          </cell>
          <cell r="AM16">
            <v>5.0903558671781979E-2</v>
          </cell>
          <cell r="AN16">
            <v>4.8990607223177676E-2</v>
          </cell>
          <cell r="AO16">
            <v>2.7133218679719538E-2</v>
          </cell>
          <cell r="AP16">
            <v>0.24568329144066678</v>
          </cell>
          <cell r="AQ16">
            <v>0.62728932398465409</v>
          </cell>
          <cell r="AR16">
            <v>4.247110187971942E-2</v>
          </cell>
          <cell r="AU16">
            <v>72400</v>
          </cell>
          <cell r="AV16" t="str">
            <v>Communic &amp; Audio Visual Equip</v>
          </cell>
          <cell r="AW16">
            <v>0</v>
          </cell>
          <cell r="AX16">
            <v>0</v>
          </cell>
          <cell r="AY16">
            <v>0</v>
          </cell>
          <cell r="AZ16">
            <v>0</v>
          </cell>
          <cell r="BA16">
            <v>1</v>
          </cell>
          <cell r="BB16">
            <v>2.930803816233192E-2</v>
          </cell>
          <cell r="BE16">
            <v>72500</v>
          </cell>
          <cell r="BF16" t="str">
            <v>Supplies</v>
          </cell>
          <cell r="BG16">
            <v>2.4981135301938802E-2</v>
          </cell>
          <cell r="BH16">
            <v>2.5922423369843177E-2</v>
          </cell>
          <cell r="BI16">
            <v>2.4042346340802479E-2</v>
          </cell>
          <cell r="BJ16">
            <v>2.494826088237519E-2</v>
          </cell>
          <cell r="BK16">
            <v>1.3315741073932241E-2</v>
          </cell>
          <cell r="BL16">
            <v>1.3817477605787295E-2</v>
          </cell>
          <cell r="BM16">
            <v>0.1205701075729939</v>
          </cell>
          <cell r="BN16">
            <v>0.12511318386767287</v>
          </cell>
          <cell r="BO16">
            <v>0.30784487145510986</v>
          </cell>
          <cell r="BP16">
            <v>0.31944445252954418</v>
          </cell>
          <cell r="BQ16">
            <v>4.8180201891088459E-2</v>
          </cell>
        </row>
        <row r="17">
          <cell r="A17">
            <v>72600</v>
          </cell>
          <cell r="B17" t="str">
            <v>Grants</v>
          </cell>
          <cell r="C17"/>
          <cell r="D17"/>
          <cell r="E17"/>
          <cell r="F17"/>
          <cell r="G17"/>
          <cell r="H17"/>
          <cell r="I17"/>
          <cell r="J17"/>
          <cell r="K17"/>
          <cell r="L17"/>
          <cell r="M17"/>
          <cell r="Q17">
            <v>72600</v>
          </cell>
          <cell r="R17" t="str">
            <v>Grants</v>
          </cell>
          <cell r="S17">
            <v>0</v>
          </cell>
          <cell r="T17"/>
          <cell r="U17"/>
          <cell r="V17"/>
          <cell r="W17"/>
          <cell r="X17"/>
          <cell r="AA17">
            <v>72500</v>
          </cell>
          <cell r="AB17" t="str">
            <v>Supplies</v>
          </cell>
          <cell r="AC17">
            <v>5.0903558671781979E-2</v>
          </cell>
          <cell r="AD17">
            <v>4.8990607223177669E-2</v>
          </cell>
          <cell r="AE17">
            <v>2.7133218679719538E-2</v>
          </cell>
          <cell r="AF17">
            <v>0.24568329144066678</v>
          </cell>
          <cell r="AG17">
            <v>0.62728932398465409</v>
          </cell>
          <cell r="AH17">
            <v>1.4244503064325863E-2</v>
          </cell>
          <cell r="AK17">
            <v>72600</v>
          </cell>
          <cell r="AL17" t="str">
            <v>Grants</v>
          </cell>
          <cell r="AM17">
            <v>0</v>
          </cell>
          <cell r="AN17"/>
          <cell r="AO17"/>
          <cell r="AP17"/>
          <cell r="AQ17"/>
          <cell r="AR17"/>
          <cell r="AU17">
            <v>72500</v>
          </cell>
          <cell r="AV17" t="str">
            <v>Supplies</v>
          </cell>
          <cell r="AW17">
            <v>5.0903558671781979E-2</v>
          </cell>
          <cell r="AX17">
            <v>4.8990607223177669E-2</v>
          </cell>
          <cell r="AY17">
            <v>2.7133218679719538E-2</v>
          </cell>
          <cell r="AZ17">
            <v>0.24568329144066678</v>
          </cell>
          <cell r="BA17">
            <v>0.62728932398465409</v>
          </cell>
          <cell r="BB17">
            <v>4.2471101879719295E-2</v>
          </cell>
          <cell r="BE17">
            <v>72600</v>
          </cell>
          <cell r="BF17" t="str">
            <v>Grants</v>
          </cell>
          <cell r="BG17"/>
          <cell r="BH17"/>
          <cell r="BI17"/>
          <cell r="BJ17"/>
          <cell r="BK17"/>
          <cell r="BL17"/>
          <cell r="BM17"/>
          <cell r="BN17"/>
          <cell r="BO17"/>
          <cell r="BP17"/>
          <cell r="BQ17"/>
        </row>
        <row r="18">
          <cell r="A18">
            <v>72800</v>
          </cell>
          <cell r="B18" t="str">
            <v>Information Technology Equipmt</v>
          </cell>
          <cell r="C18">
            <v>0</v>
          </cell>
          <cell r="D18">
            <v>0</v>
          </cell>
          <cell r="E18">
            <v>0</v>
          </cell>
          <cell r="F18">
            <v>0</v>
          </cell>
          <cell r="G18">
            <v>0</v>
          </cell>
          <cell r="H18">
            <v>0</v>
          </cell>
          <cell r="I18"/>
          <cell r="J18"/>
          <cell r="K18">
            <v>0.4907542017447773</v>
          </cell>
          <cell r="L18">
            <v>0.50924579825522265</v>
          </cell>
          <cell r="M18">
            <v>5.5619190054507078E-3</v>
          </cell>
          <cell r="Q18">
            <v>72800</v>
          </cell>
          <cell r="R18" t="str">
            <v>Information Technology Equipmt</v>
          </cell>
          <cell r="S18">
            <v>0</v>
          </cell>
          <cell r="T18">
            <v>0</v>
          </cell>
          <cell r="U18">
            <v>0</v>
          </cell>
          <cell r="V18">
            <v>0</v>
          </cell>
          <cell r="W18">
            <v>1</v>
          </cell>
          <cell r="X18">
            <v>6.2690135248252626E-3</v>
          </cell>
          <cell r="AA18">
            <v>72600</v>
          </cell>
          <cell r="AB18" t="str">
            <v>Grants</v>
          </cell>
          <cell r="AC18">
            <v>0</v>
          </cell>
          <cell r="AD18"/>
          <cell r="AE18"/>
          <cell r="AF18"/>
          <cell r="AG18"/>
          <cell r="AH18"/>
          <cell r="AK18">
            <v>72800</v>
          </cell>
          <cell r="AL18" t="str">
            <v>Information Technology Equipmt</v>
          </cell>
          <cell r="AM18">
            <v>0</v>
          </cell>
          <cell r="AN18">
            <v>0</v>
          </cell>
          <cell r="AO18">
            <v>0</v>
          </cell>
          <cell r="AP18">
            <v>0</v>
          </cell>
          <cell r="AQ18">
            <v>1</v>
          </cell>
          <cell r="AR18">
            <v>1.8691554973581184E-2</v>
          </cell>
          <cell r="AU18">
            <v>72600</v>
          </cell>
          <cell r="AV18" t="str">
            <v>Grants</v>
          </cell>
          <cell r="AW18">
            <v>0</v>
          </cell>
          <cell r="AX18"/>
          <cell r="AY18"/>
          <cell r="AZ18"/>
          <cell r="BA18"/>
          <cell r="BB18"/>
          <cell r="BE18">
            <v>72800</v>
          </cell>
          <cell r="BF18" t="str">
            <v>Information Technology Equipmt</v>
          </cell>
          <cell r="BG18">
            <v>0</v>
          </cell>
          <cell r="BH18">
            <v>0</v>
          </cell>
          <cell r="BI18">
            <v>0</v>
          </cell>
          <cell r="BJ18">
            <v>0</v>
          </cell>
          <cell r="BK18">
            <v>0</v>
          </cell>
          <cell r="BL18">
            <v>0</v>
          </cell>
          <cell r="BM18">
            <v>0</v>
          </cell>
          <cell r="BN18">
            <v>0</v>
          </cell>
          <cell r="BO18">
            <v>0.4907542017447773</v>
          </cell>
          <cell r="BP18">
            <v>0.50924579825522265</v>
          </cell>
          <cell r="BQ18">
            <v>2.1204132985199339E-2</v>
          </cell>
        </row>
        <row r="19">
          <cell r="A19">
            <v>73100</v>
          </cell>
          <cell r="B19" t="str">
            <v>Rental &amp; Maintenance-Premises</v>
          </cell>
          <cell r="C19">
            <v>0</v>
          </cell>
          <cell r="D19">
            <v>0</v>
          </cell>
          <cell r="E19">
            <v>0</v>
          </cell>
          <cell r="F19">
            <v>0</v>
          </cell>
          <cell r="G19">
            <v>0</v>
          </cell>
          <cell r="H19">
            <v>0</v>
          </cell>
          <cell r="I19"/>
          <cell r="J19"/>
          <cell r="K19">
            <v>0.4907542017447773</v>
          </cell>
          <cell r="L19">
            <v>0.50924579825522265</v>
          </cell>
          <cell r="M19">
            <v>7.161492350051675E-2</v>
          </cell>
          <cell r="Q19">
            <v>73100</v>
          </cell>
          <cell r="R19" t="str">
            <v>Rental &amp; Maintenance-Premises</v>
          </cell>
          <cell r="S19">
            <v>0</v>
          </cell>
          <cell r="T19">
            <v>0</v>
          </cell>
          <cell r="U19">
            <v>0</v>
          </cell>
          <cell r="V19">
            <v>0</v>
          </cell>
          <cell r="W19">
            <v>1</v>
          </cell>
          <cell r="X19">
            <v>8.0719428593636136E-2</v>
          </cell>
          <cell r="AA19">
            <v>72800</v>
          </cell>
          <cell r="AB19" t="str">
            <v>Information Technology Equipmt</v>
          </cell>
          <cell r="AC19">
            <v>0</v>
          </cell>
          <cell r="AD19">
            <v>0</v>
          </cell>
          <cell r="AE19">
            <v>0</v>
          </cell>
          <cell r="AF19">
            <v>0</v>
          </cell>
          <cell r="AG19">
            <v>1</v>
          </cell>
          <cell r="AH19">
            <v>6.2690135248252591E-3</v>
          </cell>
          <cell r="AK19">
            <v>73100</v>
          </cell>
          <cell r="AL19" t="str">
            <v>Rental &amp; Maintenance-Premises</v>
          </cell>
          <cell r="AM19">
            <v>0</v>
          </cell>
          <cell r="AN19">
            <v>0</v>
          </cell>
          <cell r="AO19">
            <v>0</v>
          </cell>
          <cell r="AP19">
            <v>0</v>
          </cell>
          <cell r="AQ19">
            <v>1</v>
          </cell>
          <cell r="AR19">
            <v>0.24067130035998208</v>
          </cell>
          <cell r="AU19">
            <v>72800</v>
          </cell>
          <cell r="AV19" t="str">
            <v>Information Technology Equipmt</v>
          </cell>
          <cell r="AW19">
            <v>0</v>
          </cell>
          <cell r="AX19">
            <v>0</v>
          </cell>
          <cell r="AY19">
            <v>0</v>
          </cell>
          <cell r="AZ19">
            <v>0</v>
          </cell>
          <cell r="BA19">
            <v>1</v>
          </cell>
          <cell r="BB19">
            <v>1.8691554973581131E-2</v>
          </cell>
          <cell r="BE19">
            <v>73100</v>
          </cell>
          <cell r="BF19" t="str">
            <v>Rental &amp; Maintenance-Premises</v>
          </cell>
          <cell r="BG19">
            <v>0</v>
          </cell>
          <cell r="BH19">
            <v>0</v>
          </cell>
          <cell r="BI19">
            <v>0</v>
          </cell>
          <cell r="BJ19">
            <v>0</v>
          </cell>
          <cell r="BK19">
            <v>0</v>
          </cell>
          <cell r="BL19">
            <v>0</v>
          </cell>
          <cell r="BM19">
            <v>0</v>
          </cell>
          <cell r="BN19">
            <v>0</v>
          </cell>
          <cell r="BO19">
            <v>0.4907542017447773</v>
          </cell>
          <cell r="BP19">
            <v>0.50924579825522265</v>
          </cell>
          <cell r="BQ19">
            <v>0.27302309870777797</v>
          </cell>
        </row>
        <row r="20">
          <cell r="A20">
            <v>73400</v>
          </cell>
          <cell r="B20" t="str">
            <v>Rental &amp; Maint of Other Equip</v>
          </cell>
          <cell r="C20">
            <v>0</v>
          </cell>
          <cell r="D20">
            <v>0</v>
          </cell>
          <cell r="E20">
            <v>0</v>
          </cell>
          <cell r="F20">
            <v>0</v>
          </cell>
          <cell r="G20">
            <v>0</v>
          </cell>
          <cell r="H20">
            <v>0</v>
          </cell>
          <cell r="I20"/>
          <cell r="J20"/>
          <cell r="K20">
            <v>0.4907542017447773</v>
          </cell>
          <cell r="L20">
            <v>0.50924579825522265</v>
          </cell>
          <cell r="M20">
            <v>4.2103274791465816E-3</v>
          </cell>
          <cell r="Q20">
            <v>73400</v>
          </cell>
          <cell r="R20" t="str">
            <v>Rental &amp; Maint of Other Equip</v>
          </cell>
          <cell r="S20">
            <v>0</v>
          </cell>
          <cell r="T20">
            <v>0</v>
          </cell>
          <cell r="U20">
            <v>0</v>
          </cell>
          <cell r="V20">
            <v>0</v>
          </cell>
          <cell r="W20">
            <v>1</v>
          </cell>
          <cell r="X20">
            <v>4.7455922829596296E-3</v>
          </cell>
          <cell r="AA20">
            <v>73100</v>
          </cell>
          <cell r="AB20" t="str">
            <v>Rental &amp; Maintenance-Premises</v>
          </cell>
          <cell r="AC20">
            <v>0</v>
          </cell>
          <cell r="AD20">
            <v>0</v>
          </cell>
          <cell r="AE20">
            <v>0</v>
          </cell>
          <cell r="AF20">
            <v>0</v>
          </cell>
          <cell r="AG20">
            <v>1</v>
          </cell>
          <cell r="AH20">
            <v>8.0719428593636094E-2</v>
          </cell>
          <cell r="AK20">
            <v>73400</v>
          </cell>
          <cell r="AL20" t="str">
            <v>Rental &amp; Maint of Other Equip</v>
          </cell>
          <cell r="AM20">
            <v>0</v>
          </cell>
          <cell r="AN20">
            <v>0</v>
          </cell>
          <cell r="AO20">
            <v>0</v>
          </cell>
          <cell r="AP20">
            <v>0</v>
          </cell>
          <cell r="AQ20">
            <v>1</v>
          </cell>
          <cell r="AR20">
            <v>1.4149355187683213E-2</v>
          </cell>
          <cell r="AU20">
            <v>73100</v>
          </cell>
          <cell r="AV20" t="str">
            <v>Rental &amp; Maintenance-Premises</v>
          </cell>
          <cell r="AW20">
            <v>0</v>
          </cell>
          <cell r="AX20">
            <v>0</v>
          </cell>
          <cell r="AY20">
            <v>0</v>
          </cell>
          <cell r="AZ20">
            <v>0</v>
          </cell>
          <cell r="BA20">
            <v>1</v>
          </cell>
          <cell r="BB20">
            <v>0.24067130035998141</v>
          </cell>
          <cell r="BE20">
            <v>73400</v>
          </cell>
          <cell r="BF20" t="str">
            <v>Rental &amp; Maint of Other Equip</v>
          </cell>
          <cell r="BG20">
            <v>0</v>
          </cell>
          <cell r="BH20">
            <v>0</v>
          </cell>
          <cell r="BI20">
            <v>0</v>
          </cell>
          <cell r="BJ20">
            <v>0</v>
          </cell>
          <cell r="BK20">
            <v>0</v>
          </cell>
          <cell r="BL20">
            <v>0</v>
          </cell>
          <cell r="BM20">
            <v>0</v>
          </cell>
          <cell r="BN20">
            <v>0</v>
          </cell>
          <cell r="BO20">
            <v>0.4907542017447773</v>
          </cell>
          <cell r="BP20">
            <v>0.50924579825522265</v>
          </cell>
          <cell r="BQ20">
            <v>1.6051356319926983E-2</v>
          </cell>
        </row>
        <row r="21">
          <cell r="A21">
            <v>74100</v>
          </cell>
          <cell r="B21" t="str">
            <v>Professional Services</v>
          </cell>
          <cell r="C21">
            <v>0</v>
          </cell>
          <cell r="D21">
            <v>0</v>
          </cell>
          <cell r="E21">
            <v>0</v>
          </cell>
          <cell r="F21">
            <v>0</v>
          </cell>
          <cell r="G21">
            <v>0</v>
          </cell>
          <cell r="H21">
            <v>0</v>
          </cell>
          <cell r="I21"/>
          <cell r="J21"/>
          <cell r="K21">
            <v>0.4907542017447773</v>
          </cell>
          <cell r="L21">
            <v>0.50924579825522265</v>
          </cell>
          <cell r="M21">
            <v>1.1354091078616964E-2</v>
          </cell>
          <cell r="Q21">
            <v>74100</v>
          </cell>
          <cell r="R21" t="str">
            <v>Professional Services</v>
          </cell>
          <cell r="S21">
            <v>0</v>
          </cell>
          <cell r="T21">
            <v>0</v>
          </cell>
          <cell r="U21">
            <v>0</v>
          </cell>
          <cell r="V21">
            <v>0</v>
          </cell>
          <cell r="W21">
            <v>1</v>
          </cell>
          <cell r="X21">
            <v>1.279755251095744E-2</v>
          </cell>
          <cell r="AA21">
            <v>73400</v>
          </cell>
          <cell r="AB21" t="str">
            <v>Rental &amp; Maint of Other Equip</v>
          </cell>
          <cell r="AC21">
            <v>0</v>
          </cell>
          <cell r="AD21">
            <v>0</v>
          </cell>
          <cell r="AE21">
            <v>0</v>
          </cell>
          <cell r="AF21">
            <v>0</v>
          </cell>
          <cell r="AG21">
            <v>1</v>
          </cell>
          <cell r="AH21">
            <v>4.7455922829596269E-3</v>
          </cell>
          <cell r="AK21">
            <v>74100</v>
          </cell>
          <cell r="AL21" t="str">
            <v>Professional Services</v>
          </cell>
          <cell r="AM21">
            <v>0</v>
          </cell>
          <cell r="AN21">
            <v>0</v>
          </cell>
          <cell r="AO21">
            <v>0</v>
          </cell>
          <cell r="AP21">
            <v>0</v>
          </cell>
          <cell r="AQ21">
            <v>1</v>
          </cell>
          <cell r="AR21">
            <v>3.815690544271403E-2</v>
          </cell>
          <cell r="AU21">
            <v>73400</v>
          </cell>
          <cell r="AV21" t="str">
            <v>Rental &amp; Maint of Other Equip</v>
          </cell>
          <cell r="AW21">
            <v>0</v>
          </cell>
          <cell r="AX21">
            <v>0</v>
          </cell>
          <cell r="AY21">
            <v>0</v>
          </cell>
          <cell r="AZ21">
            <v>0</v>
          </cell>
          <cell r="BA21">
            <v>1</v>
          </cell>
          <cell r="BB21">
            <v>1.4149355187683173E-2</v>
          </cell>
          <cell r="BE21">
            <v>74100</v>
          </cell>
          <cell r="BF21" t="str">
            <v>Professional Services</v>
          </cell>
          <cell r="BG21">
            <v>0</v>
          </cell>
          <cell r="BH21">
            <v>0</v>
          </cell>
          <cell r="BI21">
            <v>0</v>
          </cell>
          <cell r="BJ21">
            <v>0</v>
          </cell>
          <cell r="BK21">
            <v>0</v>
          </cell>
          <cell r="BL21">
            <v>0</v>
          </cell>
          <cell r="BM21">
            <v>0</v>
          </cell>
          <cell r="BN21">
            <v>0</v>
          </cell>
          <cell r="BO21">
            <v>0.4907542017447773</v>
          </cell>
          <cell r="BP21">
            <v>0.50924579825522265</v>
          </cell>
          <cell r="BQ21">
            <v>4.3286077506903602E-2</v>
          </cell>
        </row>
        <row r="22">
          <cell r="A22">
            <v>74200</v>
          </cell>
          <cell r="B22" t="str">
            <v>Audio Visual&amp;Print Prod Costs</v>
          </cell>
          <cell r="C22">
            <v>0</v>
          </cell>
          <cell r="D22">
            <v>0</v>
          </cell>
          <cell r="E22">
            <v>0</v>
          </cell>
          <cell r="F22">
            <v>0</v>
          </cell>
          <cell r="G22">
            <v>0</v>
          </cell>
          <cell r="H22">
            <v>0</v>
          </cell>
          <cell r="I22"/>
          <cell r="J22"/>
          <cell r="K22">
            <v>0.49075420174477735</v>
          </cell>
          <cell r="L22">
            <v>0.50924579825522265</v>
          </cell>
          <cell r="M22">
            <v>3.9509500399555397E-3</v>
          </cell>
          <cell r="Q22">
            <v>74200</v>
          </cell>
          <cell r="R22" t="str">
            <v>Audio Visual&amp;Print Prod Costs</v>
          </cell>
          <cell r="S22">
            <v>0</v>
          </cell>
          <cell r="T22">
            <v>0</v>
          </cell>
          <cell r="U22">
            <v>0</v>
          </cell>
          <cell r="V22">
            <v>0</v>
          </cell>
          <cell r="W22">
            <v>1</v>
          </cell>
          <cell r="X22">
            <v>4.4532398282170031E-3</v>
          </cell>
          <cell r="AA22">
            <v>74100</v>
          </cell>
          <cell r="AB22" t="str">
            <v>Professional Services</v>
          </cell>
          <cell r="AC22">
            <v>0</v>
          </cell>
          <cell r="AD22">
            <v>0</v>
          </cell>
          <cell r="AE22">
            <v>0</v>
          </cell>
          <cell r="AF22">
            <v>0</v>
          </cell>
          <cell r="AG22">
            <v>1</v>
          </cell>
          <cell r="AH22">
            <v>1.2797552510957431E-2</v>
          </cell>
          <cell r="AK22">
            <v>74200</v>
          </cell>
          <cell r="AL22" t="str">
            <v>Audio Visual&amp;Print Prod Costs</v>
          </cell>
          <cell r="AM22">
            <v>0</v>
          </cell>
          <cell r="AN22">
            <v>0</v>
          </cell>
          <cell r="AO22">
            <v>0</v>
          </cell>
          <cell r="AP22">
            <v>0</v>
          </cell>
          <cell r="AQ22">
            <v>1</v>
          </cell>
          <cell r="AR22">
            <v>1.3277683439354114E-2</v>
          </cell>
          <cell r="AU22">
            <v>74100</v>
          </cell>
          <cell r="AV22" t="str">
            <v>Professional Services</v>
          </cell>
          <cell r="AW22">
            <v>0</v>
          </cell>
          <cell r="AX22">
            <v>0</v>
          </cell>
          <cell r="AY22">
            <v>0</v>
          </cell>
          <cell r="AZ22">
            <v>0</v>
          </cell>
          <cell r="BA22">
            <v>1</v>
          </cell>
          <cell r="BB22">
            <v>3.8156905442713912E-2</v>
          </cell>
          <cell r="BE22">
            <v>74200</v>
          </cell>
          <cell r="BF22" t="str">
            <v>Audio Visual&amp;Print Prod Costs</v>
          </cell>
          <cell r="BG22">
            <v>0</v>
          </cell>
          <cell r="BH22">
            <v>0</v>
          </cell>
          <cell r="BI22">
            <v>0</v>
          </cell>
          <cell r="BJ22">
            <v>0</v>
          </cell>
          <cell r="BK22">
            <v>0</v>
          </cell>
          <cell r="BL22">
            <v>0</v>
          </cell>
          <cell r="BM22">
            <v>0</v>
          </cell>
          <cell r="BN22">
            <v>0</v>
          </cell>
          <cell r="BO22">
            <v>0.49075420174477735</v>
          </cell>
          <cell r="BP22">
            <v>0.50924579825522265</v>
          </cell>
          <cell r="BQ22">
            <v>1.5062511694793572E-2</v>
          </cell>
        </row>
        <row r="23">
          <cell r="A23">
            <v>74500</v>
          </cell>
          <cell r="B23" t="str">
            <v>Miscellaneous Expenses</v>
          </cell>
          <cell r="C23">
            <v>0</v>
          </cell>
          <cell r="D23">
            <v>0</v>
          </cell>
          <cell r="E23">
            <v>0</v>
          </cell>
          <cell r="F23">
            <v>0</v>
          </cell>
          <cell r="G23">
            <v>3.3022967034510138E-2</v>
          </cell>
          <cell r="H23">
            <v>3.4267270964683058E-2</v>
          </cell>
          <cell r="I23"/>
          <cell r="J23"/>
          <cell r="K23">
            <v>0.45773123471026694</v>
          </cell>
          <cell r="L23">
            <v>0.47497852729053941</v>
          </cell>
          <cell r="M23">
            <v>5.3051162810743785E-3</v>
          </cell>
          <cell r="Q23">
            <v>74500</v>
          </cell>
          <cell r="R23" t="str">
            <v>Miscellaneous Expenses</v>
          </cell>
          <cell r="S23">
            <v>0</v>
          </cell>
          <cell r="T23">
            <v>0</v>
          </cell>
          <cell r="U23">
            <v>1.384267891364274E-2</v>
          </cell>
          <cell r="V23">
            <v>0.79428399534255323</v>
          </cell>
          <cell r="W23">
            <v>0.19187332574380411</v>
          </cell>
          <cell r="X23">
            <v>2.9067077799509341E-2</v>
          </cell>
          <cell r="AA23">
            <v>74200</v>
          </cell>
          <cell r="AB23" t="str">
            <v>Audio Visual&amp;Print Prod Costs</v>
          </cell>
          <cell r="AC23">
            <v>0</v>
          </cell>
          <cell r="AD23">
            <v>0</v>
          </cell>
          <cell r="AE23">
            <v>0</v>
          </cell>
          <cell r="AF23">
            <v>0</v>
          </cell>
          <cell r="AG23">
            <v>1</v>
          </cell>
          <cell r="AH23">
            <v>4.4532398282170005E-3</v>
          </cell>
          <cell r="AK23">
            <v>74500</v>
          </cell>
          <cell r="AL23" t="str">
            <v>Miscellaneous Expenses</v>
          </cell>
          <cell r="AM23">
            <v>0</v>
          </cell>
          <cell r="AN23">
            <v>0</v>
          </cell>
          <cell r="AO23">
            <v>1.384267891364274E-2</v>
          </cell>
          <cell r="AP23">
            <v>0.79428399534255323</v>
          </cell>
          <cell r="AQ23">
            <v>0.19187332574380411</v>
          </cell>
          <cell r="AR23">
            <v>8.6665769735443945E-2</v>
          </cell>
          <cell r="AU23">
            <v>74200</v>
          </cell>
          <cell r="AV23" t="str">
            <v>Audio Visual&amp;Print Prod Costs</v>
          </cell>
          <cell r="AW23">
            <v>0</v>
          </cell>
          <cell r="AX23">
            <v>0</v>
          </cell>
          <cell r="AY23">
            <v>0</v>
          </cell>
          <cell r="AZ23">
            <v>0</v>
          </cell>
          <cell r="BA23">
            <v>1</v>
          </cell>
          <cell r="BB23">
            <v>1.3277683439354076E-2</v>
          </cell>
          <cell r="BE23">
            <v>74500</v>
          </cell>
          <cell r="BF23" t="str">
            <v>Miscellaneous Expenses</v>
          </cell>
          <cell r="BG23">
            <v>0</v>
          </cell>
          <cell r="BH23">
            <v>0</v>
          </cell>
          <cell r="BI23">
            <v>0</v>
          </cell>
          <cell r="BJ23">
            <v>0</v>
          </cell>
          <cell r="BK23">
            <v>6.7933528402740039E-3</v>
          </cell>
          <cell r="BL23">
            <v>7.0493260733687363E-3</v>
          </cell>
          <cell r="BM23">
            <v>0.38979820809298704</v>
          </cell>
          <cell r="BN23">
            <v>0.40448578724956602</v>
          </cell>
          <cell r="BO23">
            <v>9.4162640811516207E-2</v>
          </cell>
          <cell r="BP23">
            <v>9.7710684932287892E-2</v>
          </cell>
          <cell r="BQ23">
            <v>9.8315656954833394E-2</v>
          </cell>
        </row>
        <row r="24">
          <cell r="A24">
            <v>74700</v>
          </cell>
          <cell r="B24" t="str">
            <v>Transport, Shipping and handle</v>
          </cell>
          <cell r="C24">
            <v>0</v>
          </cell>
          <cell r="D24">
            <v>0</v>
          </cell>
          <cell r="E24">
            <v>0</v>
          </cell>
          <cell r="F24">
            <v>0</v>
          </cell>
          <cell r="G24">
            <v>0</v>
          </cell>
          <cell r="H24">
            <v>0</v>
          </cell>
          <cell r="I24"/>
          <cell r="J24"/>
          <cell r="K24">
            <v>0.49075420174477724</v>
          </cell>
          <cell r="L24">
            <v>0.50924579825522265</v>
          </cell>
          <cell r="M24">
            <v>1.5912740690553681E-3</v>
          </cell>
          <cell r="Q24">
            <v>74700</v>
          </cell>
          <cell r="R24" t="str">
            <v>Transport, Shipping and handle</v>
          </cell>
          <cell r="S24"/>
          <cell r="T24"/>
          <cell r="U24"/>
          <cell r="V24"/>
          <cell r="W24"/>
          <cell r="X24"/>
          <cell r="AA24">
            <v>74500</v>
          </cell>
          <cell r="AB24" t="str">
            <v>Miscellaneous Expenses</v>
          </cell>
          <cell r="AC24">
            <v>0</v>
          </cell>
          <cell r="AD24">
            <v>0</v>
          </cell>
          <cell r="AE24">
            <v>1.384267891364274E-2</v>
          </cell>
          <cell r="AF24">
            <v>0.79428399534255312</v>
          </cell>
          <cell r="AG24">
            <v>0.19187332574380411</v>
          </cell>
          <cell r="AH24">
            <v>2.9067077799509327E-2</v>
          </cell>
          <cell r="AK24">
            <v>74700</v>
          </cell>
          <cell r="AL24" t="str">
            <v>Transport, Shipping and handle</v>
          </cell>
          <cell r="AM24"/>
          <cell r="AN24"/>
          <cell r="AO24"/>
          <cell r="AP24"/>
          <cell r="AQ24"/>
          <cell r="AR24"/>
          <cell r="AU24">
            <v>74500</v>
          </cell>
          <cell r="AV24" t="str">
            <v>Miscellaneous Expenses</v>
          </cell>
          <cell r="AW24">
            <v>0</v>
          </cell>
          <cell r="AX24">
            <v>0</v>
          </cell>
          <cell r="AY24">
            <v>1.384267891364274E-2</v>
          </cell>
          <cell r="AZ24">
            <v>0.79428399534255312</v>
          </cell>
          <cell r="BA24">
            <v>0.19187332574380411</v>
          </cell>
          <cell r="BB24">
            <v>8.666576973544371E-2</v>
          </cell>
          <cell r="BE24">
            <v>74700</v>
          </cell>
          <cell r="BF24" t="str">
            <v>Transport, Shipping and handle</v>
          </cell>
          <cell r="BG24"/>
          <cell r="BH24"/>
          <cell r="BI24"/>
          <cell r="BJ24"/>
          <cell r="BK24"/>
          <cell r="BL24"/>
          <cell r="BM24"/>
          <cell r="BN24"/>
          <cell r="BO24"/>
          <cell r="BP24"/>
          <cell r="BQ24"/>
        </row>
        <row r="25">
          <cell r="A25">
            <v>75700</v>
          </cell>
          <cell r="B25" t="str">
            <v>Training, Workshops and Confer</v>
          </cell>
          <cell r="C25">
            <v>0.19667348983781599</v>
          </cell>
          <cell r="D25">
            <v>0.2040841381938609</v>
          </cell>
          <cell r="E25">
            <v>0.18926030393995869</v>
          </cell>
          <cell r="F25">
            <v>0.19639162378084726</v>
          </cell>
          <cell r="G25">
            <v>0.10482040796700262</v>
          </cell>
          <cell r="H25">
            <v>0.10877003628051449</v>
          </cell>
          <cell r="I25"/>
          <cell r="J25"/>
          <cell r="K25">
            <v>0</v>
          </cell>
          <cell r="L25">
            <v>0</v>
          </cell>
          <cell r="M25">
            <v>8.1265762870942129E-3</v>
          </cell>
          <cell r="Q25">
            <v>75700</v>
          </cell>
          <cell r="R25" t="str">
            <v>Training, Workshops and Confer</v>
          </cell>
          <cell r="S25">
            <v>0.13465938134799141</v>
          </cell>
          <cell r="T25">
            <v>0.12958368442693552</v>
          </cell>
          <cell r="U25">
            <v>7.1768957275942083E-2</v>
          </cell>
          <cell r="V25">
            <v>0.66398797694913103</v>
          </cell>
          <cell r="W25">
            <v>0</v>
          </cell>
          <cell r="X25">
            <v>2.7260093790647706E-2</v>
          </cell>
          <cell r="AA25">
            <v>74700</v>
          </cell>
          <cell r="AB25" t="str">
            <v>Transport, Shipping and handle</v>
          </cell>
          <cell r="AC25"/>
          <cell r="AD25"/>
          <cell r="AE25"/>
          <cell r="AF25"/>
          <cell r="AG25"/>
          <cell r="AH25"/>
          <cell r="AK25">
            <v>75700</v>
          </cell>
          <cell r="AL25" t="str">
            <v>Training, Workshops and Confer</v>
          </cell>
          <cell r="AM25">
            <v>0.13465938134799141</v>
          </cell>
          <cell r="AN25">
            <v>0.12958368442693552</v>
          </cell>
          <cell r="AO25">
            <v>7.1768957275942083E-2</v>
          </cell>
          <cell r="AP25">
            <v>0.66398797694913103</v>
          </cell>
          <cell r="AQ25">
            <v>0</v>
          </cell>
          <cell r="AR25">
            <v>8.1278105343866369E-2</v>
          </cell>
          <cell r="AU25">
            <v>74700</v>
          </cell>
          <cell r="AV25" t="str">
            <v>Transport, Shipping and handle</v>
          </cell>
          <cell r="AW25"/>
          <cell r="AX25"/>
          <cell r="AY25"/>
          <cell r="AZ25"/>
          <cell r="BA25"/>
          <cell r="BB25"/>
          <cell r="BE25">
            <v>75700</v>
          </cell>
          <cell r="BF25" t="str">
            <v>Training, Workshops and Confer</v>
          </cell>
          <cell r="BG25">
            <v>6.6084657200879082E-2</v>
          </cell>
          <cell r="BH25">
            <v>6.8574724147112326E-2</v>
          </cell>
          <cell r="BI25">
            <v>6.359373761008788E-2</v>
          </cell>
          <cell r="BJ25">
            <v>6.5989946816847653E-2</v>
          </cell>
          <cell r="BK25">
            <v>3.5220917338009985E-2</v>
          </cell>
          <cell r="BL25">
            <v>3.6548039937932097E-2</v>
          </cell>
          <cell r="BM25">
            <v>0.32585488959580039</v>
          </cell>
          <cell r="BN25">
            <v>0.33813308735333059</v>
          </cell>
          <cell r="BO25">
            <v>0</v>
          </cell>
          <cell r="BP25">
            <v>0</v>
          </cell>
          <cell r="BQ25">
            <v>9.2203765654184353E-2</v>
          </cell>
        </row>
        <row r="26">
          <cell r="AA26">
            <v>75700</v>
          </cell>
          <cell r="AB26" t="str">
            <v>Training, Workshops and Confer</v>
          </cell>
          <cell r="AC26">
            <v>0.13465938134799141</v>
          </cell>
          <cell r="AD26">
            <v>0.12958368442693552</v>
          </cell>
          <cell r="AE26">
            <v>7.1768957275942069E-2</v>
          </cell>
          <cell r="AF26">
            <v>0.66398797694913092</v>
          </cell>
          <cell r="AG26">
            <v>0</v>
          </cell>
          <cell r="AH26">
            <v>2.7260093790647692E-2</v>
          </cell>
          <cell r="AU26">
            <v>75700</v>
          </cell>
          <cell r="AV26" t="str">
            <v>Training, Workshops and Confer</v>
          </cell>
          <cell r="AW26">
            <v>0.13465938134799141</v>
          </cell>
          <cell r="AX26">
            <v>0.12958368442693552</v>
          </cell>
          <cell r="AY26">
            <v>7.1768957275942069E-2</v>
          </cell>
          <cell r="AZ26">
            <v>0.66398797694913092</v>
          </cell>
          <cell r="BA26">
            <v>0</v>
          </cell>
          <cell r="BB26">
            <v>8.1278105343866147E-2</v>
          </cell>
        </row>
      </sheetData>
      <sheetData sheetId="17">
        <row r="4">
          <cell r="C4">
            <v>0.4907542017447773</v>
          </cell>
        </row>
        <row r="5">
          <cell r="C5">
            <v>0.50924579825522265</v>
          </cell>
        </row>
      </sheetData>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udget balance summary"/>
      <sheetName val="PIMS report"/>
      <sheetName val="Quantum report"/>
      <sheetName val="UNDP region"/>
      <sheetName val="BU"/>
      <sheetName val="Country component_OP8 PIF1"/>
      <sheetName val="PIMS budget_OP8 PIF1"/>
      <sheetName val="67 grant_OP8 PIF1"/>
      <sheetName val="STAR_OP8 PIF1"/>
    </sheetNames>
    <sheetDataSet>
      <sheetData sheetId="0"/>
      <sheetData sheetId="1"/>
      <sheetData sheetId="2" refreshError="1"/>
      <sheetData sheetId="3"/>
      <sheetData sheetId="4" refreshError="1"/>
      <sheetData sheetId="5" refreshError="1"/>
      <sheetData sheetId="6"/>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OP8 PIF2 Analysis of Grant 67%"/>
      <sheetName val="Countries in Part 2 PIF"/>
      <sheetName val="UNDP region"/>
      <sheetName val="country list_OP8"/>
      <sheetName val="allocation"/>
      <sheetName val="summary"/>
      <sheetName val="STAR Master Table_PIF 2_28OCT24"/>
      <sheetName val="Final LOI list_28OCT24"/>
      <sheetName val="OP8 PIF1 Analysis"/>
      <sheetName val="Countries in Part 1 PIF"/>
      <sheetName val="country list_PIF 1"/>
      <sheetName val="SGP OP8 Average Grant Estimate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8 PIF2 Analysis of Grant 67%"/>
      <sheetName val="Countries in Part 2 PIF"/>
      <sheetName val="UNDP region"/>
      <sheetName val="country list_OP8"/>
      <sheetName val="allocation"/>
      <sheetName val="STAR Master Table_PIF 2_28OCT24"/>
      <sheetName val="summary"/>
      <sheetName val="Final LOI list_28OCT24"/>
      <sheetName val="OP8 PIF1 Analysis"/>
      <sheetName val="Countries in Part 1 PIF"/>
      <sheetName val="country list_PIF 1"/>
      <sheetName val="SGP OP8 Average Grant Estimate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pivot (2)"/>
      <sheetName val="pivot"/>
      <sheetName val="STAR Master Table_PIF 2_10JUN25"/>
      <sheetName val="Final LOE list_Oct25"/>
      <sheetName val="Final LOI list_10JUN25"/>
      <sheetName val="STAR Master Table_PIF 2_18SEP24"/>
      <sheetName val="Final LOE list_18SEP24"/>
      <sheetName val="Final LOI list_18SEP24"/>
      <sheetName val="country list_OP8 PIF 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6 OP7  remain with UNOPS"/>
      <sheetName val="OP8  Analysis of Grant Vol. 67%"/>
      <sheetName val="Countries in Part 1 PIF"/>
      <sheetName val="OP8 PIF1 admin"/>
      <sheetName val="OP7 admin"/>
      <sheetName val="Sheet1"/>
      <sheetName val="OP8  Analysis of Grant Volume"/>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ject Budgets Approved"/>
      <sheetName val="UNOPS - Simplified Budget Struc"/>
      <sheetName val="Scenario 1.Internal Sheet"/>
      <sheetName val="Scenario 1. OP8 Budget Overview"/>
      <sheetName val="Scenario 1.OP8 Budget Breakdown"/>
      <sheetName val="TBWP_OP8 part 2"/>
      <sheetName val="GEF OP8 budget template"/>
      <sheetName val="Proc Plan Update"/>
      <sheetName val="Staff"/>
      <sheetName val="Audit"/>
      <sheetName val="budget with exp cat"/>
      <sheetName val="budget pivot"/>
      <sheetName val="Original Budget Annex_"/>
      <sheetName val="OP8 Budget Annex"/>
      <sheetName val="Budget Template (2)"/>
      <sheetName val="Budget Template_older"/>
      <sheetName val=" Budget Temp"/>
      <sheetName val="OP8 Budget Breakdown"/>
      <sheetName val="Comparison"/>
      <sheetName val="Pivot Diferences"/>
      <sheetName val="CPMT &amp; UNDP Proposal"/>
      <sheetName val="Comparison Pivot"/>
      <sheetName val="TBWP - OP7"/>
      <sheetName val="Source 1. OP8 Draft GEF Budget"/>
      <sheetName val="Source 1. OP8 Draft Budget Bd."/>
      <sheetName val="Scneario 2 Internal Sheet"/>
      <sheetName val="Scneario 2.OP8 Budget Breakdown"/>
      <sheetName val="Scenario 2. OP8 Budget Overview"/>
      <sheetName val="OP8 Budget Breakdown (2)"/>
      <sheetName val="Source 2.OP8 Draft Budget Overv"/>
      <sheetName val="OP8 Draft Total Budget &amp; WP (2)"/>
      <sheetName val="Sheet1"/>
      <sheetName val="Map"/>
      <sheetName val="Supporting Budget Tables"/>
      <sheetName val="Additional Table"/>
      <sheetName val="budget 2"/>
      <sheetName val="budget 1"/>
      <sheetName val="Part2_66"/>
      <sheetName val="CORE breakdown"/>
      <sheetName val="Part2 STAR_66"/>
      <sheetName val="Part2 summary"/>
      <sheetName val="Part2 STAR"/>
      <sheetName val="Budget Template_OP8 PIF1"/>
      <sheetName val="OP8 PIF1_67"/>
      <sheetName val="OP8 PIF1 STAR 67"/>
      <sheetName val="CI FAO"/>
      <sheetName val="Proc Plan"/>
      <sheetName val="Scenario 3 (70%) Budget Annex"/>
      <sheetName val="Scenario 3 (70%) Budget Tem"/>
      <sheetName val="Scenario 3 (70%) Proc Plan"/>
      <sheetName val="Cash Flow Per Year - OP8 Budget"/>
      <sheetName val="Overview of country and global "/>
      <sheetName val="Actual versus Budget comparison"/>
      <sheetName val="UNDP &amp; CPMT Proposal"/>
      <sheetName val="Detail Operations"/>
      <sheetName val="CPMT Costs Sources"/>
      <sheetName val="COB + PERSONNEL GLOBAL PIF I AV"/>
      <sheetName val="UNOPS UPDATED PERSONNEL COSTS"/>
      <sheetName val="DOA Structure"/>
      <sheetName val="Structures - Prototype"/>
      <sheetName val="Parameters"/>
      <sheetName val="OP8 part 2 Budget_66 grant_ou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ject Budgets Approved"/>
      <sheetName val="UNOPS - Simplified Budget Struc"/>
      <sheetName val="Scenario 1.Internal Sheet"/>
      <sheetName val="Scenario 1. OP8 Budget Overview"/>
      <sheetName val="Scenario 1.OP8 Budget Breakdown"/>
      <sheetName val="budget_UN to UN_without 0 lines"/>
      <sheetName val="budget_UN to UN"/>
      <sheetName val="budget_OP8 fund to UNOPS"/>
      <sheetName val="percentage_without M&amp;E"/>
      <sheetName val="percentage"/>
      <sheetName val="OP8 PIF1 TBWP_simplified"/>
      <sheetName val="OP8 PIF1 TBWP"/>
      <sheetName val="Original Budget Annex_"/>
      <sheetName val="OP8 Budget Annex"/>
      <sheetName val="Budget Template (2)"/>
      <sheetName val="Budget Template_older"/>
      <sheetName val=" Budget Temp"/>
      <sheetName val="OP8 Budget Breakdown"/>
      <sheetName val="Comparison"/>
      <sheetName val="Pivot Diferences"/>
      <sheetName val="CPMT &amp; UNDP Proposal"/>
      <sheetName val="Comparison Pivot"/>
      <sheetName val="TBWP - OP7"/>
      <sheetName val="Source 1. OP8 Draft GEF Budget"/>
      <sheetName val="Source 1. OP8 Draft Budget Bd."/>
      <sheetName val="Scneario 2 Internal Sheet"/>
      <sheetName val="Scneario 2.OP8 Budget Breakdown"/>
      <sheetName val="Scenario 2. OP8 Budget Overview"/>
      <sheetName val="OP8 Budget Breakdown (2)"/>
      <sheetName val="Source 2.OP8 Draft Budget Overv"/>
      <sheetName val="OP8 Draft Total Budget &amp; WP (2)"/>
      <sheetName val="Sheet1"/>
      <sheetName val="Map"/>
      <sheetName val="Supporting Budget Tables"/>
      <sheetName val="Additional Table"/>
      <sheetName val="Proc Plan"/>
      <sheetName val="Scenario 3 (70%) Budget Annex"/>
      <sheetName val="Scenario 3 (70%) Budget Tem"/>
      <sheetName val="Scenario 3 (70%) Proc Plan"/>
      <sheetName val="Cash Flow Per Year - OP8 Budget"/>
      <sheetName val="Overview of country and global "/>
      <sheetName val="Actual versus Budget comparison"/>
      <sheetName val="UNDP &amp; CPMT Proposal"/>
      <sheetName val="Detail Operations"/>
      <sheetName val="CPMT Costs Sources"/>
      <sheetName val="COB + PERSONNEL GLOBAL PIF I AV"/>
      <sheetName val="UNOPS UPDATED PERSONNEL COSTS"/>
      <sheetName val="DOA Structure"/>
      <sheetName val="Structures - Prototype"/>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Worksheet"/>
      <sheetName val="PIMS ID_OP8 PIF1"/>
      <sheetName val="Sheet1"/>
      <sheetName val="component"/>
    </sheetNames>
    <sheetDataSet>
      <sheetData sheetId="0"/>
      <sheetData sheetId="1"/>
      <sheetData sheetId="2" refreshError="1"/>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6 OP7  remain with UNOPS"/>
      <sheetName val="Countries Parts 1 and 2 Oct 25"/>
      <sheetName val="Countries in Part 1 PIF_updated"/>
      <sheetName val="latest desk officer_RBA RBAS"/>
      <sheetName val="OP8  Analysis of Grant Vol. 67%"/>
      <sheetName val="Countries in Part 1 PIF"/>
      <sheetName val="GEF SEC mail list"/>
      <sheetName val="Sheet1"/>
      <sheetName val="OP8  Analysis of Grant Volume"/>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6 OP7  remain with UNOPS"/>
      <sheetName val="Countries Parts 1 and 2 Oct 25"/>
      <sheetName val="Countries in Part 1 PIF_updated"/>
      <sheetName val="latest desk officer_RBA RBAS"/>
      <sheetName val="OP8  Analysis of Grant Vol. 67%"/>
      <sheetName val="Countries in Part 1 PIF"/>
      <sheetName val="GEF SEC mail list"/>
      <sheetName val="Sheet1"/>
      <sheetName val="OP8  Analysis of Grant Volume"/>
    </sheetNames>
    <sheetDataSet>
      <sheetData sheetId="0"/>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ject Budgets Approved"/>
      <sheetName val="UNOPS - Simplified Budget Struc"/>
      <sheetName val="Scenario 1.Internal Sheet"/>
      <sheetName val="Scenario 1. OP8 Budget Overview"/>
      <sheetName val="Scenario 1.OP8 Budget Breakdown"/>
      <sheetName val="budget_OP8 PIF2"/>
      <sheetName val="Budget Annex for GEF Update"/>
      <sheetName val="Proc Plan Update"/>
      <sheetName val="budget pivot"/>
      <sheetName val="Original Budget Annex_"/>
      <sheetName val="OP8 Budget Annex"/>
      <sheetName val="Budget Template (2)"/>
      <sheetName val="Budget Template_older"/>
      <sheetName val=" Budget Temp"/>
      <sheetName val="OP8 Budget Breakdown"/>
      <sheetName val="Comparison"/>
      <sheetName val="Pivot Diferences"/>
      <sheetName val="CPMT &amp; UNDP Proposal"/>
      <sheetName val="Comparison Pivot"/>
      <sheetName val="TBWP - OP7"/>
      <sheetName val="Source 1. OP8 Draft GEF Budget"/>
      <sheetName val="Source 1. OP8 Draft Budget Bd."/>
      <sheetName val="Scneario 2 Internal Sheet"/>
      <sheetName val="Scneario 2.OP8 Budget Breakdown"/>
      <sheetName val="Scenario 2. OP8 Budget Overview"/>
      <sheetName val="OP8 Budget Breakdown (2)"/>
      <sheetName val="Source 2.OP8 Draft Budget Overv"/>
      <sheetName val="OP8 Draft Total Budget &amp; WP (2)"/>
      <sheetName val="Sheet1"/>
      <sheetName val="Map"/>
      <sheetName val="Supporting Budget Tables"/>
      <sheetName val="Additional Table"/>
      <sheetName val="budget for pivot"/>
      <sheetName val="OP8 PIF2_66"/>
      <sheetName val="OP8 PIF2 STAR_66"/>
      <sheetName val="OP8 PIF2 summary"/>
      <sheetName val="PIF2 STAR summary"/>
      <sheetName val="Budget Template_OP8 PIF1"/>
      <sheetName val="OP8 PIF1_67"/>
      <sheetName val="OP8 PIF1 STAR 67"/>
      <sheetName val="CI FAO"/>
      <sheetName val="Proc Plan"/>
      <sheetName val="Scenario 3 (70%) Budget Annex"/>
      <sheetName val="Scenario 3 (70%) Budget Tem"/>
      <sheetName val="Scenario 3 (70%) Proc Plan"/>
      <sheetName val="Cash Flow Per Year - OP8 Budget"/>
      <sheetName val="Overview of country and global "/>
      <sheetName val="Actual versus Budget comparison"/>
      <sheetName val="UNDP &amp; CPMT Proposal"/>
      <sheetName val="Detail Operations"/>
      <sheetName val="CPMT Costs Sources"/>
      <sheetName val="COB + PERSONNEL GLOBAL PIF I AV"/>
      <sheetName val="UNOPS UPDATED PERSONNEL COSTS"/>
      <sheetName val="DOA Structure"/>
      <sheetName val="Structures - Prototype"/>
      <sheetName val="Parameters"/>
      <sheetName val="OP8 PIF2 Budget_66 grant_outc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ssue Log"/>
      <sheetName val="Tool Guidance Notes"/>
      <sheetName val="Country Finance Tool"/>
      <sheetName val="SGP NHIs"/>
      <sheetName val="Oct30 PIF2 Grant 67%"/>
      <sheetName val="SGP OP8 Model"/>
      <sheetName val="HELPER - SGP OP8 Model"/>
      <sheetName val="DJI Sample NPSA Comparison"/>
      <sheetName val="MCO Estimates"/>
      <sheetName val="JAM Grants"/>
      <sheetName val="HON Grants"/>
      <sheetName val="CPV Grants"/>
      <sheetName val="HR Transition Timeline - Linked"/>
      <sheetName val="UNOPS HR Data (5 May 2025)"/>
      <sheetName val="UNDP OPT Salary Scales Feb 2025"/>
      <sheetName val="DropDown Lists"/>
      <sheetName val="LICA to NPSA Comparison"/>
      <sheetName val="Country &amp; Regional Balances"/>
      <sheetName val="Jun25 PIF1 Grant 67%"/>
      <sheetName val="2024 COBs"/>
      <sheetName val="Sheet1"/>
      <sheetName val="2025 COB Estimates"/>
      <sheetName val="Current Grants at UNOPS"/>
      <sheetName val="ICCA Fu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
          <cell r="AA3" t="str">
            <v>Country Name (UNDP)</v>
          </cell>
          <cell r="AB3" t="str">
            <v>ISO</v>
          </cell>
          <cell r="AC3" t="str">
            <v>Region</v>
          </cell>
          <cell r="AD3" t="str">
            <v>c.TRAININGS / WORKSHOPS / MEETINGS</v>
          </cell>
          <cell r="AE3" t="str">
            <v>d.TRAVEL / M&amp;E</v>
          </cell>
          <cell r="AF3" t="str">
            <v>e.PREMISES</v>
          </cell>
          <cell r="AG3" t="str">
            <v>f.OFFICE SUPPLIES</v>
          </cell>
          <cell r="AH3" t="str">
            <v>g.OTHER OPERATING COSTS (TA)</v>
          </cell>
          <cell r="AI3" t="str">
            <v>h.OTHER OPERATING COSTS (Eq/Op/Ma)</v>
          </cell>
          <cell r="AJ3" t="str">
            <v>i.OTHER OPERATING COSTS (OR/KM)</v>
          </cell>
          <cell r="AK3" t="str">
            <v>j.OTHER OPERATING COSTS (Sundry)</v>
          </cell>
        </row>
        <row r="4">
          <cell r="AA4" t="str">
            <v>Angola</v>
          </cell>
          <cell r="AB4" t="str">
            <v>AGO</v>
          </cell>
          <cell r="AC4" t="str">
            <v>RBA</v>
          </cell>
          <cell r="AD4">
            <v>3665.7119680711562</v>
          </cell>
          <cell r="AE4">
            <v>8604.9880036294471</v>
          </cell>
          <cell r="AF4">
            <v>11234.887044752235</v>
          </cell>
          <cell r="AG4">
            <v>455.77703546194442</v>
          </cell>
          <cell r="AH4">
            <v>589.03536505136753</v>
          </cell>
          <cell r="AI4">
            <v>3051.1185341957498</v>
          </cell>
          <cell r="AJ4">
            <v>1595.5804926642691</v>
          </cell>
          <cell r="AK4">
            <v>274.69246421290615</v>
          </cell>
        </row>
        <row r="5">
          <cell r="AA5" t="str">
            <v>Benin</v>
          </cell>
          <cell r="AB5" t="str">
            <v>BEN</v>
          </cell>
          <cell r="AC5" t="str">
            <v>RBA</v>
          </cell>
          <cell r="AD5">
            <v>3000</v>
          </cell>
          <cell r="AE5">
            <v>6750</v>
          </cell>
          <cell r="AF5">
            <v>9086.25</v>
          </cell>
          <cell r="AG5">
            <v>513.75</v>
          </cell>
          <cell r="AH5">
            <v>0</v>
          </cell>
          <cell r="AI5">
            <v>2175</v>
          </cell>
          <cell r="AJ5">
            <v>975</v>
          </cell>
          <cell r="AK5">
            <v>0</v>
          </cell>
        </row>
        <row r="6">
          <cell r="AA6" t="str">
            <v>Botswana</v>
          </cell>
          <cell r="AB6" t="str">
            <v>BWA</v>
          </cell>
          <cell r="AC6" t="str">
            <v>RBA</v>
          </cell>
          <cell r="AD6">
            <v>12600</v>
          </cell>
          <cell r="AE6">
            <v>10500</v>
          </cell>
          <cell r="AF6">
            <v>6000</v>
          </cell>
          <cell r="AG6">
            <v>180</v>
          </cell>
          <cell r="AH6">
            <v>0</v>
          </cell>
          <cell r="AI6">
            <v>2190</v>
          </cell>
          <cell r="AJ6">
            <v>2100</v>
          </cell>
          <cell r="AK6">
            <v>180</v>
          </cell>
        </row>
        <row r="7">
          <cell r="AA7" t="str">
            <v>Burkina Faso</v>
          </cell>
          <cell r="AB7" t="str">
            <v>BFA</v>
          </cell>
          <cell r="AC7" t="str">
            <v>RBA</v>
          </cell>
          <cell r="AD7">
            <v>5207.9480000000003</v>
          </cell>
          <cell r="AE7">
            <v>6166.4139999999998</v>
          </cell>
          <cell r="AF7">
            <v>15640.808000000001</v>
          </cell>
          <cell r="AG7">
            <v>424.1</v>
          </cell>
          <cell r="AH7">
            <v>0</v>
          </cell>
          <cell r="AI7">
            <v>4792.33</v>
          </cell>
          <cell r="AJ7">
            <v>1696.4</v>
          </cell>
          <cell r="AK7">
            <v>0</v>
          </cell>
        </row>
        <row r="8">
          <cell r="AA8" t="str">
            <v>Burundi</v>
          </cell>
          <cell r="AB8" t="str">
            <v>BDI</v>
          </cell>
          <cell r="AC8" t="str">
            <v>RBA</v>
          </cell>
          <cell r="AD8">
            <v>4125</v>
          </cell>
          <cell r="AE8">
            <v>5999.9999999999991</v>
          </cell>
          <cell r="AF8">
            <v>18298.5</v>
          </cell>
          <cell r="AG8">
            <v>1875</v>
          </cell>
          <cell r="AH8">
            <v>0</v>
          </cell>
          <cell r="AI8">
            <v>4500</v>
          </cell>
          <cell r="AJ8">
            <v>374.99999999999994</v>
          </cell>
          <cell r="AK8">
            <v>0</v>
          </cell>
        </row>
        <row r="9">
          <cell r="AA9" t="str">
            <v>Cabo Verde</v>
          </cell>
          <cell r="AB9" t="str">
            <v>CPV</v>
          </cell>
          <cell r="AC9" t="str">
            <v>RBA</v>
          </cell>
          <cell r="AD9">
            <v>3924.1770715096482</v>
          </cell>
          <cell r="AE9">
            <v>6867.3098751418847</v>
          </cell>
          <cell r="AF9">
            <v>10584.066158586022</v>
          </cell>
          <cell r="AG9">
            <v>0</v>
          </cell>
          <cell r="AH9">
            <v>0</v>
          </cell>
          <cell r="AI9">
            <v>18.686557483379275</v>
          </cell>
          <cell r="AJ9">
            <v>1597.7006648289282</v>
          </cell>
          <cell r="AK9">
            <v>56.059672450137832</v>
          </cell>
        </row>
        <row r="10">
          <cell r="AA10" t="str">
            <v>Cameroon</v>
          </cell>
          <cell r="AB10" t="str">
            <v>CMR</v>
          </cell>
          <cell r="AC10" t="str">
            <v>RBA</v>
          </cell>
          <cell r="AD10">
            <v>0</v>
          </cell>
          <cell r="AE10">
            <v>4356.1073825503354</v>
          </cell>
          <cell r="AF10">
            <v>12323.935123042505</v>
          </cell>
          <cell r="AG10">
            <v>0</v>
          </cell>
          <cell r="AH10">
            <v>0</v>
          </cell>
          <cell r="AI10">
            <v>3260.9574944071592</v>
          </cell>
          <cell r="AJ10">
            <v>0</v>
          </cell>
          <cell r="AK10">
            <v>0</v>
          </cell>
        </row>
        <row r="11">
          <cell r="AA11" t="str">
            <v>Central African Republic</v>
          </cell>
          <cell r="AB11" t="str">
            <v>CAF</v>
          </cell>
          <cell r="AC11" t="str">
            <v>RBA</v>
          </cell>
          <cell r="AD11">
            <v>3450</v>
          </cell>
          <cell r="AE11">
            <v>4199.9999999999991</v>
          </cell>
          <cell r="AF11">
            <v>15986.399999999998</v>
          </cell>
          <cell r="AG11">
            <v>2400</v>
          </cell>
          <cell r="AH11">
            <v>0</v>
          </cell>
          <cell r="AI11">
            <v>2249.9999999999995</v>
          </cell>
          <cell r="AJ11">
            <v>1500</v>
          </cell>
          <cell r="AK11">
            <v>0</v>
          </cell>
        </row>
        <row r="12">
          <cell r="AA12" t="str">
            <v>Chad</v>
          </cell>
          <cell r="AB12" t="str">
            <v>TCD</v>
          </cell>
          <cell r="AC12" t="str">
            <v>RBA</v>
          </cell>
          <cell r="AD12">
            <v>3665.7119680711562</v>
          </cell>
          <cell r="AE12">
            <v>8604.9880036294471</v>
          </cell>
          <cell r="AF12">
            <v>11234.887044752235</v>
          </cell>
          <cell r="AG12">
            <v>455.77703546194442</v>
          </cell>
          <cell r="AH12">
            <v>589.03536505136753</v>
          </cell>
          <cell r="AI12">
            <v>3051.1185341957498</v>
          </cell>
          <cell r="AJ12">
            <v>1595.5804926642691</v>
          </cell>
          <cell r="AK12">
            <v>274.69246421290615</v>
          </cell>
        </row>
        <row r="13">
          <cell r="AA13" t="str">
            <v>Comoros</v>
          </cell>
          <cell r="AB13" t="str">
            <v>COM</v>
          </cell>
          <cell r="AC13" t="str">
            <v>RBA</v>
          </cell>
          <cell r="AD13">
            <v>6752.0000000000009</v>
          </cell>
          <cell r="AE13">
            <v>12579</v>
          </cell>
          <cell r="AF13">
            <v>0</v>
          </cell>
          <cell r="AG13">
            <v>1000</v>
          </cell>
          <cell r="AH13">
            <v>0</v>
          </cell>
          <cell r="AI13">
            <v>6398</v>
          </cell>
          <cell r="AJ13">
            <v>0</v>
          </cell>
          <cell r="AK13">
            <v>0</v>
          </cell>
        </row>
        <row r="14">
          <cell r="AA14" t="str">
            <v>Congo (Brazzaville)</v>
          </cell>
          <cell r="AB14" t="str">
            <v>COG</v>
          </cell>
          <cell r="AC14" t="str">
            <v>RBA</v>
          </cell>
          <cell r="AD14">
            <v>1500</v>
          </cell>
          <cell r="AE14">
            <v>3458</v>
          </cell>
          <cell r="AF14">
            <v>6193</v>
          </cell>
          <cell r="AG14">
            <v>200</v>
          </cell>
          <cell r="AH14">
            <v>0</v>
          </cell>
          <cell r="AI14">
            <v>500</v>
          </cell>
          <cell r="AJ14">
            <v>0</v>
          </cell>
          <cell r="AK14">
            <v>0</v>
          </cell>
        </row>
        <row r="15">
          <cell r="AA15" t="str">
            <v>Congo, DR</v>
          </cell>
          <cell r="AB15" t="str">
            <v>COD</v>
          </cell>
          <cell r="AC15" t="str">
            <v>RBA</v>
          </cell>
          <cell r="AD15">
            <v>0</v>
          </cell>
          <cell r="AE15">
            <v>12000</v>
          </cell>
          <cell r="AF15">
            <v>9600</v>
          </cell>
          <cell r="AG15">
            <v>419.99999999999994</v>
          </cell>
          <cell r="AH15">
            <v>0</v>
          </cell>
          <cell r="AI15">
            <v>839.99999999999989</v>
          </cell>
          <cell r="AJ15">
            <v>294</v>
          </cell>
          <cell r="AK15">
            <v>0</v>
          </cell>
        </row>
        <row r="16">
          <cell r="AA16" t="str">
            <v>Cote d'Ivoire</v>
          </cell>
          <cell r="AB16" t="str">
            <v>CIV</v>
          </cell>
          <cell r="AC16" t="str">
            <v>RBA</v>
          </cell>
          <cell r="AD16">
            <v>1316.25</v>
          </cell>
          <cell r="AE16">
            <v>2807.25</v>
          </cell>
          <cell r="AF16">
            <v>24022.5</v>
          </cell>
          <cell r="AG16">
            <v>1428</v>
          </cell>
          <cell r="AH16">
            <v>0</v>
          </cell>
          <cell r="AI16">
            <v>1446</v>
          </cell>
          <cell r="AJ16">
            <v>1405.5</v>
          </cell>
          <cell r="AK16">
            <v>634.5</v>
          </cell>
        </row>
        <row r="17">
          <cell r="AA17" t="str">
            <v>Equatorial Guinea</v>
          </cell>
          <cell r="AB17" t="str">
            <v>GNQ</v>
          </cell>
          <cell r="AC17" t="str">
            <v>RBA</v>
          </cell>
          <cell r="AD17" t="e">
            <v>#VALUE!</v>
          </cell>
          <cell r="AE17" t="e">
            <v>#VALUE!</v>
          </cell>
          <cell r="AF17" t="e">
            <v>#VALUE!</v>
          </cell>
          <cell r="AG17" t="e">
            <v>#VALUE!</v>
          </cell>
          <cell r="AH17" t="e">
            <v>#VALUE!</v>
          </cell>
          <cell r="AI17" t="e">
            <v>#VALUE!</v>
          </cell>
          <cell r="AJ17" t="e">
            <v>#VALUE!</v>
          </cell>
          <cell r="AK17" t="e">
            <v>#VALUE!</v>
          </cell>
        </row>
        <row r="18">
          <cell r="AA18" t="str">
            <v>Eritrea</v>
          </cell>
          <cell r="AB18" t="str">
            <v>ERI</v>
          </cell>
          <cell r="AC18" t="str">
            <v>RBA</v>
          </cell>
          <cell r="AD18">
            <v>2605.6663795225204</v>
          </cell>
          <cell r="AE18">
            <v>3235.2233571252768</v>
          </cell>
          <cell r="AF18">
            <v>17666.068299286242</v>
          </cell>
          <cell r="AG18">
            <v>629.55697760275666</v>
          </cell>
          <cell r="AH18">
            <v>0</v>
          </cell>
          <cell r="AI18">
            <v>2993.8931823775538</v>
          </cell>
          <cell r="AJ18">
            <v>1203.1533349741571</v>
          </cell>
          <cell r="AK18">
            <v>87.438469111493973</v>
          </cell>
        </row>
        <row r="19">
          <cell r="AA19" t="str">
            <v>Eswatini</v>
          </cell>
          <cell r="AB19" t="str">
            <v>SWZ</v>
          </cell>
          <cell r="AC19" t="str">
            <v>RBA</v>
          </cell>
          <cell r="AD19">
            <v>1950</v>
          </cell>
          <cell r="AE19">
            <v>1692</v>
          </cell>
          <cell r="AF19">
            <v>3756</v>
          </cell>
          <cell r="AG19">
            <v>0</v>
          </cell>
          <cell r="AH19">
            <v>0</v>
          </cell>
          <cell r="AI19">
            <v>240</v>
          </cell>
          <cell r="AJ19">
            <v>0</v>
          </cell>
          <cell r="AK19">
            <v>0</v>
          </cell>
        </row>
        <row r="20">
          <cell r="AA20" t="str">
            <v>Ethiopia</v>
          </cell>
          <cell r="AB20" t="str">
            <v>ETH</v>
          </cell>
          <cell r="AC20" t="str">
            <v>RBA</v>
          </cell>
          <cell r="AD20">
            <v>6450</v>
          </cell>
          <cell r="AE20">
            <v>10219.5</v>
          </cell>
          <cell r="AF20">
            <v>8386.5</v>
          </cell>
          <cell r="AG20">
            <v>738.00000000000011</v>
          </cell>
          <cell r="AH20">
            <v>0</v>
          </cell>
          <cell r="AI20">
            <v>4019.25</v>
          </cell>
          <cell r="AJ20">
            <v>3593.25</v>
          </cell>
          <cell r="AK20">
            <v>225</v>
          </cell>
        </row>
        <row r="21">
          <cell r="AA21" t="str">
            <v>Gabon</v>
          </cell>
          <cell r="AB21" t="str">
            <v>GAB</v>
          </cell>
          <cell r="AC21" t="str">
            <v>RBA</v>
          </cell>
          <cell r="AD21">
            <v>3750</v>
          </cell>
          <cell r="AE21">
            <v>5850</v>
          </cell>
          <cell r="AF21">
            <v>5025</v>
          </cell>
          <cell r="AG21">
            <v>0</v>
          </cell>
          <cell r="AH21">
            <v>0</v>
          </cell>
          <cell r="AI21">
            <v>0</v>
          </cell>
          <cell r="AJ21">
            <v>7874.9999999999991</v>
          </cell>
          <cell r="AK21">
            <v>0</v>
          </cell>
        </row>
        <row r="22">
          <cell r="AA22" t="str">
            <v>Gambia</v>
          </cell>
          <cell r="AB22" t="str">
            <v>GMB</v>
          </cell>
          <cell r="AC22" t="str">
            <v>RBA</v>
          </cell>
          <cell r="AD22">
            <v>930</v>
          </cell>
          <cell r="AE22">
            <v>2526</v>
          </cell>
          <cell r="AF22">
            <v>2490</v>
          </cell>
          <cell r="AG22">
            <v>360</v>
          </cell>
          <cell r="AH22">
            <v>0</v>
          </cell>
          <cell r="AI22">
            <v>3885</v>
          </cell>
          <cell r="AJ22">
            <v>1620</v>
          </cell>
          <cell r="AK22">
            <v>119.99999999999999</v>
          </cell>
        </row>
        <row r="23">
          <cell r="AA23" t="str">
            <v>Ghana</v>
          </cell>
          <cell r="AB23" t="str">
            <v>GHA</v>
          </cell>
          <cell r="AC23" t="str">
            <v>RBA</v>
          </cell>
          <cell r="AD23">
            <v>1560</v>
          </cell>
          <cell r="AE23">
            <v>9300</v>
          </cell>
          <cell r="AF23">
            <v>8880</v>
          </cell>
          <cell r="AG23">
            <v>300</v>
          </cell>
          <cell r="AH23">
            <v>0</v>
          </cell>
          <cell r="AI23">
            <v>3390.0000000000005</v>
          </cell>
          <cell r="AJ23">
            <v>540</v>
          </cell>
          <cell r="AK23">
            <v>0</v>
          </cell>
        </row>
        <row r="24">
          <cell r="AA24" t="str">
            <v>Guinea</v>
          </cell>
          <cell r="AB24" t="str">
            <v>GIN</v>
          </cell>
          <cell r="AC24" t="str">
            <v>RBA</v>
          </cell>
          <cell r="AD24">
            <v>300</v>
          </cell>
          <cell r="AE24">
            <v>2625</v>
          </cell>
          <cell r="AF24">
            <v>20625</v>
          </cell>
          <cell r="AG24">
            <v>577.5</v>
          </cell>
          <cell r="AH24">
            <v>0</v>
          </cell>
          <cell r="AI24">
            <v>2685</v>
          </cell>
          <cell r="AJ24">
            <v>0</v>
          </cell>
          <cell r="AK24">
            <v>562.5</v>
          </cell>
        </row>
        <row r="25">
          <cell r="AA25" t="str">
            <v>Guinea Bissau</v>
          </cell>
          <cell r="AB25" t="str">
            <v>GNB</v>
          </cell>
          <cell r="AC25" t="str">
            <v>RBA</v>
          </cell>
          <cell r="AD25">
            <v>0</v>
          </cell>
          <cell r="AE25">
            <v>0</v>
          </cell>
          <cell r="AF25">
            <v>15125</v>
          </cell>
          <cell r="AG25">
            <v>0</v>
          </cell>
          <cell r="AH25">
            <v>0</v>
          </cell>
          <cell r="AI25">
            <v>5000</v>
          </cell>
          <cell r="AJ25">
            <v>0</v>
          </cell>
          <cell r="AK25">
            <v>0</v>
          </cell>
        </row>
        <row r="26">
          <cell r="AA26" t="str">
            <v>Kenya</v>
          </cell>
          <cell r="AB26" t="str">
            <v>KEN</v>
          </cell>
          <cell r="AC26" t="str">
            <v>RBA</v>
          </cell>
          <cell r="AD26" t="e">
            <v>#VALUE!</v>
          </cell>
          <cell r="AE26" t="e">
            <v>#VALUE!</v>
          </cell>
          <cell r="AF26" t="e">
            <v>#VALUE!</v>
          </cell>
          <cell r="AG26" t="e">
            <v>#VALUE!</v>
          </cell>
          <cell r="AH26" t="e">
            <v>#VALUE!</v>
          </cell>
          <cell r="AI26" t="e">
            <v>#VALUE!</v>
          </cell>
          <cell r="AJ26" t="e">
            <v>#VALUE!</v>
          </cell>
          <cell r="AK26" t="e">
            <v>#VALUE!</v>
          </cell>
        </row>
        <row r="27">
          <cell r="AA27" t="str">
            <v>Lesotho</v>
          </cell>
          <cell r="AB27" t="str">
            <v>LSO</v>
          </cell>
          <cell r="AC27" t="str">
            <v>RBA</v>
          </cell>
          <cell r="AD27">
            <v>4164.5999999999995</v>
          </cell>
          <cell r="AE27">
            <v>3877.1999999999994</v>
          </cell>
          <cell r="AF27">
            <v>3373.7999999999997</v>
          </cell>
          <cell r="AG27">
            <v>96.59999999999998</v>
          </cell>
          <cell r="AH27">
            <v>0</v>
          </cell>
          <cell r="AI27">
            <v>2513.9999999999995</v>
          </cell>
          <cell r="AJ27">
            <v>1434</v>
          </cell>
          <cell r="AK27">
            <v>0</v>
          </cell>
        </row>
        <row r="28">
          <cell r="AA28" t="str">
            <v>Liberia</v>
          </cell>
          <cell r="AB28" t="str">
            <v>LBR</v>
          </cell>
          <cell r="AC28" t="str">
            <v>RBA</v>
          </cell>
          <cell r="AD28">
            <v>0</v>
          </cell>
          <cell r="AE28">
            <v>11626.8</v>
          </cell>
          <cell r="AF28">
            <v>4836.5999999999995</v>
          </cell>
          <cell r="AG28">
            <v>2459.9999999999995</v>
          </cell>
          <cell r="AH28">
            <v>0</v>
          </cell>
          <cell r="AI28">
            <v>1367.9999999999998</v>
          </cell>
          <cell r="AJ28">
            <v>1485</v>
          </cell>
          <cell r="AK28">
            <v>0</v>
          </cell>
        </row>
        <row r="29">
          <cell r="AA29" t="str">
            <v>Madagascar</v>
          </cell>
          <cell r="AB29" t="str">
            <v>MDG</v>
          </cell>
          <cell r="AC29" t="str">
            <v>RBA</v>
          </cell>
          <cell r="AD29">
            <v>3990.5795454545455</v>
          </cell>
          <cell r="AE29">
            <v>19456.292272727274</v>
          </cell>
          <cell r="AF29">
            <v>11838.719318181818</v>
          </cell>
          <cell r="AG29">
            <v>0</v>
          </cell>
          <cell r="AH29">
            <v>0</v>
          </cell>
          <cell r="AI29">
            <v>3684.6351136363637</v>
          </cell>
          <cell r="AJ29">
            <v>0</v>
          </cell>
          <cell r="AK29">
            <v>48.77375</v>
          </cell>
        </row>
        <row r="30">
          <cell r="AA30" t="str">
            <v>Malawi</v>
          </cell>
          <cell r="AB30" t="str">
            <v>MWI</v>
          </cell>
          <cell r="AC30" t="str">
            <v>RBA</v>
          </cell>
          <cell r="AD30">
            <v>6443.25</v>
          </cell>
          <cell r="AE30">
            <v>5376</v>
          </cell>
          <cell r="AF30">
            <v>3000</v>
          </cell>
          <cell r="AG30">
            <v>300</v>
          </cell>
          <cell r="AH30">
            <v>0</v>
          </cell>
          <cell r="AI30">
            <v>232.5</v>
          </cell>
          <cell r="AJ30">
            <v>0</v>
          </cell>
          <cell r="AK30">
            <v>0</v>
          </cell>
        </row>
        <row r="31">
          <cell r="AA31" t="str">
            <v>Mali</v>
          </cell>
          <cell r="AB31" t="str">
            <v>MLI</v>
          </cell>
          <cell r="AC31" t="str">
            <v>RBA</v>
          </cell>
          <cell r="AD31">
            <v>6907.5241674846184</v>
          </cell>
          <cell r="AE31">
            <v>7545.3139259294721</v>
          </cell>
          <cell r="AF31">
            <v>24318.065643628353</v>
          </cell>
          <cell r="AG31">
            <v>0</v>
          </cell>
          <cell r="AH31">
            <v>0</v>
          </cell>
          <cell r="AI31">
            <v>0</v>
          </cell>
          <cell r="AJ31">
            <v>0</v>
          </cell>
          <cell r="AK31">
            <v>178.0962629575543</v>
          </cell>
        </row>
        <row r="32">
          <cell r="AA32" t="str">
            <v>Mauritania</v>
          </cell>
          <cell r="AB32" t="str">
            <v>MRT</v>
          </cell>
          <cell r="AC32" t="str">
            <v>RBA</v>
          </cell>
          <cell r="AD32">
            <v>1200</v>
          </cell>
          <cell r="AE32">
            <v>7200</v>
          </cell>
          <cell r="AF32">
            <v>9000</v>
          </cell>
          <cell r="AG32">
            <v>0</v>
          </cell>
          <cell r="AH32">
            <v>0</v>
          </cell>
          <cell r="AI32">
            <v>3360</v>
          </cell>
          <cell r="AJ32">
            <v>0</v>
          </cell>
          <cell r="AK32">
            <v>0</v>
          </cell>
        </row>
        <row r="33">
          <cell r="AA33" t="str">
            <v>Mauritius</v>
          </cell>
          <cell r="AB33" t="str">
            <v>MUS</v>
          </cell>
          <cell r="AC33" t="str">
            <v>RBA</v>
          </cell>
          <cell r="AD33">
            <v>2625</v>
          </cell>
          <cell r="AE33">
            <v>8625</v>
          </cell>
          <cell r="AF33">
            <v>10250.25</v>
          </cell>
          <cell r="AG33">
            <v>0</v>
          </cell>
          <cell r="AH33">
            <v>0</v>
          </cell>
          <cell r="AI33">
            <v>9795.75</v>
          </cell>
          <cell r="AJ33">
            <v>1350</v>
          </cell>
          <cell r="AK33">
            <v>297</v>
          </cell>
        </row>
        <row r="34">
          <cell r="AA34" t="str">
            <v>Mozambique</v>
          </cell>
          <cell r="AB34" t="str">
            <v>MOZ</v>
          </cell>
          <cell r="AC34" t="str">
            <v>RBA</v>
          </cell>
          <cell r="AD34">
            <v>793.8</v>
          </cell>
          <cell r="AE34">
            <v>8932.1999999999989</v>
          </cell>
          <cell r="AF34">
            <v>14140.8</v>
          </cell>
          <cell r="AG34">
            <v>0</v>
          </cell>
          <cell r="AH34">
            <v>0</v>
          </cell>
          <cell r="AI34">
            <v>0</v>
          </cell>
          <cell r="AJ34">
            <v>133.20000000000002</v>
          </cell>
          <cell r="AK34">
            <v>0</v>
          </cell>
        </row>
        <row r="35">
          <cell r="AA35" t="str">
            <v>Namibia</v>
          </cell>
          <cell r="AB35" t="str">
            <v>NAM</v>
          </cell>
          <cell r="AC35" t="str">
            <v>RBA</v>
          </cell>
          <cell r="AD35">
            <v>480.00000000000006</v>
          </cell>
          <cell r="AE35">
            <v>10800</v>
          </cell>
          <cell r="AF35">
            <v>7200</v>
          </cell>
          <cell r="AG35">
            <v>300</v>
          </cell>
          <cell r="AH35">
            <v>0</v>
          </cell>
          <cell r="AI35">
            <v>1633.1999999999998</v>
          </cell>
          <cell r="AJ35">
            <v>856.80000000000007</v>
          </cell>
          <cell r="AK35">
            <v>684</v>
          </cell>
        </row>
        <row r="36">
          <cell r="AA36" t="str">
            <v>Niger</v>
          </cell>
          <cell r="AB36" t="str">
            <v>NER</v>
          </cell>
          <cell r="AC36" t="str">
            <v>RBA</v>
          </cell>
          <cell r="AD36">
            <v>660</v>
          </cell>
          <cell r="AE36">
            <v>9385.1999999999989</v>
          </cell>
          <cell r="AF36">
            <v>10234.800000000001</v>
          </cell>
          <cell r="AG36">
            <v>180</v>
          </cell>
          <cell r="AH36">
            <v>0</v>
          </cell>
          <cell r="AI36">
            <v>2340</v>
          </cell>
          <cell r="AJ36">
            <v>0</v>
          </cell>
          <cell r="AK36">
            <v>0</v>
          </cell>
        </row>
        <row r="37">
          <cell r="AA37" t="str">
            <v>Nigeria</v>
          </cell>
          <cell r="AB37" t="str">
            <v>NGA</v>
          </cell>
          <cell r="AC37" t="str">
            <v>RBA</v>
          </cell>
          <cell r="AD37">
            <v>11613.279186476493</v>
          </cell>
          <cell r="AE37">
            <v>4150.6438193343902</v>
          </cell>
          <cell r="AF37">
            <v>10904.762612255678</v>
          </cell>
          <cell r="AG37">
            <v>2835.5883518225041</v>
          </cell>
          <cell r="AH37">
            <v>0</v>
          </cell>
          <cell r="AI37">
            <v>4906.344096671949</v>
          </cell>
          <cell r="AJ37">
            <v>0</v>
          </cell>
          <cell r="AK37">
            <v>164.38193343898575</v>
          </cell>
        </row>
        <row r="38">
          <cell r="AA38" t="str">
            <v>Rwanda</v>
          </cell>
          <cell r="AB38" t="str">
            <v>RWA</v>
          </cell>
          <cell r="AC38" t="str">
            <v>RBA</v>
          </cell>
          <cell r="AD38">
            <v>2099.9999999999995</v>
          </cell>
          <cell r="AE38">
            <v>600</v>
          </cell>
          <cell r="AF38">
            <v>11077.199999999999</v>
          </cell>
          <cell r="AG38">
            <v>120</v>
          </cell>
          <cell r="AH38">
            <v>0</v>
          </cell>
          <cell r="AI38">
            <v>0</v>
          </cell>
          <cell r="AJ38">
            <v>0</v>
          </cell>
          <cell r="AK38">
            <v>0</v>
          </cell>
        </row>
        <row r="39">
          <cell r="AA39" t="str">
            <v>Sao Tome and Principe</v>
          </cell>
          <cell r="AB39" t="str">
            <v>STP</v>
          </cell>
          <cell r="AC39" t="str">
            <v>RBA</v>
          </cell>
          <cell r="AD39">
            <v>3665.7119680711562</v>
          </cell>
          <cell r="AE39">
            <v>8604.9880036294471</v>
          </cell>
          <cell r="AF39">
            <v>11234.887044752235</v>
          </cell>
          <cell r="AG39">
            <v>455.77703546194442</v>
          </cell>
          <cell r="AH39">
            <v>589.03536505136753</v>
          </cell>
          <cell r="AI39">
            <v>3051.1185341957498</v>
          </cell>
          <cell r="AJ39">
            <v>1595.5804926642691</v>
          </cell>
          <cell r="AK39">
            <v>274.69246421290615</v>
          </cell>
        </row>
        <row r="40">
          <cell r="AA40" t="str">
            <v>Senegal</v>
          </cell>
          <cell r="AB40" t="str">
            <v>SEN</v>
          </cell>
          <cell r="AC40" t="str">
            <v>RBA</v>
          </cell>
          <cell r="AD40">
            <v>2803.7999999999997</v>
          </cell>
          <cell r="AE40">
            <v>10800</v>
          </cell>
          <cell r="AF40">
            <v>5027.3999999999996</v>
          </cell>
          <cell r="AG40">
            <v>512.4</v>
          </cell>
          <cell r="AH40">
            <v>0</v>
          </cell>
          <cell r="AI40">
            <v>5188.7999999999993</v>
          </cell>
          <cell r="AJ40">
            <v>1200</v>
          </cell>
          <cell r="AK40">
            <v>479.99999999999994</v>
          </cell>
        </row>
        <row r="41">
          <cell r="AA41" t="str">
            <v>Seychelles</v>
          </cell>
          <cell r="AB41" t="str">
            <v>SYC</v>
          </cell>
          <cell r="AC41" t="str">
            <v>RBA</v>
          </cell>
          <cell r="AD41">
            <v>1079.9999999999998</v>
          </cell>
          <cell r="AE41">
            <v>4680</v>
          </cell>
          <cell r="AF41">
            <v>4173</v>
          </cell>
          <cell r="AG41">
            <v>180</v>
          </cell>
          <cell r="AH41">
            <v>0</v>
          </cell>
          <cell r="AI41">
            <v>5089.8</v>
          </cell>
          <cell r="AJ41">
            <v>0</v>
          </cell>
          <cell r="AK41">
            <v>0</v>
          </cell>
        </row>
        <row r="42">
          <cell r="AA42" t="str">
            <v>Sierra Leone</v>
          </cell>
          <cell r="AB42" t="str">
            <v>SLE</v>
          </cell>
          <cell r="AC42" t="str">
            <v>RBA</v>
          </cell>
          <cell r="AD42">
            <v>2541</v>
          </cell>
          <cell r="AE42">
            <v>8805</v>
          </cell>
          <cell r="AF42">
            <v>13173</v>
          </cell>
          <cell r="AG42">
            <v>1500</v>
          </cell>
          <cell r="AH42">
            <v>0</v>
          </cell>
          <cell r="AI42">
            <v>1380</v>
          </cell>
          <cell r="AJ42">
            <v>511.49999999999994</v>
          </cell>
          <cell r="AK42">
            <v>0</v>
          </cell>
        </row>
        <row r="43">
          <cell r="AA43" t="str">
            <v>South Africa</v>
          </cell>
          <cell r="AB43" t="str">
            <v>ZAF</v>
          </cell>
          <cell r="AC43" t="str">
            <v>RBA</v>
          </cell>
          <cell r="AD43">
            <v>16826.060465116279</v>
          </cell>
          <cell r="AE43">
            <v>7586.3162790697679</v>
          </cell>
          <cell r="AF43">
            <v>13723.451627906978</v>
          </cell>
          <cell r="AG43">
            <v>476.57627906976739</v>
          </cell>
          <cell r="AH43">
            <v>0</v>
          </cell>
          <cell r="AI43">
            <v>1264.3860465116279</v>
          </cell>
          <cell r="AJ43">
            <v>1945.2093023255813</v>
          </cell>
          <cell r="AK43">
            <v>0</v>
          </cell>
        </row>
        <row r="44">
          <cell r="AA44" t="str">
            <v>South Sudan</v>
          </cell>
          <cell r="AB44" t="str">
            <v>SSD</v>
          </cell>
          <cell r="AC44" t="str">
            <v>RBA</v>
          </cell>
          <cell r="AD44" t="e">
            <v>#VALUE!</v>
          </cell>
          <cell r="AE44" t="e">
            <v>#VALUE!</v>
          </cell>
          <cell r="AF44" t="e">
            <v>#VALUE!</v>
          </cell>
          <cell r="AG44" t="e">
            <v>#VALUE!</v>
          </cell>
          <cell r="AH44" t="e">
            <v>#VALUE!</v>
          </cell>
          <cell r="AI44" t="e">
            <v>#VALUE!</v>
          </cell>
          <cell r="AJ44" t="e">
            <v>#VALUE!</v>
          </cell>
          <cell r="AK44" t="e">
            <v>#VALUE!</v>
          </cell>
        </row>
        <row r="45">
          <cell r="AA45" t="str">
            <v>Tanzania</v>
          </cell>
          <cell r="AB45" t="str">
            <v>TZA</v>
          </cell>
          <cell r="AC45" t="str">
            <v>RBA</v>
          </cell>
          <cell r="AD45">
            <v>3855.6</v>
          </cell>
          <cell r="AE45">
            <v>8136</v>
          </cell>
          <cell r="AF45">
            <v>3770.4</v>
          </cell>
          <cell r="AG45">
            <v>0</v>
          </cell>
          <cell r="AH45">
            <v>0</v>
          </cell>
          <cell r="AI45">
            <v>2340</v>
          </cell>
          <cell r="AJ45">
            <v>0</v>
          </cell>
          <cell r="AK45">
            <v>0</v>
          </cell>
        </row>
        <row r="46">
          <cell r="AA46" t="str">
            <v>Togo</v>
          </cell>
          <cell r="AB46" t="str">
            <v>TGO</v>
          </cell>
          <cell r="AC46" t="str">
            <v>RBA</v>
          </cell>
          <cell r="AD46">
            <v>1500</v>
          </cell>
          <cell r="AE46">
            <v>10500</v>
          </cell>
          <cell r="AF46">
            <v>7500</v>
          </cell>
          <cell r="AG46">
            <v>600</v>
          </cell>
          <cell r="AH46">
            <v>0</v>
          </cell>
          <cell r="AI46">
            <v>900</v>
          </cell>
          <cell r="AJ46">
            <v>4350</v>
          </cell>
          <cell r="AK46">
            <v>0</v>
          </cell>
        </row>
        <row r="47">
          <cell r="AA47" t="str">
            <v>Uganda</v>
          </cell>
          <cell r="AB47" t="str">
            <v>UGA</v>
          </cell>
          <cell r="AC47" t="str">
            <v>RBA</v>
          </cell>
          <cell r="AD47">
            <v>4216.1174743024967</v>
          </cell>
          <cell r="AE47">
            <v>10565.38962310328</v>
          </cell>
          <cell r="AF47">
            <v>21130.779246206559</v>
          </cell>
          <cell r="AG47">
            <v>1673.0624898025778</v>
          </cell>
          <cell r="AH47">
            <v>0</v>
          </cell>
          <cell r="AI47">
            <v>12179.894925762766</v>
          </cell>
          <cell r="AJ47">
            <v>1505.75624082232</v>
          </cell>
          <cell r="AK47">
            <v>0</v>
          </cell>
        </row>
        <row r="48">
          <cell r="AA48" t="str">
            <v>Zambia</v>
          </cell>
          <cell r="AB48" t="str">
            <v>ZMB</v>
          </cell>
          <cell r="AC48" t="str">
            <v>RBA</v>
          </cell>
          <cell r="AD48">
            <v>7675.9472868866187</v>
          </cell>
          <cell r="AE48">
            <v>19716.892061631217</v>
          </cell>
          <cell r="AF48">
            <v>6355.7008876235141</v>
          </cell>
          <cell r="AG48">
            <v>248.0112209010216</v>
          </cell>
          <cell r="AH48">
            <v>0</v>
          </cell>
          <cell r="AI48">
            <v>4666.7444732875565</v>
          </cell>
          <cell r="AJ48">
            <v>826.70406967007204</v>
          </cell>
          <cell r="AK48">
            <v>0</v>
          </cell>
        </row>
        <row r="49">
          <cell r="AA49" t="str">
            <v>Zimbabwe</v>
          </cell>
          <cell r="AB49" t="str">
            <v>ZWE</v>
          </cell>
          <cell r="AC49" t="str">
            <v>RBA</v>
          </cell>
          <cell r="AD49">
            <v>3601.2759310344827</v>
          </cell>
          <cell r="AE49">
            <v>19370.747724137931</v>
          </cell>
          <cell r="AF49">
            <v>18580.179310344825</v>
          </cell>
          <cell r="AG49">
            <v>1776.0465517241378</v>
          </cell>
          <cell r="AH49">
            <v>0</v>
          </cell>
          <cell r="AI49">
            <v>7605.122413793104</v>
          </cell>
          <cell r="AJ49">
            <v>890.75565517241375</v>
          </cell>
          <cell r="AK49">
            <v>1001.8724137931034</v>
          </cell>
        </row>
        <row r="50">
          <cell r="AA50" t="str">
            <v>Afghanistan</v>
          </cell>
          <cell r="AB50" t="str">
            <v>AFG</v>
          </cell>
          <cell r="AC50" t="str">
            <v>RBAP</v>
          </cell>
          <cell r="AD50">
            <v>3600</v>
          </cell>
          <cell r="AE50">
            <v>8700</v>
          </cell>
          <cell r="AF50">
            <v>11100</v>
          </cell>
          <cell r="AG50">
            <v>600</v>
          </cell>
          <cell r="AH50">
            <v>600</v>
          </cell>
          <cell r="AI50">
            <v>3000</v>
          </cell>
          <cell r="AJ50">
            <v>1500</v>
          </cell>
          <cell r="AK50">
            <v>300</v>
          </cell>
        </row>
        <row r="51">
          <cell r="AA51" t="str">
            <v>Bangladesh</v>
          </cell>
          <cell r="AB51" t="str">
            <v>BGD</v>
          </cell>
          <cell r="AC51" t="str">
            <v>RBAP</v>
          </cell>
          <cell r="AD51">
            <v>4224.7922995278705</v>
          </cell>
          <cell r="AE51">
            <v>3902.9399407092924</v>
          </cell>
          <cell r="AF51">
            <v>11708.051678073418</v>
          </cell>
          <cell r="AG51">
            <v>384.07202722980639</v>
          </cell>
          <cell r="AH51">
            <v>0</v>
          </cell>
          <cell r="AI51">
            <v>384.07202722980639</v>
          </cell>
          <cell r="AJ51">
            <v>384.07202722980639</v>
          </cell>
          <cell r="AK51">
            <v>0</v>
          </cell>
        </row>
        <row r="52">
          <cell r="AA52" t="str">
            <v>Bhutan</v>
          </cell>
          <cell r="AB52" t="str">
            <v>BTN</v>
          </cell>
          <cell r="AC52" t="str">
            <v>RBAP</v>
          </cell>
          <cell r="AD52">
            <v>3194.4</v>
          </cell>
          <cell r="AE52">
            <v>6958.2</v>
          </cell>
          <cell r="AF52">
            <v>3000</v>
          </cell>
          <cell r="AG52">
            <v>0</v>
          </cell>
          <cell r="AH52">
            <v>300</v>
          </cell>
          <cell r="AI52">
            <v>0</v>
          </cell>
          <cell r="AJ52">
            <v>1200</v>
          </cell>
          <cell r="AK52">
            <v>0</v>
          </cell>
        </row>
        <row r="53">
          <cell r="AA53" t="str">
            <v>Cambodia</v>
          </cell>
          <cell r="AB53" t="str">
            <v>KHM</v>
          </cell>
          <cell r="AC53" t="str">
            <v>RBAP</v>
          </cell>
          <cell r="AD53">
            <v>5617.5</v>
          </cell>
          <cell r="AE53">
            <v>8146.5</v>
          </cell>
          <cell r="AF53">
            <v>9192</v>
          </cell>
          <cell r="AG53">
            <v>166.5</v>
          </cell>
          <cell r="AH53">
            <v>0</v>
          </cell>
          <cell r="AI53">
            <v>1365</v>
          </cell>
          <cell r="AJ53">
            <v>0</v>
          </cell>
          <cell r="AK53">
            <v>0</v>
          </cell>
        </row>
        <row r="54">
          <cell r="AA54" t="str">
            <v>China</v>
          </cell>
          <cell r="AB54" t="str">
            <v>CHN</v>
          </cell>
          <cell r="AC54" t="str">
            <v>RBAP</v>
          </cell>
          <cell r="AD54">
            <v>6705.1902679860259</v>
          </cell>
          <cell r="AE54">
            <v>17204.106608648355</v>
          </cell>
          <cell r="AF54">
            <v>11404.117026840444</v>
          </cell>
          <cell r="AG54">
            <v>0</v>
          </cell>
          <cell r="AH54">
            <v>0</v>
          </cell>
          <cell r="AI54">
            <v>2889.4076483755571</v>
          </cell>
          <cell r="AJ54">
            <v>3970.1784481496206</v>
          </cell>
          <cell r="AK54">
            <v>0</v>
          </cell>
        </row>
        <row r="55">
          <cell r="AA55" t="str">
            <v>Cook Islands</v>
          </cell>
          <cell r="AB55" t="str">
            <v>COK</v>
          </cell>
          <cell r="AC55" t="str">
            <v>RBAP</v>
          </cell>
          <cell r="AD55">
            <v>4180</v>
          </cell>
          <cell r="AE55">
            <v>13170</v>
          </cell>
          <cell r="AF55">
            <v>2713</v>
          </cell>
          <cell r="AG55">
            <v>700</v>
          </cell>
          <cell r="AH55">
            <v>0</v>
          </cell>
          <cell r="AI55">
            <v>4185</v>
          </cell>
          <cell r="AJ55">
            <v>3475</v>
          </cell>
          <cell r="AK55">
            <v>4313</v>
          </cell>
        </row>
        <row r="56">
          <cell r="AA56" t="str">
            <v>Federated States of Micronesia</v>
          </cell>
          <cell r="AB56" t="str">
            <v>FSM</v>
          </cell>
          <cell r="AC56" t="str">
            <v>RBAP</v>
          </cell>
          <cell r="AD56">
            <v>959.99999999999989</v>
          </cell>
          <cell r="AE56">
            <v>6240</v>
          </cell>
          <cell r="AF56">
            <v>6038.3999999999987</v>
          </cell>
          <cell r="AG56">
            <v>359.99999999999994</v>
          </cell>
          <cell r="AH56">
            <v>0</v>
          </cell>
          <cell r="AI56">
            <v>4898.9999999999991</v>
          </cell>
          <cell r="AJ56">
            <v>1319.9999999999998</v>
          </cell>
          <cell r="AK56">
            <v>0</v>
          </cell>
        </row>
        <row r="57">
          <cell r="AA57" t="str">
            <v>Fiji</v>
          </cell>
          <cell r="AB57" t="str">
            <v>FJI</v>
          </cell>
          <cell r="AC57" t="str">
            <v>RBAP</v>
          </cell>
          <cell r="AD57">
            <v>5287.5</v>
          </cell>
          <cell r="AE57">
            <v>4875</v>
          </cell>
          <cell r="AF57">
            <v>13284</v>
          </cell>
          <cell r="AG57">
            <v>750</v>
          </cell>
          <cell r="AH57">
            <v>0</v>
          </cell>
          <cell r="AI57">
            <v>3300</v>
          </cell>
          <cell r="AJ57">
            <v>375</v>
          </cell>
          <cell r="AK57">
            <v>0</v>
          </cell>
        </row>
        <row r="58">
          <cell r="AA58" t="str">
            <v>India</v>
          </cell>
          <cell r="AB58" t="str">
            <v>IND</v>
          </cell>
          <cell r="AC58" t="str">
            <v>RBAP</v>
          </cell>
          <cell r="AD58">
            <v>3665.7119680711562</v>
          </cell>
          <cell r="AE58">
            <v>8604.9880036294471</v>
          </cell>
          <cell r="AF58">
            <v>11234.887044752235</v>
          </cell>
          <cell r="AG58">
            <v>455.77703546194442</v>
          </cell>
          <cell r="AH58">
            <v>589.03536505136753</v>
          </cell>
          <cell r="AI58">
            <v>3051.1185341957498</v>
          </cell>
          <cell r="AJ58">
            <v>1595.5804926642691</v>
          </cell>
          <cell r="AK58">
            <v>274.69246421290615</v>
          </cell>
        </row>
        <row r="59">
          <cell r="AA59" t="str">
            <v>Indonesia</v>
          </cell>
          <cell r="AB59" t="str">
            <v>IDN</v>
          </cell>
          <cell r="AC59" t="str">
            <v>RBAP</v>
          </cell>
          <cell r="AD59" t="e">
            <v>#VALUE!</v>
          </cell>
          <cell r="AE59" t="e">
            <v>#VALUE!</v>
          </cell>
          <cell r="AF59" t="e">
            <v>#VALUE!</v>
          </cell>
          <cell r="AG59" t="e">
            <v>#VALUE!</v>
          </cell>
          <cell r="AH59" t="e">
            <v>#VALUE!</v>
          </cell>
          <cell r="AI59" t="e">
            <v>#VALUE!</v>
          </cell>
          <cell r="AJ59" t="e">
            <v>#VALUE!</v>
          </cell>
          <cell r="AK59" t="e">
            <v>#VALUE!</v>
          </cell>
        </row>
        <row r="60">
          <cell r="AA60" t="str">
            <v>Iran</v>
          </cell>
          <cell r="AB60" t="str">
            <v>IRN</v>
          </cell>
          <cell r="AC60" t="str">
            <v>RBAP</v>
          </cell>
          <cell r="AD60">
            <v>3600</v>
          </cell>
          <cell r="AE60">
            <v>8700</v>
          </cell>
          <cell r="AF60">
            <v>11100</v>
          </cell>
          <cell r="AG60">
            <v>600</v>
          </cell>
          <cell r="AH60">
            <v>600</v>
          </cell>
          <cell r="AI60">
            <v>3000</v>
          </cell>
          <cell r="AJ60">
            <v>1500</v>
          </cell>
          <cell r="AK60">
            <v>300</v>
          </cell>
        </row>
        <row r="61">
          <cell r="AA61" t="str">
            <v>Kiribati</v>
          </cell>
          <cell r="AB61" t="str">
            <v>KIR</v>
          </cell>
          <cell r="AC61" t="str">
            <v>RBAP</v>
          </cell>
          <cell r="AD61">
            <v>4598.8876319758674</v>
          </cell>
          <cell r="AE61">
            <v>10117.552790346908</v>
          </cell>
          <cell r="AF61">
            <v>9135.2303921568637</v>
          </cell>
          <cell r="AG61">
            <v>735.82202111613867</v>
          </cell>
          <cell r="AH61">
            <v>0</v>
          </cell>
          <cell r="AI61">
            <v>13980.618401206637</v>
          </cell>
          <cell r="AJ61">
            <v>459.88876319758674</v>
          </cell>
          <cell r="AK61">
            <v>0</v>
          </cell>
        </row>
        <row r="62">
          <cell r="AA62" t="str">
            <v>Lao PDR</v>
          </cell>
          <cell r="AB62" t="str">
            <v>LAO</v>
          </cell>
          <cell r="AC62" t="str">
            <v>RBAP</v>
          </cell>
          <cell r="AD62">
            <v>2958.0279069767444</v>
          </cell>
          <cell r="AE62">
            <v>9449.2558139534885</v>
          </cell>
          <cell r="AF62">
            <v>8627.5813953488378</v>
          </cell>
          <cell r="AG62">
            <v>410.83720930232556</v>
          </cell>
          <cell r="AH62">
            <v>0</v>
          </cell>
          <cell r="AI62">
            <v>2341.7720930232558</v>
          </cell>
          <cell r="AJ62">
            <v>2465.0232558139533</v>
          </cell>
          <cell r="AK62">
            <v>246.50232558139535</v>
          </cell>
        </row>
        <row r="63">
          <cell r="AA63" t="str">
            <v>Malaysia</v>
          </cell>
          <cell r="AB63" t="str">
            <v>MYS</v>
          </cell>
          <cell r="AC63" t="str">
            <v>RBAP</v>
          </cell>
          <cell r="AD63">
            <v>3665.7119680711562</v>
          </cell>
          <cell r="AE63">
            <v>8604.9880036294471</v>
          </cell>
          <cell r="AF63">
            <v>11234.887044752235</v>
          </cell>
          <cell r="AG63">
            <v>455.77703546194442</v>
          </cell>
          <cell r="AH63">
            <v>589.03536505136753</v>
          </cell>
          <cell r="AI63">
            <v>3051.1185341957498</v>
          </cell>
          <cell r="AJ63">
            <v>1595.5804926642691</v>
          </cell>
          <cell r="AK63">
            <v>274.69246421290615</v>
          </cell>
        </row>
        <row r="64">
          <cell r="AA64" t="str">
            <v>Maldives</v>
          </cell>
          <cell r="AB64" t="str">
            <v>MDV</v>
          </cell>
          <cell r="AC64" t="str">
            <v>RBAP</v>
          </cell>
          <cell r="AD64">
            <v>6348.1226451864359</v>
          </cell>
          <cell r="AE64">
            <v>10044.497856307653</v>
          </cell>
          <cell r="AF64">
            <v>9355.8470832792009</v>
          </cell>
          <cell r="AG64">
            <v>160.71196570092243</v>
          </cell>
          <cell r="AH64">
            <v>0</v>
          </cell>
          <cell r="AI64">
            <v>5015.8204495257887</v>
          </cell>
          <cell r="AJ64">
            <v>0</v>
          </cell>
          <cell r="AK64">
            <v>0</v>
          </cell>
        </row>
        <row r="65">
          <cell r="AA65" t="str">
            <v>Marshall Islands</v>
          </cell>
          <cell r="AB65" t="str">
            <v>MHL</v>
          </cell>
          <cell r="AC65" t="str">
            <v>RBAP</v>
          </cell>
          <cell r="AD65">
            <v>3600</v>
          </cell>
          <cell r="AE65">
            <v>8700</v>
          </cell>
          <cell r="AF65">
            <v>11100</v>
          </cell>
          <cell r="AG65">
            <v>600</v>
          </cell>
          <cell r="AH65">
            <v>600</v>
          </cell>
          <cell r="AI65">
            <v>3000</v>
          </cell>
          <cell r="AJ65">
            <v>1500</v>
          </cell>
          <cell r="AK65">
            <v>300</v>
          </cell>
        </row>
        <row r="66">
          <cell r="AA66" t="str">
            <v>Mongolia</v>
          </cell>
          <cell r="AB66" t="str">
            <v>MNG</v>
          </cell>
          <cell r="AC66" t="str">
            <v>RBAP</v>
          </cell>
          <cell r="AD66">
            <v>60</v>
          </cell>
          <cell r="AE66">
            <v>6300</v>
          </cell>
          <cell r="AF66">
            <v>1500</v>
          </cell>
          <cell r="AG66">
            <v>0</v>
          </cell>
          <cell r="AH66">
            <v>0</v>
          </cell>
          <cell r="AI66">
            <v>120</v>
          </cell>
          <cell r="AJ66">
            <v>0</v>
          </cell>
          <cell r="AK66">
            <v>0</v>
          </cell>
        </row>
        <row r="67">
          <cell r="AA67" t="str">
            <v>Nauru</v>
          </cell>
          <cell r="AB67" t="str">
            <v>NRU</v>
          </cell>
          <cell r="AC67" t="str">
            <v>RBAP</v>
          </cell>
          <cell r="AD67">
            <v>900</v>
          </cell>
          <cell r="AE67">
            <v>900</v>
          </cell>
          <cell r="AF67">
            <v>21600</v>
          </cell>
          <cell r="AG67">
            <v>0</v>
          </cell>
          <cell r="AH67">
            <v>0</v>
          </cell>
          <cell r="AI67">
            <v>2700</v>
          </cell>
          <cell r="AJ67">
            <v>1200</v>
          </cell>
          <cell r="AK67">
            <v>3000</v>
          </cell>
        </row>
        <row r="68">
          <cell r="AA68" t="str">
            <v>Nepal</v>
          </cell>
          <cell r="AB68" t="str">
            <v>NPL</v>
          </cell>
          <cell r="AC68" t="str">
            <v>RBAP</v>
          </cell>
          <cell r="AD68">
            <v>575.34750000000008</v>
          </cell>
          <cell r="AE68">
            <v>6678.140625</v>
          </cell>
          <cell r="AF68">
            <v>19109.756250000002</v>
          </cell>
          <cell r="AG68">
            <v>186.80113636363637</v>
          </cell>
          <cell r="AH68">
            <v>0</v>
          </cell>
          <cell r="AI68">
            <v>4673.7644318181819</v>
          </cell>
          <cell r="AJ68">
            <v>1653.1900568181818</v>
          </cell>
          <cell r="AK68">
            <v>0</v>
          </cell>
        </row>
        <row r="69">
          <cell r="AA69" t="str">
            <v>Niue</v>
          </cell>
          <cell r="AB69" t="str">
            <v>NIU</v>
          </cell>
          <cell r="AC69" t="str">
            <v>RBAP</v>
          </cell>
          <cell r="AD69">
            <v>334.07407407407408</v>
          </cell>
          <cell r="AE69">
            <v>4175.9259259259261</v>
          </cell>
          <cell r="AF69">
            <v>0</v>
          </cell>
          <cell r="AG69">
            <v>0</v>
          </cell>
          <cell r="AH69">
            <v>0</v>
          </cell>
          <cell r="AI69">
            <v>0</v>
          </cell>
          <cell r="AJ69">
            <v>0</v>
          </cell>
          <cell r="AK69">
            <v>0</v>
          </cell>
        </row>
        <row r="70">
          <cell r="AA70" t="str">
            <v>Pakistan</v>
          </cell>
          <cell r="AB70" t="str">
            <v>PAK</v>
          </cell>
          <cell r="AC70" t="str">
            <v>RBAP</v>
          </cell>
          <cell r="AD70">
            <v>3665.7119680711562</v>
          </cell>
          <cell r="AE70">
            <v>8604.9880036294471</v>
          </cell>
          <cell r="AF70">
            <v>11234.887044752235</v>
          </cell>
          <cell r="AG70">
            <v>455.77703546194442</v>
          </cell>
          <cell r="AH70">
            <v>589.03536505136753</v>
          </cell>
          <cell r="AI70">
            <v>3051.1185341957498</v>
          </cell>
          <cell r="AJ70">
            <v>1595.5804926642691</v>
          </cell>
          <cell r="AK70">
            <v>274.69246421290615</v>
          </cell>
        </row>
        <row r="71">
          <cell r="AA71" t="str">
            <v>Palau</v>
          </cell>
          <cell r="AB71" t="str">
            <v>PLW</v>
          </cell>
          <cell r="AC71" t="str">
            <v>RBAP</v>
          </cell>
          <cell r="AD71">
            <v>1923.6448297319914</v>
          </cell>
          <cell r="AE71">
            <v>2434.993455356951</v>
          </cell>
          <cell r="AF71">
            <v>31925.199193184988</v>
          </cell>
          <cell r="AG71">
            <v>324.66579404759352</v>
          </cell>
          <cell r="AH71">
            <v>0</v>
          </cell>
          <cell r="AI71">
            <v>568.16513958328858</v>
          </cell>
          <cell r="AJ71">
            <v>649.33158809518704</v>
          </cell>
          <cell r="AK71">
            <v>0</v>
          </cell>
        </row>
        <row r="72">
          <cell r="AA72" t="str">
            <v>Papua New Guinea</v>
          </cell>
          <cell r="AB72" t="str">
            <v>PNG</v>
          </cell>
          <cell r="AC72" t="str">
            <v>RBAP</v>
          </cell>
          <cell r="AD72">
            <v>3600</v>
          </cell>
          <cell r="AE72">
            <v>8700</v>
          </cell>
          <cell r="AF72">
            <v>11100</v>
          </cell>
          <cell r="AG72">
            <v>600</v>
          </cell>
          <cell r="AH72">
            <v>600</v>
          </cell>
          <cell r="AI72">
            <v>3000</v>
          </cell>
          <cell r="AJ72">
            <v>1500</v>
          </cell>
          <cell r="AK72">
            <v>300</v>
          </cell>
        </row>
        <row r="73">
          <cell r="AA73" t="str">
            <v>Philippines</v>
          </cell>
          <cell r="AB73" t="str">
            <v>PHL</v>
          </cell>
          <cell r="AC73" t="str">
            <v>RBAP</v>
          </cell>
          <cell r="AD73">
            <v>3665.7119680711562</v>
          </cell>
          <cell r="AE73">
            <v>8604.9880036294471</v>
          </cell>
          <cell r="AF73">
            <v>11234.887044752235</v>
          </cell>
          <cell r="AG73">
            <v>455.77703546194442</v>
          </cell>
          <cell r="AH73">
            <v>589.03536505136753</v>
          </cell>
          <cell r="AI73">
            <v>3051.1185341957498</v>
          </cell>
          <cell r="AJ73">
            <v>1595.5804926642691</v>
          </cell>
          <cell r="AK73">
            <v>274.69246421290615</v>
          </cell>
        </row>
        <row r="74">
          <cell r="AA74" t="str">
            <v>Samoa</v>
          </cell>
          <cell r="AB74" t="str">
            <v>WSM</v>
          </cell>
          <cell r="AC74" t="str">
            <v>RBAP</v>
          </cell>
          <cell r="AD74">
            <v>6225</v>
          </cell>
          <cell r="AE74">
            <v>13535.25</v>
          </cell>
          <cell r="AF74">
            <v>5907</v>
          </cell>
          <cell r="AG74">
            <v>0</v>
          </cell>
          <cell r="AH74">
            <v>0</v>
          </cell>
          <cell r="AI74">
            <v>5985</v>
          </cell>
          <cell r="AJ74">
            <v>3375</v>
          </cell>
          <cell r="AK74">
            <v>0</v>
          </cell>
        </row>
        <row r="75">
          <cell r="AA75" t="str">
            <v>Solomon Islands</v>
          </cell>
          <cell r="AB75" t="str">
            <v>SLB</v>
          </cell>
          <cell r="AC75" t="str">
            <v>RBAP</v>
          </cell>
          <cell r="AD75">
            <v>800</v>
          </cell>
          <cell r="AE75">
            <v>18000</v>
          </cell>
          <cell r="AF75">
            <v>17150</v>
          </cell>
          <cell r="AG75">
            <v>250</v>
          </cell>
          <cell r="AH75">
            <v>0</v>
          </cell>
          <cell r="AI75">
            <v>1600</v>
          </cell>
          <cell r="AJ75">
            <v>0</v>
          </cell>
          <cell r="AK75">
            <v>0</v>
          </cell>
        </row>
        <row r="76">
          <cell r="AA76" t="str">
            <v>Sri Lanka</v>
          </cell>
          <cell r="AB76" t="str">
            <v>LKA</v>
          </cell>
          <cell r="AC76" t="str">
            <v>RBAP</v>
          </cell>
          <cell r="AD76">
            <v>5498.567952106735</v>
          </cell>
          <cell r="AE76">
            <v>12907.48200544417</v>
          </cell>
          <cell r="AF76">
            <v>16852.330567128352</v>
          </cell>
          <cell r="AG76">
            <v>683.66555319291672</v>
          </cell>
          <cell r="AH76">
            <v>883.5530475770513</v>
          </cell>
          <cell r="AI76">
            <v>4576.6778012936247</v>
          </cell>
          <cell r="AJ76">
            <v>2393.3707389964038</v>
          </cell>
          <cell r="AK76">
            <v>412.03869631935919</v>
          </cell>
        </row>
        <row r="77">
          <cell r="AA77" t="str">
            <v>Thailand</v>
          </cell>
          <cell r="AB77" t="str">
            <v>THA</v>
          </cell>
          <cell r="AC77" t="str">
            <v>RBAP</v>
          </cell>
          <cell r="AD77">
            <v>3665.7119680711562</v>
          </cell>
          <cell r="AE77">
            <v>8604.9880036294471</v>
          </cell>
          <cell r="AF77">
            <v>11234.887044752235</v>
          </cell>
          <cell r="AG77">
            <v>455.77703546194442</v>
          </cell>
          <cell r="AH77">
            <v>589.03536505136753</v>
          </cell>
          <cell r="AI77">
            <v>3051.1185341957498</v>
          </cell>
          <cell r="AJ77">
            <v>1595.5804926642691</v>
          </cell>
          <cell r="AK77">
            <v>274.69246421290615</v>
          </cell>
        </row>
        <row r="78">
          <cell r="AA78" t="str">
            <v>Timor-Leste</v>
          </cell>
          <cell r="AB78" t="str">
            <v>TLS</v>
          </cell>
          <cell r="AC78" t="str">
            <v>RBAP</v>
          </cell>
          <cell r="AD78">
            <v>1943.25</v>
          </cell>
          <cell r="AE78">
            <v>5673.75</v>
          </cell>
          <cell r="AF78">
            <v>4479</v>
          </cell>
          <cell r="AG78">
            <v>375</v>
          </cell>
          <cell r="AH78">
            <v>0</v>
          </cell>
          <cell r="AI78">
            <v>2448</v>
          </cell>
          <cell r="AJ78">
            <v>0</v>
          </cell>
          <cell r="AK78">
            <v>0</v>
          </cell>
        </row>
        <row r="79">
          <cell r="AA79" t="str">
            <v>Tokelau</v>
          </cell>
          <cell r="AB79" t="str">
            <v>TKL</v>
          </cell>
          <cell r="AC79" t="str">
            <v>RBAP</v>
          </cell>
          <cell r="AD79" t="e">
            <v>#VALUE!</v>
          </cell>
          <cell r="AE79" t="e">
            <v>#VALUE!</v>
          </cell>
          <cell r="AF79" t="e">
            <v>#VALUE!</v>
          </cell>
          <cell r="AG79" t="e">
            <v>#VALUE!</v>
          </cell>
          <cell r="AH79" t="e">
            <v>#VALUE!</v>
          </cell>
          <cell r="AI79" t="e">
            <v>#VALUE!</v>
          </cell>
          <cell r="AJ79" t="e">
            <v>#VALUE!</v>
          </cell>
          <cell r="AK79" t="e">
            <v>#VALUE!</v>
          </cell>
        </row>
        <row r="80">
          <cell r="AA80" t="str">
            <v>Tonga</v>
          </cell>
          <cell r="AB80" t="str">
            <v>TON</v>
          </cell>
          <cell r="AC80" t="str">
            <v>RBAP</v>
          </cell>
          <cell r="AD80">
            <v>5000</v>
          </cell>
          <cell r="AE80">
            <v>7999.9999999999991</v>
          </cell>
          <cell r="AF80">
            <v>0</v>
          </cell>
          <cell r="AG80">
            <v>0</v>
          </cell>
          <cell r="AH80">
            <v>0</v>
          </cell>
          <cell r="AI80">
            <v>5400</v>
          </cell>
          <cell r="AJ80">
            <v>1999.9999999999998</v>
          </cell>
          <cell r="AK80">
            <v>13251</v>
          </cell>
        </row>
        <row r="81">
          <cell r="AA81" t="str">
            <v>Tuvalu</v>
          </cell>
          <cell r="AB81" t="str">
            <v>TUV</v>
          </cell>
          <cell r="AC81" t="str">
            <v>RBAP</v>
          </cell>
          <cell r="AD81">
            <v>0</v>
          </cell>
          <cell r="AE81">
            <v>0</v>
          </cell>
          <cell r="AF81">
            <v>2575.5208333333335</v>
          </cell>
          <cell r="AG81">
            <v>895.83333333333337</v>
          </cell>
          <cell r="AH81">
            <v>1343.75</v>
          </cell>
          <cell r="AI81">
            <v>0</v>
          </cell>
          <cell r="AJ81">
            <v>2239.583333333333</v>
          </cell>
          <cell r="AK81">
            <v>0</v>
          </cell>
        </row>
        <row r="82">
          <cell r="AA82" t="str">
            <v>Vanuatu</v>
          </cell>
          <cell r="AB82" t="str">
            <v>VUT</v>
          </cell>
          <cell r="AC82" t="str">
            <v>RBAP</v>
          </cell>
          <cell r="AD82">
            <v>1728</v>
          </cell>
          <cell r="AE82">
            <v>4260</v>
          </cell>
          <cell r="AF82">
            <v>17124</v>
          </cell>
          <cell r="AG82">
            <v>180</v>
          </cell>
          <cell r="AH82">
            <v>0</v>
          </cell>
          <cell r="AI82">
            <v>1560</v>
          </cell>
          <cell r="AJ82">
            <v>0</v>
          </cell>
          <cell r="AK82">
            <v>0</v>
          </cell>
        </row>
        <row r="83">
          <cell r="AA83" t="str">
            <v>Vietnam</v>
          </cell>
          <cell r="AB83" t="str">
            <v>VNM</v>
          </cell>
          <cell r="AC83" t="str">
            <v>RBAP</v>
          </cell>
          <cell r="AD83">
            <v>900</v>
          </cell>
          <cell r="AE83">
            <v>5000</v>
          </cell>
          <cell r="AF83">
            <v>7000</v>
          </cell>
          <cell r="AG83">
            <v>0</v>
          </cell>
          <cell r="AH83">
            <v>0</v>
          </cell>
          <cell r="AI83">
            <v>1100</v>
          </cell>
          <cell r="AJ83">
            <v>2000</v>
          </cell>
          <cell r="AK83">
            <v>0</v>
          </cell>
        </row>
        <row r="84">
          <cell r="AA84" t="str">
            <v>Algeria</v>
          </cell>
          <cell r="AB84" t="str">
            <v>DZA</v>
          </cell>
          <cell r="AC84" t="str">
            <v>RBAS</v>
          </cell>
          <cell r="AD84">
            <v>7199.9999999999991</v>
          </cell>
          <cell r="AE84">
            <v>3599.9999999999995</v>
          </cell>
          <cell r="AF84">
            <v>5778.5999999999995</v>
          </cell>
          <cell r="AG84">
            <v>0</v>
          </cell>
          <cell r="AH84">
            <v>0</v>
          </cell>
          <cell r="AI84">
            <v>3000</v>
          </cell>
          <cell r="AJ84">
            <v>6000</v>
          </cell>
          <cell r="AK84">
            <v>0</v>
          </cell>
        </row>
        <row r="85">
          <cell r="AA85" t="str">
            <v>Djibouti</v>
          </cell>
          <cell r="AB85" t="str">
            <v>DJI</v>
          </cell>
          <cell r="AC85" t="str">
            <v>RBAS</v>
          </cell>
          <cell r="AD85">
            <v>2399.9224114288563</v>
          </cell>
          <cell r="AE85">
            <v>7929.7292876910415</v>
          </cell>
          <cell r="AF85">
            <v>22418.787404323219</v>
          </cell>
          <cell r="AG85">
            <v>0</v>
          </cell>
          <cell r="AH85">
            <v>0</v>
          </cell>
          <cell r="AI85">
            <v>1777.5608965568824</v>
          </cell>
          <cell r="AJ85">
            <v>0</v>
          </cell>
          <cell r="AK85">
            <v>0</v>
          </cell>
        </row>
        <row r="86">
          <cell r="AA86" t="str">
            <v>Egypt</v>
          </cell>
          <cell r="AB86" t="str">
            <v>EGY</v>
          </cell>
          <cell r="AC86" t="str">
            <v>RBAS</v>
          </cell>
          <cell r="AD86">
            <v>5498.567952106735</v>
          </cell>
          <cell r="AE86">
            <v>12907.48200544417</v>
          </cell>
          <cell r="AF86">
            <v>16852.330567128352</v>
          </cell>
          <cell r="AG86">
            <v>683.66555319291672</v>
          </cell>
          <cell r="AH86">
            <v>883.5530475770513</v>
          </cell>
          <cell r="AI86">
            <v>4576.6778012936247</v>
          </cell>
          <cell r="AJ86">
            <v>2393.3707389964038</v>
          </cell>
          <cell r="AK86">
            <v>412.03869631935919</v>
          </cell>
        </row>
        <row r="87">
          <cell r="AA87" t="str">
            <v>Iraq</v>
          </cell>
          <cell r="AB87" t="str">
            <v>IRQ</v>
          </cell>
          <cell r="AC87" t="str">
            <v>RBAS</v>
          </cell>
          <cell r="AD87" t="e">
            <v>#VALUE!</v>
          </cell>
          <cell r="AE87" t="e">
            <v>#VALUE!</v>
          </cell>
          <cell r="AF87" t="e">
            <v>#VALUE!</v>
          </cell>
          <cell r="AG87" t="e">
            <v>#VALUE!</v>
          </cell>
          <cell r="AH87" t="e">
            <v>#VALUE!</v>
          </cell>
          <cell r="AI87" t="e">
            <v>#VALUE!</v>
          </cell>
          <cell r="AJ87" t="e">
            <v>#VALUE!</v>
          </cell>
          <cell r="AK87" t="e">
            <v>#VALUE!</v>
          </cell>
        </row>
        <row r="88">
          <cell r="AA88" t="str">
            <v>Jordan</v>
          </cell>
          <cell r="AB88" t="str">
            <v>JOR</v>
          </cell>
          <cell r="AC88" t="str">
            <v>RBAS</v>
          </cell>
          <cell r="AD88">
            <v>12000</v>
          </cell>
          <cell r="AE88">
            <v>4000</v>
          </cell>
          <cell r="AF88">
            <v>0</v>
          </cell>
          <cell r="AG88">
            <v>0</v>
          </cell>
          <cell r="AH88">
            <v>0</v>
          </cell>
          <cell r="AI88">
            <v>4500</v>
          </cell>
          <cell r="AJ88">
            <v>0</v>
          </cell>
          <cell r="AK88">
            <v>0</v>
          </cell>
        </row>
        <row r="89">
          <cell r="AA89" t="str">
            <v>Lebanon</v>
          </cell>
          <cell r="AB89" t="str">
            <v>LBN</v>
          </cell>
          <cell r="AC89" t="str">
            <v>RBAS</v>
          </cell>
          <cell r="AD89">
            <v>300</v>
          </cell>
          <cell r="AE89">
            <v>2000</v>
          </cell>
          <cell r="AF89">
            <v>0</v>
          </cell>
          <cell r="AG89">
            <v>0</v>
          </cell>
          <cell r="AH89">
            <v>0</v>
          </cell>
          <cell r="AI89">
            <v>0</v>
          </cell>
          <cell r="AJ89">
            <v>0</v>
          </cell>
          <cell r="AK89">
            <v>0</v>
          </cell>
        </row>
        <row r="90">
          <cell r="AA90" t="str">
            <v>Libya</v>
          </cell>
          <cell r="AB90" t="str">
            <v>LBY</v>
          </cell>
          <cell r="AC90" t="str">
            <v>RBAS</v>
          </cell>
          <cell r="AD90" t="e">
            <v>#VALUE!</v>
          </cell>
          <cell r="AE90" t="e">
            <v>#VALUE!</v>
          </cell>
          <cell r="AF90" t="e">
            <v>#VALUE!</v>
          </cell>
          <cell r="AG90" t="e">
            <v>#VALUE!</v>
          </cell>
          <cell r="AH90" t="e">
            <v>#VALUE!</v>
          </cell>
          <cell r="AI90" t="e">
            <v>#VALUE!</v>
          </cell>
          <cell r="AJ90" t="e">
            <v>#VALUE!</v>
          </cell>
          <cell r="AK90" t="e">
            <v>#VALUE!</v>
          </cell>
        </row>
        <row r="91">
          <cell r="AA91" t="str">
            <v>Morocco</v>
          </cell>
          <cell r="AB91" t="str">
            <v>MAR</v>
          </cell>
          <cell r="AC91" t="str">
            <v>RBAS</v>
          </cell>
          <cell r="AD91">
            <v>150</v>
          </cell>
          <cell r="AE91">
            <v>4200</v>
          </cell>
          <cell r="AF91">
            <v>11652.75</v>
          </cell>
          <cell r="AG91">
            <v>225.00000000000003</v>
          </cell>
          <cell r="AH91">
            <v>0</v>
          </cell>
          <cell r="AI91">
            <v>650.25</v>
          </cell>
          <cell r="AJ91">
            <v>0</v>
          </cell>
          <cell r="AK91">
            <v>0</v>
          </cell>
        </row>
        <row r="92">
          <cell r="AA92" t="str">
            <v>Palestinian Authority</v>
          </cell>
          <cell r="AB92" t="str">
            <v>PSE</v>
          </cell>
          <cell r="AC92" t="str">
            <v>RBAS</v>
          </cell>
          <cell r="AD92">
            <v>939.52738449135893</v>
          </cell>
          <cell r="AE92">
            <v>4697.6369224567943</v>
          </cell>
          <cell r="AF92">
            <v>7748.7521035924819</v>
          </cell>
          <cell r="AG92">
            <v>0</v>
          </cell>
          <cell r="AH92">
            <v>0</v>
          </cell>
          <cell r="AI92">
            <v>2074.789640751751</v>
          </cell>
          <cell r="AJ92">
            <v>78.293948707613239</v>
          </cell>
          <cell r="AK92">
            <v>0</v>
          </cell>
        </row>
        <row r="93">
          <cell r="AA93" t="str">
            <v>Somalia</v>
          </cell>
          <cell r="AB93" t="str">
            <v>SOM</v>
          </cell>
          <cell r="AC93" t="str">
            <v>RBAS</v>
          </cell>
          <cell r="AD93">
            <v>3665.7119680711562</v>
          </cell>
          <cell r="AE93">
            <v>8604.9880036294471</v>
          </cell>
          <cell r="AF93">
            <v>11234.887044752235</v>
          </cell>
          <cell r="AG93">
            <v>455.77703546194442</v>
          </cell>
          <cell r="AH93">
            <v>589.03536505136753</v>
          </cell>
          <cell r="AI93">
            <v>3051.1185341957498</v>
          </cell>
          <cell r="AJ93">
            <v>1595.5804926642691</v>
          </cell>
          <cell r="AK93">
            <v>274.69246421290615</v>
          </cell>
        </row>
        <row r="94">
          <cell r="AA94" t="str">
            <v>Sudan</v>
          </cell>
          <cell r="AB94" t="str">
            <v>SDN</v>
          </cell>
          <cell r="AC94" t="str">
            <v>RBAS</v>
          </cell>
          <cell r="AD94" t="e">
            <v>#VALUE!</v>
          </cell>
          <cell r="AE94" t="e">
            <v>#VALUE!</v>
          </cell>
          <cell r="AF94" t="e">
            <v>#VALUE!</v>
          </cell>
          <cell r="AG94" t="e">
            <v>#VALUE!</v>
          </cell>
          <cell r="AH94" t="e">
            <v>#VALUE!</v>
          </cell>
          <cell r="AI94" t="e">
            <v>#VALUE!</v>
          </cell>
          <cell r="AJ94" t="e">
            <v>#VALUE!</v>
          </cell>
          <cell r="AK94" t="e">
            <v>#VALUE!</v>
          </cell>
        </row>
        <row r="95">
          <cell r="AA95" t="str">
            <v>Tunisia</v>
          </cell>
          <cell r="AB95" t="str">
            <v>TUN</v>
          </cell>
          <cell r="AC95" t="str">
            <v>RBAS</v>
          </cell>
          <cell r="AD95">
            <v>1562.8837209302326</v>
          </cell>
          <cell r="AE95">
            <v>19926.767441860466</v>
          </cell>
          <cell r="AF95">
            <v>6459.3984186046509</v>
          </cell>
          <cell r="AG95">
            <v>0</v>
          </cell>
          <cell r="AH95">
            <v>1198.7318139534884</v>
          </cell>
          <cell r="AI95">
            <v>3907.2093023255811</v>
          </cell>
          <cell r="AJ95">
            <v>547.00930232558142</v>
          </cell>
          <cell r="AK95">
            <v>0</v>
          </cell>
        </row>
        <row r="96">
          <cell r="AA96" t="str">
            <v>Yemen</v>
          </cell>
          <cell r="AB96" t="str">
            <v>YEM</v>
          </cell>
          <cell r="AC96" t="str">
            <v>RBAS</v>
          </cell>
          <cell r="AD96">
            <v>1800</v>
          </cell>
          <cell r="AE96">
            <v>24045.599999999999</v>
          </cell>
          <cell r="AF96">
            <v>26034.6</v>
          </cell>
          <cell r="AG96">
            <v>180</v>
          </cell>
          <cell r="AH96">
            <v>0</v>
          </cell>
          <cell r="AI96">
            <v>647.99999999999989</v>
          </cell>
          <cell r="AJ96">
            <v>0</v>
          </cell>
          <cell r="AK96">
            <v>0</v>
          </cell>
        </row>
        <row r="97">
          <cell r="AA97" t="str">
            <v>Albania</v>
          </cell>
          <cell r="AB97" t="str">
            <v>ALB</v>
          </cell>
          <cell r="AC97" t="str">
            <v>RBEC</v>
          </cell>
          <cell r="AD97">
            <v>0</v>
          </cell>
          <cell r="AE97">
            <v>1104.3694081942338</v>
          </cell>
          <cell r="AF97">
            <v>11402.777784522003</v>
          </cell>
          <cell r="AG97">
            <v>93.511380880121393</v>
          </cell>
          <cell r="AH97">
            <v>0</v>
          </cell>
          <cell r="AI97">
            <v>2524.8072837632781</v>
          </cell>
          <cell r="AJ97">
            <v>0</v>
          </cell>
          <cell r="AK97">
            <v>280.53414264036422</v>
          </cell>
        </row>
        <row r="98">
          <cell r="AA98" t="str">
            <v>Armenia</v>
          </cell>
          <cell r="AB98" t="str">
            <v>ARM</v>
          </cell>
          <cell r="AC98" t="str">
            <v>RBEC</v>
          </cell>
          <cell r="AD98">
            <v>909.19685039370074</v>
          </cell>
          <cell r="AE98">
            <v>12183.237795275591</v>
          </cell>
          <cell r="AF98">
            <v>3454.9480314960629</v>
          </cell>
          <cell r="AG98">
            <v>181.83937007874016</v>
          </cell>
          <cell r="AH98">
            <v>0</v>
          </cell>
          <cell r="AI98">
            <v>4500.5244094488189</v>
          </cell>
          <cell r="AJ98">
            <v>1363.7952755905512</v>
          </cell>
          <cell r="AK98">
            <v>6273.4582677165354</v>
          </cell>
        </row>
        <row r="99">
          <cell r="AA99" t="str">
            <v>Azerbaijan</v>
          </cell>
          <cell r="AB99" t="str">
            <v>AZE</v>
          </cell>
          <cell r="AC99" t="str">
            <v>RBEC</v>
          </cell>
          <cell r="AD99" t="e">
            <v>#VALUE!</v>
          </cell>
          <cell r="AE99" t="e">
            <v>#VALUE!</v>
          </cell>
          <cell r="AF99" t="e">
            <v>#VALUE!</v>
          </cell>
          <cell r="AG99" t="e">
            <v>#VALUE!</v>
          </cell>
          <cell r="AH99" t="e">
            <v>#VALUE!</v>
          </cell>
          <cell r="AI99" t="e">
            <v>#VALUE!</v>
          </cell>
          <cell r="AJ99" t="e">
            <v>#VALUE!</v>
          </cell>
          <cell r="AK99" t="e">
            <v>#VALUE!</v>
          </cell>
        </row>
        <row r="100">
          <cell r="AA100" t="str">
            <v>Belarus</v>
          </cell>
          <cell r="AB100" t="str">
            <v>BLR</v>
          </cell>
          <cell r="AC100" t="str">
            <v>RBEC</v>
          </cell>
          <cell r="AD100">
            <v>12884.28093645485</v>
          </cell>
          <cell r="AE100">
            <v>6635.4046822742475</v>
          </cell>
          <cell r="AF100">
            <v>4141.3760152890582</v>
          </cell>
          <cell r="AG100">
            <v>1840.6115623506928</v>
          </cell>
          <cell r="AH100">
            <v>0</v>
          </cell>
          <cell r="AI100">
            <v>966.32107023411379</v>
          </cell>
          <cell r="AJ100">
            <v>11963.975155279502</v>
          </cell>
          <cell r="AK100">
            <v>92.030578117534645</v>
          </cell>
        </row>
        <row r="101">
          <cell r="AA101" t="str">
            <v>Bosnia and Herzegovina</v>
          </cell>
          <cell r="AB101" t="str">
            <v>BIH</v>
          </cell>
          <cell r="AC101" t="str">
            <v>RBEC</v>
          </cell>
          <cell r="AD101" t="e">
            <v>#VALUE!</v>
          </cell>
          <cell r="AE101" t="e">
            <v>#VALUE!</v>
          </cell>
          <cell r="AF101" t="e">
            <v>#VALUE!</v>
          </cell>
          <cell r="AG101" t="e">
            <v>#VALUE!</v>
          </cell>
          <cell r="AH101" t="e">
            <v>#VALUE!</v>
          </cell>
          <cell r="AI101" t="e">
            <v>#VALUE!</v>
          </cell>
          <cell r="AJ101" t="e">
            <v>#VALUE!</v>
          </cell>
          <cell r="AK101" t="e">
            <v>#VALUE!</v>
          </cell>
        </row>
        <row r="102">
          <cell r="AA102" t="str">
            <v>Georgia</v>
          </cell>
          <cell r="AB102" t="str">
            <v>GEO</v>
          </cell>
          <cell r="AC102" t="str">
            <v>RBEC</v>
          </cell>
          <cell r="AD102">
            <v>3000</v>
          </cell>
          <cell r="AE102">
            <v>2100</v>
          </cell>
          <cell r="AF102">
            <v>4800</v>
          </cell>
          <cell r="AG102">
            <v>120</v>
          </cell>
          <cell r="AH102">
            <v>0</v>
          </cell>
          <cell r="AI102">
            <v>360</v>
          </cell>
          <cell r="AJ102">
            <v>2400</v>
          </cell>
          <cell r="AK102">
            <v>0</v>
          </cell>
        </row>
        <row r="103">
          <cell r="AA103" t="str">
            <v>Kazakhstan</v>
          </cell>
          <cell r="AB103" t="str">
            <v>KAZ</v>
          </cell>
          <cell r="AC103" t="str">
            <v>RBEC</v>
          </cell>
          <cell r="AD103">
            <v>3665.7119680711562</v>
          </cell>
          <cell r="AE103">
            <v>8604.9880036294471</v>
          </cell>
          <cell r="AF103">
            <v>11234.887044752235</v>
          </cell>
          <cell r="AG103">
            <v>455.77703546194442</v>
          </cell>
          <cell r="AH103">
            <v>589.03536505136753</v>
          </cell>
          <cell r="AI103">
            <v>3051.1185341957498</v>
          </cell>
          <cell r="AJ103">
            <v>1595.5804926642691</v>
          </cell>
          <cell r="AK103">
            <v>274.69246421290615</v>
          </cell>
        </row>
        <row r="104">
          <cell r="AA104" t="str">
            <v>Kyrgyzstan</v>
          </cell>
          <cell r="AB104" t="str">
            <v>KGZ</v>
          </cell>
          <cell r="AC104" t="str">
            <v>RBEC</v>
          </cell>
          <cell r="AD104">
            <v>4423.2</v>
          </cell>
          <cell r="AE104">
            <v>3503.9999999999995</v>
          </cell>
          <cell r="AF104">
            <v>4439.9999999999991</v>
          </cell>
          <cell r="AG104">
            <v>0</v>
          </cell>
          <cell r="AH104">
            <v>0</v>
          </cell>
          <cell r="AI104">
            <v>900</v>
          </cell>
          <cell r="AJ104">
            <v>120</v>
          </cell>
          <cell r="AK104">
            <v>0</v>
          </cell>
        </row>
        <row r="105">
          <cell r="AA105" t="str">
            <v>Macedonia</v>
          </cell>
          <cell r="AB105" t="str">
            <v>MKD</v>
          </cell>
          <cell r="AC105" t="str">
            <v>RBEC</v>
          </cell>
          <cell r="AD105">
            <v>585</v>
          </cell>
          <cell r="AE105">
            <v>4275</v>
          </cell>
          <cell r="AF105">
            <v>9135</v>
          </cell>
          <cell r="AG105">
            <v>720</v>
          </cell>
          <cell r="AH105">
            <v>0</v>
          </cell>
          <cell r="AI105">
            <v>2430</v>
          </cell>
          <cell r="AJ105">
            <v>0</v>
          </cell>
          <cell r="AK105">
            <v>105</v>
          </cell>
        </row>
        <row r="106">
          <cell r="AA106" t="str">
            <v>Moldova</v>
          </cell>
          <cell r="AB106" t="str">
            <v>MDA</v>
          </cell>
          <cell r="AC106" t="str">
            <v>RBEC</v>
          </cell>
          <cell r="AD106">
            <v>150.76981562440602</v>
          </cell>
          <cell r="AE106">
            <v>527.6943546854211</v>
          </cell>
          <cell r="AF106">
            <v>6122.7622125071275</v>
          </cell>
          <cell r="AG106">
            <v>113.0773617183045</v>
          </cell>
          <cell r="AH106">
            <v>0</v>
          </cell>
          <cell r="AI106">
            <v>263.84717734271055</v>
          </cell>
          <cell r="AJ106">
            <v>753.84907812202994</v>
          </cell>
          <cell r="AK106">
            <v>0</v>
          </cell>
        </row>
        <row r="107">
          <cell r="AA107" t="str">
            <v>Montenegro</v>
          </cell>
          <cell r="AB107" t="str">
            <v>MNE</v>
          </cell>
          <cell r="AC107" t="str">
            <v>RBEC</v>
          </cell>
          <cell r="AD107">
            <v>3665.7119680711562</v>
          </cell>
          <cell r="AE107">
            <v>8604.9880036294471</v>
          </cell>
          <cell r="AF107">
            <v>11234.887044752235</v>
          </cell>
          <cell r="AG107">
            <v>455.77703546194442</v>
          </cell>
          <cell r="AH107">
            <v>589.03536505136753</v>
          </cell>
          <cell r="AI107">
            <v>3051.1185341957498</v>
          </cell>
          <cell r="AJ107">
            <v>1595.5804926642691</v>
          </cell>
          <cell r="AK107">
            <v>274.69246421290615</v>
          </cell>
        </row>
        <row r="108">
          <cell r="AA108" t="str">
            <v>Serbia</v>
          </cell>
          <cell r="AB108" t="str">
            <v>SRB</v>
          </cell>
          <cell r="AC108" t="str">
            <v>RBEC</v>
          </cell>
          <cell r="AD108" t="e">
            <v>#VALUE!</v>
          </cell>
          <cell r="AE108" t="e">
            <v>#VALUE!</v>
          </cell>
          <cell r="AF108" t="e">
            <v>#VALUE!</v>
          </cell>
          <cell r="AG108" t="e">
            <v>#VALUE!</v>
          </cell>
          <cell r="AH108" t="e">
            <v>#VALUE!</v>
          </cell>
          <cell r="AI108" t="e">
            <v>#VALUE!</v>
          </cell>
          <cell r="AJ108" t="e">
            <v>#VALUE!</v>
          </cell>
          <cell r="AK108" t="e">
            <v>#VALUE!</v>
          </cell>
        </row>
        <row r="109">
          <cell r="AA109" t="str">
            <v>Tajikistan</v>
          </cell>
          <cell r="AB109" t="str">
            <v>TJK</v>
          </cell>
          <cell r="AC109" t="str">
            <v>RBEC</v>
          </cell>
          <cell r="AD109">
            <v>3600</v>
          </cell>
          <cell r="AE109">
            <v>8700</v>
          </cell>
          <cell r="AF109">
            <v>11100</v>
          </cell>
          <cell r="AG109">
            <v>600</v>
          </cell>
          <cell r="AH109">
            <v>600</v>
          </cell>
          <cell r="AI109">
            <v>3000</v>
          </cell>
          <cell r="AJ109">
            <v>1500</v>
          </cell>
          <cell r="AK109">
            <v>300</v>
          </cell>
        </row>
        <row r="110">
          <cell r="AA110" t="str">
            <v>Turkey</v>
          </cell>
          <cell r="AB110" t="str">
            <v>TUR</v>
          </cell>
          <cell r="AC110" t="str">
            <v>RBEC</v>
          </cell>
          <cell r="AD110">
            <v>1633.8624338624338</v>
          </cell>
          <cell r="AE110">
            <v>3267.7248677248676</v>
          </cell>
          <cell r="AF110">
            <v>204.23280423280423</v>
          </cell>
          <cell r="AG110">
            <v>0</v>
          </cell>
          <cell r="AH110">
            <v>0</v>
          </cell>
          <cell r="AI110">
            <v>2573.333333333333</v>
          </cell>
          <cell r="AJ110">
            <v>7760.8465608465613</v>
          </cell>
          <cell r="AK110">
            <v>0</v>
          </cell>
        </row>
        <row r="111">
          <cell r="AA111" t="str">
            <v>Turkmenistan</v>
          </cell>
          <cell r="AB111" t="str">
            <v>TKM</v>
          </cell>
          <cell r="AC111" t="str">
            <v>RBEC</v>
          </cell>
          <cell r="AD111" t="e">
            <v>#VALUE!</v>
          </cell>
          <cell r="AE111" t="e">
            <v>#VALUE!</v>
          </cell>
          <cell r="AF111" t="e">
            <v>#VALUE!</v>
          </cell>
          <cell r="AG111" t="e">
            <v>#VALUE!</v>
          </cell>
          <cell r="AH111" t="e">
            <v>#VALUE!</v>
          </cell>
          <cell r="AI111" t="e">
            <v>#VALUE!</v>
          </cell>
          <cell r="AJ111" t="e">
            <v>#VALUE!</v>
          </cell>
          <cell r="AK111" t="e">
            <v>#VALUE!</v>
          </cell>
        </row>
        <row r="112">
          <cell r="AA112" t="str">
            <v>Ukraine</v>
          </cell>
          <cell r="AB112" t="str">
            <v>UKR</v>
          </cell>
          <cell r="AC112" t="str">
            <v>RBEC</v>
          </cell>
          <cell r="AD112">
            <v>1280.2151770360247</v>
          </cell>
          <cell r="AE112">
            <v>1974.9452797742404</v>
          </cell>
          <cell r="AF112">
            <v>9985.6783808809905</v>
          </cell>
          <cell r="AG112">
            <v>2018.4725957934654</v>
          </cell>
          <cell r="AH112">
            <v>0</v>
          </cell>
          <cell r="AI112">
            <v>4096.6885665152786</v>
          </cell>
          <cell r="AJ112">
            <v>0</v>
          </cell>
          <cell r="AK112">
            <v>0</v>
          </cell>
        </row>
        <row r="113">
          <cell r="AA113" t="str">
            <v>Uzbekistan</v>
          </cell>
          <cell r="AB113" t="str">
            <v>UZB</v>
          </cell>
          <cell r="AC113" t="str">
            <v>RBEC</v>
          </cell>
          <cell r="AD113">
            <v>7500.0000000000009</v>
          </cell>
          <cell r="AE113">
            <v>3525</v>
          </cell>
          <cell r="AF113">
            <v>3450</v>
          </cell>
          <cell r="AG113">
            <v>0</v>
          </cell>
          <cell r="AH113">
            <v>2250</v>
          </cell>
          <cell r="AI113">
            <v>225</v>
          </cell>
          <cell r="AJ113">
            <v>3825</v>
          </cell>
          <cell r="AK113">
            <v>1462.5</v>
          </cell>
        </row>
        <row r="114">
          <cell r="AA114" t="str">
            <v>Antigua &amp; Barbuda</v>
          </cell>
          <cell r="AB114" t="str">
            <v>ATG</v>
          </cell>
          <cell r="AC114" t="str">
            <v>RBLAC</v>
          </cell>
          <cell r="AD114">
            <v>2581.1999999999998</v>
          </cell>
          <cell r="AE114">
            <v>4304.3999999999996</v>
          </cell>
          <cell r="AF114">
            <v>4742.3999999999996</v>
          </cell>
          <cell r="AG114">
            <v>570</v>
          </cell>
          <cell r="AH114">
            <v>0</v>
          </cell>
          <cell r="AI114">
            <v>214.2</v>
          </cell>
          <cell r="AJ114">
            <v>2632.7999999999997</v>
          </cell>
          <cell r="AK114">
            <v>0</v>
          </cell>
        </row>
        <row r="115">
          <cell r="AA115" t="str">
            <v>Argentina</v>
          </cell>
          <cell r="AB115" t="str">
            <v>ARG</v>
          </cell>
          <cell r="AC115" t="str">
            <v>RBLAC</v>
          </cell>
          <cell r="AD115">
            <v>1695</v>
          </cell>
          <cell r="AE115">
            <v>37482</v>
          </cell>
          <cell r="AF115">
            <v>11198</v>
          </cell>
          <cell r="AG115">
            <v>150</v>
          </cell>
          <cell r="AH115">
            <v>0</v>
          </cell>
          <cell r="AI115">
            <v>7557</v>
          </cell>
          <cell r="AJ115">
            <v>2100</v>
          </cell>
          <cell r="AK115">
            <v>360</v>
          </cell>
        </row>
        <row r="116">
          <cell r="AA116" t="str">
            <v>Bahamas</v>
          </cell>
          <cell r="AB116" t="str">
            <v>BHS</v>
          </cell>
          <cell r="AC116" t="str">
            <v>RBLAC</v>
          </cell>
          <cell r="AD116">
            <v>2073.5753424657532</v>
          </cell>
          <cell r="AE116">
            <v>19439.768835616436</v>
          </cell>
          <cell r="AF116">
            <v>23759.717465753423</v>
          </cell>
          <cell r="AG116">
            <v>431.99486301369859</v>
          </cell>
          <cell r="AH116">
            <v>86.398972602739718</v>
          </cell>
          <cell r="AI116">
            <v>4233.5496575342468</v>
          </cell>
          <cell r="AJ116">
            <v>172.79794520547944</v>
          </cell>
          <cell r="AK116">
            <v>259.19691780821915</v>
          </cell>
        </row>
        <row r="117">
          <cell r="AA117" t="str">
            <v>Barbados</v>
          </cell>
          <cell r="AB117" t="str">
            <v>BRB</v>
          </cell>
          <cell r="AC117" t="str">
            <v>RBLAC</v>
          </cell>
          <cell r="AD117">
            <v>1500</v>
          </cell>
          <cell r="AE117">
            <v>4704</v>
          </cell>
          <cell r="AF117">
            <v>9975</v>
          </cell>
          <cell r="AG117">
            <v>120</v>
          </cell>
          <cell r="AH117">
            <v>1927.8</v>
          </cell>
          <cell r="AI117">
            <v>2288.4</v>
          </cell>
          <cell r="AJ117">
            <v>2871</v>
          </cell>
          <cell r="AK117">
            <v>0</v>
          </cell>
        </row>
        <row r="118">
          <cell r="AA118" t="str">
            <v>Belize</v>
          </cell>
          <cell r="AB118" t="str">
            <v>BLZ</v>
          </cell>
          <cell r="AC118" t="str">
            <v>RBLAC</v>
          </cell>
          <cell r="AD118">
            <v>1144.7591875551932</v>
          </cell>
          <cell r="AE118">
            <v>7357.9396780110046</v>
          </cell>
          <cell r="AF118">
            <v>17805.775196431401</v>
          </cell>
          <cell r="AG118">
            <v>476.98299481466387</v>
          </cell>
          <cell r="AH118">
            <v>0</v>
          </cell>
          <cell r="AI118">
            <v>12030.465095215453</v>
          </cell>
          <cell r="AJ118">
            <v>2550.9050562688221</v>
          </cell>
          <cell r="AK118">
            <v>763.17279170346217</v>
          </cell>
        </row>
        <row r="119">
          <cell r="AA119" t="str">
            <v>Bolivia</v>
          </cell>
          <cell r="AB119" t="str">
            <v>BOL</v>
          </cell>
          <cell r="AC119" t="str">
            <v>RBLAC</v>
          </cell>
          <cell r="AD119">
            <v>3665.7119680711562</v>
          </cell>
          <cell r="AE119">
            <v>8604.9880036294471</v>
          </cell>
          <cell r="AF119">
            <v>11234.887044752235</v>
          </cell>
          <cell r="AG119">
            <v>455.77703546194442</v>
          </cell>
          <cell r="AH119">
            <v>589.03536505136753</v>
          </cell>
          <cell r="AI119">
            <v>3051.1185341957498</v>
          </cell>
          <cell r="AJ119">
            <v>1595.5804926642691</v>
          </cell>
          <cell r="AK119">
            <v>274.69246421290615</v>
          </cell>
        </row>
        <row r="120">
          <cell r="AA120" t="str">
            <v>Brazil</v>
          </cell>
          <cell r="AB120" t="str">
            <v>BRA</v>
          </cell>
          <cell r="AC120" t="str">
            <v>RBLAC</v>
          </cell>
          <cell r="AD120">
            <v>3665.7119680711562</v>
          </cell>
          <cell r="AE120">
            <v>8604.9880036294471</v>
          </cell>
          <cell r="AF120">
            <v>11234.887044752235</v>
          </cell>
          <cell r="AG120">
            <v>455.77703546194442</v>
          </cell>
          <cell r="AH120">
            <v>589.03536505136753</v>
          </cell>
          <cell r="AI120">
            <v>3051.1185341957498</v>
          </cell>
          <cell r="AJ120">
            <v>1595.5804926642691</v>
          </cell>
          <cell r="AK120">
            <v>274.69246421290615</v>
          </cell>
        </row>
        <row r="121">
          <cell r="AA121" t="str">
            <v>Chile</v>
          </cell>
          <cell r="AB121" t="str">
            <v>CHL</v>
          </cell>
          <cell r="AC121" t="str">
            <v>RBLAC</v>
          </cell>
          <cell r="AD121" t="e">
            <v>#VALUE!</v>
          </cell>
          <cell r="AE121" t="e">
            <v>#VALUE!</v>
          </cell>
          <cell r="AF121" t="e">
            <v>#VALUE!</v>
          </cell>
          <cell r="AG121" t="e">
            <v>#VALUE!</v>
          </cell>
          <cell r="AH121" t="e">
            <v>#VALUE!</v>
          </cell>
          <cell r="AI121" t="e">
            <v>#VALUE!</v>
          </cell>
          <cell r="AJ121" t="e">
            <v>#VALUE!</v>
          </cell>
          <cell r="AK121" t="e">
            <v>#VALUE!</v>
          </cell>
        </row>
        <row r="122">
          <cell r="AA122" t="str">
            <v>Colombia</v>
          </cell>
          <cell r="AB122" t="str">
            <v>COL</v>
          </cell>
          <cell r="AC122" t="str">
            <v>RBLAC</v>
          </cell>
          <cell r="AD122">
            <v>19668.946721311477</v>
          </cell>
          <cell r="AE122">
            <v>17384.170081967211</v>
          </cell>
          <cell r="AF122">
            <v>2185.438524590164</v>
          </cell>
          <cell r="AG122">
            <v>596.02868852459017</v>
          </cell>
          <cell r="AH122">
            <v>0</v>
          </cell>
          <cell r="AI122">
            <v>596.02868852459017</v>
          </cell>
          <cell r="AJ122">
            <v>6953.6680327868853</v>
          </cell>
          <cell r="AK122">
            <v>1092.719262295082</v>
          </cell>
        </row>
        <row r="123">
          <cell r="AA123" t="str">
            <v>Costa Rica</v>
          </cell>
          <cell r="AB123" t="str">
            <v>CRI</v>
          </cell>
          <cell r="AC123" t="str">
            <v>RBLAC</v>
          </cell>
          <cell r="AD123">
            <v>3665.7119680711562</v>
          </cell>
          <cell r="AE123">
            <v>8604.9880036294471</v>
          </cell>
          <cell r="AF123">
            <v>11234.887044752235</v>
          </cell>
          <cell r="AG123">
            <v>455.77703546194442</v>
          </cell>
          <cell r="AH123">
            <v>589.03536505136753</v>
          </cell>
          <cell r="AI123">
            <v>3051.1185341957498</v>
          </cell>
          <cell r="AJ123">
            <v>1595.5804926642691</v>
          </cell>
          <cell r="AK123">
            <v>274.69246421290615</v>
          </cell>
        </row>
        <row r="124">
          <cell r="AA124" t="str">
            <v>Cuba</v>
          </cell>
          <cell r="AB124" t="str">
            <v>CUB</v>
          </cell>
          <cell r="AC124" t="str">
            <v>RBLAC</v>
          </cell>
          <cell r="AD124">
            <v>419.67021276595744</v>
          </cell>
          <cell r="AE124">
            <v>25180.212765957447</v>
          </cell>
          <cell r="AF124">
            <v>10491.755319148935</v>
          </cell>
          <cell r="AG124">
            <v>671.47234042553191</v>
          </cell>
          <cell r="AH124">
            <v>0</v>
          </cell>
          <cell r="AI124">
            <v>2350.1531914893617</v>
          </cell>
          <cell r="AJ124">
            <v>0</v>
          </cell>
          <cell r="AK124">
            <v>335.73617021276596</v>
          </cell>
        </row>
        <row r="125">
          <cell r="AA125" t="str">
            <v>Dominica</v>
          </cell>
          <cell r="AB125" t="str">
            <v>DMA</v>
          </cell>
          <cell r="AC125" t="str">
            <v>RBLAC</v>
          </cell>
          <cell r="AD125">
            <v>2925.0000000000005</v>
          </cell>
          <cell r="AE125">
            <v>1350</v>
          </cell>
          <cell r="AF125">
            <v>12738.75</v>
          </cell>
          <cell r="AG125">
            <v>225</v>
          </cell>
          <cell r="AH125">
            <v>0</v>
          </cell>
          <cell r="AI125">
            <v>1575</v>
          </cell>
          <cell r="AJ125">
            <v>150</v>
          </cell>
          <cell r="AK125">
            <v>112.5</v>
          </cell>
        </row>
        <row r="126">
          <cell r="AA126" t="str">
            <v>Dominican Republic</v>
          </cell>
          <cell r="AB126" t="str">
            <v>DOM</v>
          </cell>
          <cell r="AC126" t="str">
            <v>RBLAC</v>
          </cell>
          <cell r="AD126">
            <v>3184.960893854749</v>
          </cell>
          <cell r="AE126">
            <v>18820.223463687151</v>
          </cell>
          <cell r="AF126">
            <v>2798.9050279329608</v>
          </cell>
          <cell r="AG126">
            <v>723.85474860335194</v>
          </cell>
          <cell r="AH126">
            <v>0</v>
          </cell>
          <cell r="AI126">
            <v>17179.486033519555</v>
          </cell>
          <cell r="AJ126">
            <v>0</v>
          </cell>
          <cell r="AK126">
            <v>482.56983240223462</v>
          </cell>
        </row>
        <row r="127">
          <cell r="AA127" t="str">
            <v>Ecuador</v>
          </cell>
          <cell r="AB127" t="str">
            <v>ECU</v>
          </cell>
          <cell r="AC127" t="str">
            <v>RBLAC</v>
          </cell>
          <cell r="AD127">
            <v>3665.7119680711562</v>
          </cell>
          <cell r="AE127">
            <v>8604.9880036294471</v>
          </cell>
          <cell r="AF127">
            <v>11234.887044752235</v>
          </cell>
          <cell r="AG127">
            <v>455.77703546194442</v>
          </cell>
          <cell r="AH127">
            <v>589.03536505136753</v>
          </cell>
          <cell r="AI127">
            <v>3051.1185341957498</v>
          </cell>
          <cell r="AJ127">
            <v>1595.5804926642691</v>
          </cell>
          <cell r="AK127">
            <v>274.69246421290615</v>
          </cell>
        </row>
        <row r="128">
          <cell r="AA128" t="str">
            <v>El Salvador</v>
          </cell>
          <cell r="AB128" t="str">
            <v>SLV</v>
          </cell>
          <cell r="AC128" t="str">
            <v>RBLAC</v>
          </cell>
          <cell r="AD128">
            <v>0</v>
          </cell>
          <cell r="AE128">
            <v>14158.032053712834</v>
          </cell>
          <cell r="AF128">
            <v>21858.152439160403</v>
          </cell>
          <cell r="AG128">
            <v>0</v>
          </cell>
          <cell r="AH128">
            <v>0</v>
          </cell>
          <cell r="AI128">
            <v>8076.8155071267647</v>
          </cell>
          <cell r="AJ128">
            <v>0</v>
          </cell>
          <cell r="AK128">
            <v>0</v>
          </cell>
        </row>
        <row r="129">
          <cell r="AA129" t="str">
            <v>Grenada</v>
          </cell>
          <cell r="AB129" t="str">
            <v>GRD</v>
          </cell>
          <cell r="AC129" t="str">
            <v>RBLAC</v>
          </cell>
          <cell r="AD129">
            <v>4493.2424482706538</v>
          </cell>
          <cell r="AE129">
            <v>385.15707597039722</v>
          </cell>
          <cell r="AF129">
            <v>11092.523787947439</v>
          </cell>
          <cell r="AG129">
            <v>0</v>
          </cell>
          <cell r="AH129">
            <v>0</v>
          </cell>
          <cell r="AI129">
            <v>2535.8741881890951</v>
          </cell>
          <cell r="AJ129">
            <v>1894.2024996224134</v>
          </cell>
          <cell r="AK129">
            <v>0</v>
          </cell>
        </row>
        <row r="130">
          <cell r="AA130" t="str">
            <v>Guatemala</v>
          </cell>
          <cell r="AB130" t="str">
            <v>GTM</v>
          </cell>
          <cell r="AC130" t="str">
            <v>RBLAC</v>
          </cell>
          <cell r="AD130">
            <v>900.00000000000011</v>
          </cell>
          <cell r="AE130">
            <v>3300</v>
          </cell>
          <cell r="AF130">
            <v>12300</v>
          </cell>
          <cell r="AG130">
            <v>0</v>
          </cell>
          <cell r="AH130">
            <v>18000</v>
          </cell>
          <cell r="AI130">
            <v>0</v>
          </cell>
          <cell r="AJ130">
            <v>900.00000000000011</v>
          </cell>
          <cell r="AK130">
            <v>0</v>
          </cell>
        </row>
        <row r="131">
          <cell r="AA131" t="str">
            <v>Guyana</v>
          </cell>
          <cell r="AB131" t="str">
            <v>GUY</v>
          </cell>
          <cell r="AC131" t="str">
            <v>RBLAC</v>
          </cell>
          <cell r="AD131">
            <v>1748.7930613738968</v>
          </cell>
          <cell r="AE131">
            <v>15050.872615609876</v>
          </cell>
          <cell r="AF131">
            <v>5762.1090413633219</v>
          </cell>
          <cell r="AG131">
            <v>0</v>
          </cell>
          <cell r="AH131">
            <v>0</v>
          </cell>
          <cell r="AI131">
            <v>493.22528165290601</v>
          </cell>
          <cell r="AJ131">
            <v>0</v>
          </cell>
          <cell r="AK131">
            <v>0</v>
          </cell>
        </row>
        <row r="132">
          <cell r="AA132" t="str">
            <v>Haiti</v>
          </cell>
          <cell r="AB132" t="str">
            <v>HTI</v>
          </cell>
          <cell r="AC132" t="str">
            <v>RBLAC</v>
          </cell>
          <cell r="AD132">
            <v>600</v>
          </cell>
          <cell r="AE132">
            <v>3600</v>
          </cell>
          <cell r="AF132">
            <v>11220</v>
          </cell>
          <cell r="AG132">
            <v>480</v>
          </cell>
          <cell r="AH132">
            <v>0</v>
          </cell>
          <cell r="AI132">
            <v>1200</v>
          </cell>
          <cell r="AJ132">
            <v>0</v>
          </cell>
          <cell r="AK132">
            <v>0</v>
          </cell>
        </row>
        <row r="133">
          <cell r="AA133" t="str">
            <v>Honduras</v>
          </cell>
          <cell r="AB133" t="str">
            <v>HND</v>
          </cell>
          <cell r="AC133" t="str">
            <v>RBLAC</v>
          </cell>
          <cell r="AD133">
            <v>4704.0740740740739</v>
          </cell>
          <cell r="AE133">
            <v>11289.777777777777</v>
          </cell>
          <cell r="AF133">
            <v>5663.7051851851857</v>
          </cell>
          <cell r="AG133">
            <v>188.16296296296298</v>
          </cell>
          <cell r="AH133">
            <v>310.4688888888889</v>
          </cell>
          <cell r="AI133">
            <v>1034.8962962962964</v>
          </cell>
          <cell r="AJ133">
            <v>2210.9148148148147</v>
          </cell>
          <cell r="AK133">
            <v>0</v>
          </cell>
        </row>
        <row r="134">
          <cell r="AA134" t="str">
            <v>Jamaica</v>
          </cell>
          <cell r="AB134" t="str">
            <v>JAM</v>
          </cell>
          <cell r="AC134" t="str">
            <v>RBLAC</v>
          </cell>
          <cell r="AD134">
            <v>375</v>
          </cell>
          <cell r="AE134">
            <v>3450</v>
          </cell>
          <cell r="AF134">
            <v>4875</v>
          </cell>
          <cell r="AG134">
            <v>0</v>
          </cell>
          <cell r="AH134">
            <v>0</v>
          </cell>
          <cell r="AI134">
            <v>3921.75</v>
          </cell>
          <cell r="AJ134">
            <v>750</v>
          </cell>
          <cell r="AK134">
            <v>300</v>
          </cell>
        </row>
        <row r="135">
          <cell r="AA135" t="str">
            <v>Mexico</v>
          </cell>
          <cell r="AB135" t="str">
            <v>MEX</v>
          </cell>
          <cell r="AC135" t="str">
            <v>RBLAC</v>
          </cell>
          <cell r="AD135">
            <v>10386.183909534942</v>
          </cell>
          <cell r="AE135">
            <v>24380.799343616764</v>
          </cell>
          <cell r="AF135">
            <v>31832.179960131332</v>
          </cell>
          <cell r="AG135">
            <v>1291.3682671421759</v>
          </cell>
          <cell r="AH135">
            <v>1668.9335343122079</v>
          </cell>
          <cell r="AI135">
            <v>8644.8358468879578</v>
          </cell>
          <cell r="AJ135">
            <v>4520.8113958820959</v>
          </cell>
          <cell r="AK135">
            <v>778.2953152699007</v>
          </cell>
        </row>
        <row r="136">
          <cell r="AA136" t="str">
            <v>Panama</v>
          </cell>
          <cell r="AB136" t="str">
            <v>PAN</v>
          </cell>
          <cell r="AC136" t="str">
            <v>RBLAC</v>
          </cell>
          <cell r="AD136">
            <v>7864.7214217098945</v>
          </cell>
          <cell r="AE136">
            <v>11393.218059558118</v>
          </cell>
          <cell r="AF136">
            <v>15814.466858789625</v>
          </cell>
          <cell r="AG136">
            <v>255.07204610951007</v>
          </cell>
          <cell r="AH136">
            <v>0</v>
          </cell>
          <cell r="AI136">
            <v>1105.3121998078771</v>
          </cell>
          <cell r="AJ136">
            <v>7822.2094140249765</v>
          </cell>
          <cell r="AK136">
            <v>0</v>
          </cell>
        </row>
        <row r="137">
          <cell r="AA137" t="str">
            <v>Paraguay</v>
          </cell>
          <cell r="AB137" t="str">
            <v>PRY</v>
          </cell>
          <cell r="AC137" t="str">
            <v>RBLAC</v>
          </cell>
          <cell r="AD137">
            <v>795.74399999999991</v>
          </cell>
          <cell r="AE137">
            <v>11494.08</v>
          </cell>
          <cell r="AF137">
            <v>6454.3679999999995</v>
          </cell>
          <cell r="AG137">
            <v>0</v>
          </cell>
          <cell r="AH137">
            <v>707.32799999999997</v>
          </cell>
          <cell r="AI137">
            <v>1237.8240000000001</v>
          </cell>
          <cell r="AJ137">
            <v>1414.6559999999999</v>
          </cell>
          <cell r="AK137">
            <v>0</v>
          </cell>
        </row>
        <row r="138">
          <cell r="AA138" t="str">
            <v>Peru</v>
          </cell>
          <cell r="AB138" t="str">
            <v>PER</v>
          </cell>
          <cell r="AC138" t="str">
            <v>RBLAC</v>
          </cell>
          <cell r="AD138">
            <v>3665.7119680711562</v>
          </cell>
          <cell r="AE138">
            <v>8604.9880036294471</v>
          </cell>
          <cell r="AF138">
            <v>11234.887044752235</v>
          </cell>
          <cell r="AG138">
            <v>455.77703546194442</v>
          </cell>
          <cell r="AH138">
            <v>589.03536505136753</v>
          </cell>
          <cell r="AI138">
            <v>3051.1185341957498</v>
          </cell>
          <cell r="AJ138">
            <v>1595.5804926642691</v>
          </cell>
          <cell r="AK138">
            <v>274.69246421290615</v>
          </cell>
        </row>
        <row r="139">
          <cell r="AA139" t="str">
            <v>St. Kitts and Nevis</v>
          </cell>
          <cell r="AB139" t="str">
            <v>KNA</v>
          </cell>
          <cell r="AC139" t="str">
            <v>RBLAC</v>
          </cell>
          <cell r="AD139">
            <v>1125</v>
          </cell>
          <cell r="AE139">
            <v>2250</v>
          </cell>
          <cell r="AF139">
            <v>11565</v>
          </cell>
          <cell r="AG139">
            <v>375</v>
          </cell>
          <cell r="AH139">
            <v>0</v>
          </cell>
          <cell r="AI139">
            <v>1874.9999999999998</v>
          </cell>
          <cell r="AJ139">
            <v>1050</v>
          </cell>
          <cell r="AK139">
            <v>0</v>
          </cell>
        </row>
        <row r="140">
          <cell r="AA140" t="str">
            <v>St. Lucia</v>
          </cell>
          <cell r="AB140" t="str">
            <v>LCA</v>
          </cell>
          <cell r="AC140" t="str">
            <v>RBLAC</v>
          </cell>
          <cell r="AD140">
            <v>1090.3008907471369</v>
          </cell>
          <cell r="AE140">
            <v>616.27935416701087</v>
          </cell>
          <cell r="AF140">
            <v>19312.654261208703</v>
          </cell>
          <cell r="AG140">
            <v>616.27935416701087</v>
          </cell>
          <cell r="AH140">
            <v>5188.5585959577593</v>
          </cell>
          <cell r="AI140">
            <v>3325.8542479879688</v>
          </cell>
          <cell r="AJ140">
            <v>811.43448298656438</v>
          </cell>
          <cell r="AK140">
            <v>115.03881277784204</v>
          </cell>
        </row>
        <row r="141">
          <cell r="AA141" t="str">
            <v>St. Vincent &amp; the Grenadines</v>
          </cell>
          <cell r="AB141" t="str">
            <v>VCT</v>
          </cell>
          <cell r="AC141" t="str">
            <v>RBLAC</v>
          </cell>
          <cell r="AD141">
            <v>3375</v>
          </cell>
          <cell r="AE141">
            <v>6375</v>
          </cell>
          <cell r="AF141">
            <v>12375</v>
          </cell>
          <cell r="AG141">
            <v>1500</v>
          </cell>
          <cell r="AH141">
            <v>3750</v>
          </cell>
          <cell r="AI141">
            <v>1800</v>
          </cell>
          <cell r="AJ141">
            <v>6750</v>
          </cell>
          <cell r="AK141">
            <v>75</v>
          </cell>
        </row>
        <row r="142">
          <cell r="AA142" t="str">
            <v>Suriname</v>
          </cell>
          <cell r="AB142" t="str">
            <v>SUR</v>
          </cell>
          <cell r="AC142" t="str">
            <v>RBLAC</v>
          </cell>
          <cell r="AD142">
            <v>2400</v>
          </cell>
          <cell r="AE142">
            <v>1500</v>
          </cell>
          <cell r="AF142">
            <v>12000</v>
          </cell>
          <cell r="AG142">
            <v>720</v>
          </cell>
          <cell r="AH142">
            <v>3899.9999999999995</v>
          </cell>
          <cell r="AI142">
            <v>3300</v>
          </cell>
          <cell r="AJ142">
            <v>600</v>
          </cell>
          <cell r="AK142">
            <v>0</v>
          </cell>
        </row>
        <row r="143">
          <cell r="AA143" t="str">
            <v>Trinidad &amp; Tobago</v>
          </cell>
          <cell r="AB143" t="str">
            <v>TTO</v>
          </cell>
          <cell r="AC143" t="str">
            <v>RBLAC</v>
          </cell>
          <cell r="AD143">
            <v>10626.020769775969</v>
          </cell>
          <cell r="AE143">
            <v>817.38621305969002</v>
          </cell>
          <cell r="AF143">
            <v>13855.513697574806</v>
          </cell>
          <cell r="AG143">
            <v>408.69310652984501</v>
          </cell>
          <cell r="AH143">
            <v>0</v>
          </cell>
          <cell r="AI143">
            <v>0</v>
          </cell>
          <cell r="AJ143">
            <v>817.38621305969002</v>
          </cell>
          <cell r="AK143">
            <v>0</v>
          </cell>
        </row>
        <row r="144">
          <cell r="AA144" t="str">
            <v>Uruguay</v>
          </cell>
          <cell r="AB144" t="str">
            <v>URY</v>
          </cell>
          <cell r="AC144" t="str">
            <v>RBLAC</v>
          </cell>
          <cell r="AD144">
            <v>480</v>
          </cell>
          <cell r="AE144">
            <v>216</v>
          </cell>
          <cell r="AF144">
            <v>2160</v>
          </cell>
          <cell r="AG144">
            <v>60</v>
          </cell>
          <cell r="AH144">
            <v>6000</v>
          </cell>
          <cell r="AI144">
            <v>336</v>
          </cell>
          <cell r="AJ144">
            <v>900</v>
          </cell>
          <cell r="AK144">
            <v>0</v>
          </cell>
        </row>
        <row r="145">
          <cell r="AA145" t="str">
            <v>Venezuela</v>
          </cell>
          <cell r="AB145" t="str">
            <v>VEN</v>
          </cell>
          <cell r="AC145" t="str">
            <v>RBLAC</v>
          </cell>
          <cell r="AD145">
            <v>599.99999999999989</v>
          </cell>
          <cell r="AE145">
            <v>3600</v>
          </cell>
          <cell r="AF145">
            <v>4799.9999999999991</v>
          </cell>
          <cell r="AG145">
            <v>0</v>
          </cell>
          <cell r="AH145">
            <v>2626.2</v>
          </cell>
          <cell r="AI145">
            <v>900</v>
          </cell>
          <cell r="AJ145">
            <v>900</v>
          </cell>
          <cell r="AK145">
            <v>0</v>
          </cell>
        </row>
        <row r="146">
          <cell r="AD146" t="e">
            <v>#VALUE!</v>
          </cell>
          <cell r="AE146" t="e">
            <v>#VALUE!</v>
          </cell>
          <cell r="AF146" t="e">
            <v>#VALUE!</v>
          </cell>
          <cell r="AG146" t="e">
            <v>#VALUE!</v>
          </cell>
          <cell r="AH146" t="e">
            <v>#VALUE!</v>
          </cell>
          <cell r="AI146" t="e">
            <v>#VALUE!</v>
          </cell>
          <cell r="AJ146" t="e">
            <v>#VALUE!</v>
          </cell>
          <cell r="AK146" t="e">
            <v>#VALUE!</v>
          </cell>
        </row>
        <row r="150">
          <cell r="AC150" t="str">
            <v>RBA</v>
          </cell>
          <cell r="AD150">
            <v>3616.1863119070044</v>
          </cell>
          <cell r="AE150">
            <v>7783.2968449218397</v>
          </cell>
          <cell r="AF150">
            <v>10627.967380495798</v>
          </cell>
          <cell r="AG150">
            <v>597.01216226299073</v>
          </cell>
          <cell r="AH150">
            <v>41.095490584979132</v>
          </cell>
          <cell r="AI150">
            <v>3027.5965094539233</v>
          </cell>
          <cell r="AJ150">
            <v>1070.9458312973552</v>
          </cell>
          <cell r="AK150">
            <v>128.92325335790682</v>
          </cell>
        </row>
        <row r="151">
          <cell r="AC151" t="str">
            <v>RBAP</v>
          </cell>
          <cell r="AD151">
            <v>3209.0895296225476</v>
          </cell>
          <cell r="AE151">
            <v>7993.7042199949992</v>
          </cell>
          <cell r="AF151">
            <v>10320.483426347082</v>
          </cell>
          <cell r="AG151">
            <v>351.33731929988733</v>
          </cell>
          <cell r="AH151">
            <v>246.01499602605901</v>
          </cell>
          <cell r="AI151">
            <v>3010.8715832198404</v>
          </cell>
          <cell r="AJ151">
            <v>1348.048146092357</v>
          </cell>
          <cell r="AK151">
            <v>743.62510446766532</v>
          </cell>
        </row>
        <row r="152">
          <cell r="AC152" t="str">
            <v>RBAS</v>
          </cell>
          <cell r="AD152">
            <v>3551.6613437028332</v>
          </cell>
          <cell r="AE152">
            <v>9191.220366108193</v>
          </cell>
          <cell r="AF152">
            <v>10818.010553840093</v>
          </cell>
          <cell r="AG152">
            <v>154.44425886548612</v>
          </cell>
          <cell r="AH152">
            <v>267.13202265819075</v>
          </cell>
          <cell r="AI152">
            <v>2418.5606175123585</v>
          </cell>
          <cell r="AJ152">
            <v>1061.4254482693866</v>
          </cell>
          <cell r="AK152">
            <v>68.673116053226536</v>
          </cell>
        </row>
        <row r="153">
          <cell r="AC153" t="str">
            <v>RBEC</v>
          </cell>
          <cell r="AD153">
            <v>3330.6114730395175</v>
          </cell>
          <cell r="AE153">
            <v>5000.5655688605766</v>
          </cell>
          <cell r="AF153">
            <v>6977.4268706486537</v>
          </cell>
          <cell r="AG153">
            <v>507.62048782655478</v>
          </cell>
          <cell r="AH153">
            <v>309.85159462328733</v>
          </cell>
          <cell r="AI153">
            <v>2149.4429930022329</v>
          </cell>
          <cell r="AJ153">
            <v>2529.1251580897833</v>
          </cell>
          <cell r="AK153">
            <v>697.14676283848053</v>
          </cell>
        </row>
        <row r="154">
          <cell r="AC154" t="str">
            <v>RBLAC</v>
          </cell>
          <cell r="AD154">
            <v>3389.8629927030802</v>
          </cell>
          <cell r="AE154">
            <v>9449.1695915115797</v>
          </cell>
          <cell r="AF154">
            <v>11445.51128996706</v>
          </cell>
          <cell r="AG154">
            <v>391.57401772913107</v>
          </cell>
          <cell r="AH154">
            <v>1519.705316678014</v>
          </cell>
          <cell r="AI154">
            <v>3324.7504162971227</v>
          </cell>
          <cell r="AJ154">
            <v>1830.6673650959062</v>
          </cell>
          <cell r="AK154">
            <v>195.0868201140012</v>
          </cell>
        </row>
        <row r="155">
          <cell r="AC155" t="str">
            <v>GLOBAL</v>
          </cell>
          <cell r="AD155">
            <v>3419.4823301949968</v>
          </cell>
          <cell r="AE155">
            <v>7883.5913182794375</v>
          </cell>
          <cell r="AF155">
            <v>10037.879904259738</v>
          </cell>
          <cell r="AG155">
            <v>400.39764919680999</v>
          </cell>
          <cell r="AH155">
            <v>476.759884114106</v>
          </cell>
          <cell r="AI155">
            <v>2786.2444238970952</v>
          </cell>
          <cell r="AJ155">
            <v>1568.0423897689577</v>
          </cell>
          <cell r="AK155">
            <v>366.69101136625608</v>
          </cell>
        </row>
      </sheetData>
      <sheetData sheetId="20"/>
      <sheetData sheetId="21"/>
      <sheetData sheetId="22"/>
      <sheetData sheetId="2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iao Xiong" refreshedDate="46105.60324178241" createdVersion="8" refreshedVersion="8" minRefreshableVersion="3" recordCount="126" xr:uid="{B2397121-5995-4452-83A6-CF80DA4E6EBE}">
  <cacheSource type="worksheet">
    <worksheetSource ref="A3:N129" sheet="TBWP_OP8 part 1_CORE&amp;STAR"/>
  </cacheSource>
  <cacheFields count="14">
    <cacheField name="Quantum Outcome _x000a_(GEF Component)" numFmtId="0">
      <sharedItems containsBlank="1"/>
    </cacheField>
    <cacheField name="Quantum Activity _x000a_(GEF Output)" numFmtId="0">
      <sharedItems containsBlank="1"/>
    </cacheField>
    <cacheField name="Quantum UNDP(UNDP, IP)" numFmtId="0">
      <sharedItems containsBlank="1"/>
    </cacheField>
    <cacheField name="Quantum Fund ID" numFmtId="0">
      <sharedItems containsString="0" containsBlank="1" containsNumber="1" containsInteger="1" minValue="62000" maxValue="62000"/>
    </cacheField>
    <cacheField name="Quantum Donor ID" numFmtId="0">
      <sharedItems containsString="0" containsBlank="1" containsNumber="1" containsInteger="1" minValue="10003" maxValue="10003"/>
    </cacheField>
    <cacheField name="Output" numFmtId="0">
      <sharedItems containsBlank="1" count="11">
        <s v="Outcome 1.1_CORE"/>
        <m/>
        <s v="Outcome 1.1_STAR"/>
        <s v="Outcome 2.1_CORE"/>
        <s v="Outcome 2.1_STAR"/>
        <s v="Outcome 3.1_CORE"/>
        <s v="Outcome 3.1_STAR"/>
        <s v="Outcome 4.1_CORE"/>
        <s v="Outcome 4.1_STAR"/>
        <s v="PMC_CORE"/>
        <s v="PMC_STAR"/>
      </sharedItems>
    </cacheField>
    <cacheField name="Expenditure Category GEF" numFmtId="0">
      <sharedItems containsBlank="1"/>
    </cacheField>
    <cacheField name="Quantum Budgetary Account Code" numFmtId="0">
      <sharedItems containsString="0" containsBlank="1" containsNumber="1" containsInteger="1" minValue="61200" maxValue="75700" count="21">
        <n v="71200"/>
        <n v="71300"/>
        <n v="71400"/>
        <n v="71600"/>
        <n v="72500"/>
        <n v="75700"/>
        <n v="61200"/>
        <n v="61300"/>
        <m/>
        <n v="72600"/>
        <n v="74500"/>
        <n v="72100"/>
        <n v="72200"/>
        <n v="72300"/>
        <n v="72400"/>
        <n v="72800"/>
        <n v="73100"/>
        <n v="73400"/>
        <n v="74100"/>
        <n v="74200"/>
        <n v="74700"/>
      </sharedItems>
    </cacheField>
    <cacheField name="Quantum Budget Account Description" numFmtId="0">
      <sharedItems containsBlank="1" count="21">
        <s v="International Consultants"/>
        <s v="Local Consultants"/>
        <s v="Contractual Services - Individ"/>
        <s v="Travel"/>
        <s v="Supplies"/>
        <s v="Training, Workshops and Confer"/>
        <s v="Salaries Costs - GS Staff"/>
        <s v=" Salary &amp; Post Adj Cst-IP Staff"/>
        <m/>
        <s v="Grants"/>
        <s v="Miscellaneous Expenses"/>
        <s v="Contractual Services-Companies"/>
        <s v="Equipment and Furniture"/>
        <s v="Materials &amp; Goods"/>
        <s v="Communic &amp; Audio Visual Equip"/>
        <s v="Information Technology Equipmt"/>
        <s v="Rental &amp; Maintenance-Premises"/>
        <s v="Rental &amp; Maint of Other Equip"/>
        <s v="Professional Services"/>
        <s v="Audio Visual&amp;Print Prod Costs"/>
        <s v="Transport, Shipping and handle"/>
      </sharedItems>
    </cacheField>
    <cacheField name=" Amount Year 2025 " numFmtId="165">
      <sharedItems containsSemiMixedTypes="0" containsString="0" containsNumber="1" containsInteger="1" minValue="1258" maxValue="17723553"/>
    </cacheField>
    <cacheField name=" Amount Year 2026" numFmtId="165">
      <sharedItems containsSemiMixedTypes="0" containsString="0" containsNumber="1" containsInteger="1" minValue="1258" maxValue="45369775"/>
    </cacheField>
    <cacheField name=" Amount Year 2027" numFmtId="165">
      <sharedItems containsSemiMixedTypes="0" containsString="0" containsNumber="1" containsInteger="1" minValue="1258" maxValue="40762072"/>
    </cacheField>
    <cacheField name=" Amount Year 2028" numFmtId="165">
      <sharedItems containsSemiMixedTypes="0" containsString="0" containsNumber="1" minValue="1259" maxValue="22331203"/>
    </cacheField>
    <cacheField name="Total (USD)" numFmtId="165">
      <sharedItems containsSemiMixedTypes="0" containsString="0" containsNumber="1" minValue="5033" maxValue="12618660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6">
  <r>
    <s v="Component 1: Strategic Planning and Multi-Stakeholder Governance "/>
    <s v="Outcome  1.1. Enabling environment strengthened for effective community-driven integrated approaches_CORE"/>
    <s v="UNDP"/>
    <n v="62000"/>
    <n v="10003"/>
    <x v="0"/>
    <s v="International Consultants"/>
    <x v="0"/>
    <x v="0"/>
    <n v="9336"/>
    <n v="9336"/>
    <n v="9336"/>
    <n v="9337"/>
    <n v="37345"/>
  </r>
  <r>
    <m/>
    <m/>
    <m/>
    <m/>
    <m/>
    <x v="0"/>
    <s v="Local Consultants"/>
    <x v="1"/>
    <x v="1"/>
    <n v="37386"/>
    <n v="37386"/>
    <n v="37386"/>
    <n v="37386"/>
    <n v="149544"/>
  </r>
  <r>
    <m/>
    <m/>
    <m/>
    <m/>
    <m/>
    <x v="0"/>
    <s v="Contractual Services"/>
    <x v="2"/>
    <x v="2"/>
    <n v="574266"/>
    <n v="574266"/>
    <n v="574266"/>
    <n v="574266"/>
    <n v="2297064"/>
  </r>
  <r>
    <m/>
    <m/>
    <m/>
    <m/>
    <m/>
    <x v="0"/>
    <s v="Travel"/>
    <x v="3"/>
    <x v="3"/>
    <n v="61089"/>
    <n v="61089"/>
    <n v="61089"/>
    <n v="61087"/>
    <n v="244354"/>
  </r>
  <r>
    <m/>
    <m/>
    <m/>
    <m/>
    <m/>
    <x v="0"/>
    <s v="Office Supplies"/>
    <x v="4"/>
    <x v="4"/>
    <n v="2361"/>
    <n v="2361"/>
    <n v="2361"/>
    <n v="2359"/>
    <n v="9442"/>
  </r>
  <r>
    <m/>
    <m/>
    <m/>
    <m/>
    <m/>
    <x v="0"/>
    <s v="Trainings, Workshops, Meetings"/>
    <x v="5"/>
    <x v="5"/>
    <n v="11950"/>
    <n v="11950"/>
    <n v="11950"/>
    <n v="11949"/>
    <n v="47799"/>
  </r>
  <r>
    <m/>
    <m/>
    <m/>
    <m/>
    <m/>
    <x v="0"/>
    <s v="Salaries and Benefits"/>
    <x v="6"/>
    <x v="6"/>
    <n v="76136"/>
    <n v="76136"/>
    <n v="76136"/>
    <n v="76135"/>
    <n v="304543"/>
  </r>
  <r>
    <m/>
    <m/>
    <m/>
    <m/>
    <m/>
    <x v="0"/>
    <s v="Salaries and Benefits"/>
    <x v="7"/>
    <x v="7"/>
    <n v="139206"/>
    <n v="139206"/>
    <n v="139206"/>
    <n v="139205"/>
    <n v="556823"/>
  </r>
  <r>
    <m/>
    <m/>
    <s v="Total UNDP"/>
    <m/>
    <m/>
    <x v="1"/>
    <m/>
    <x v="8"/>
    <x v="8"/>
    <n v="911730"/>
    <n v="911730"/>
    <n v="911730"/>
    <n v="911724"/>
    <n v="3646914"/>
  </r>
  <r>
    <m/>
    <s v="Total Outcome  1.1. Enabling environment strengthened for effective community-driven integrated approaches_CORE"/>
    <m/>
    <m/>
    <m/>
    <x v="1"/>
    <m/>
    <x v="8"/>
    <x v="8"/>
    <n v="911730"/>
    <n v="911730"/>
    <n v="911730"/>
    <n v="911724"/>
    <n v="3646914"/>
  </r>
  <r>
    <m/>
    <s v="Outcome  1.1. Enabling environment strengthened for effective community-driven integrated approaches_STAR"/>
    <s v="UNDP"/>
    <n v="62000"/>
    <n v="10003"/>
    <x v="2"/>
    <s v="International Consultants"/>
    <x v="0"/>
    <x v="0"/>
    <n v="9688"/>
    <n v="9688"/>
    <n v="9688"/>
    <n v="9688"/>
    <n v="38752"/>
  </r>
  <r>
    <m/>
    <m/>
    <m/>
    <m/>
    <m/>
    <x v="2"/>
    <s v="Local Consultants"/>
    <x v="1"/>
    <x v="1"/>
    <n v="38795"/>
    <n v="38795"/>
    <n v="38795"/>
    <n v="38793"/>
    <n v="155178"/>
  </r>
  <r>
    <m/>
    <m/>
    <m/>
    <m/>
    <m/>
    <x v="2"/>
    <s v="Contractual Services"/>
    <x v="2"/>
    <x v="2"/>
    <n v="595904"/>
    <n v="595904"/>
    <n v="595904"/>
    <n v="595905"/>
    <n v="2383617"/>
  </r>
  <r>
    <m/>
    <m/>
    <m/>
    <m/>
    <m/>
    <x v="2"/>
    <s v="Travel"/>
    <x v="3"/>
    <x v="3"/>
    <n v="63390"/>
    <n v="63390"/>
    <n v="63390"/>
    <n v="63391"/>
    <n v="253561"/>
  </r>
  <r>
    <m/>
    <m/>
    <m/>
    <m/>
    <m/>
    <x v="2"/>
    <s v="Office Supplies"/>
    <x v="4"/>
    <x v="4"/>
    <n v="2449"/>
    <n v="2449"/>
    <n v="2449"/>
    <n v="2450"/>
    <n v="9797"/>
  </r>
  <r>
    <m/>
    <m/>
    <m/>
    <m/>
    <m/>
    <x v="2"/>
    <s v="Trainings, Workshops, Meetings"/>
    <x v="5"/>
    <x v="5"/>
    <n v="12400"/>
    <n v="12400"/>
    <n v="12400"/>
    <n v="12400"/>
    <n v="49600"/>
  </r>
  <r>
    <m/>
    <m/>
    <m/>
    <m/>
    <m/>
    <x v="2"/>
    <s v="Salaries and Benefits"/>
    <x v="6"/>
    <x v="6"/>
    <n v="79005"/>
    <n v="79005"/>
    <n v="79005"/>
    <n v="79004"/>
    <n v="316019"/>
  </r>
  <r>
    <m/>
    <m/>
    <m/>
    <m/>
    <m/>
    <x v="2"/>
    <s v="Salaries and Benefits"/>
    <x v="7"/>
    <x v="7"/>
    <n v="144452"/>
    <n v="144452"/>
    <n v="144452"/>
    <n v="144450"/>
    <n v="577806"/>
  </r>
  <r>
    <m/>
    <m/>
    <s v="Total UNDP"/>
    <m/>
    <m/>
    <x v="1"/>
    <m/>
    <x v="8"/>
    <x v="8"/>
    <n v="946083"/>
    <n v="946083"/>
    <n v="946083"/>
    <n v="946081"/>
    <n v="3784330"/>
  </r>
  <r>
    <m/>
    <s v="Total Outcome  1.1. Enabling environment strengthened for effective community-driven integrated approaches_STAR"/>
    <m/>
    <m/>
    <m/>
    <x v="1"/>
    <m/>
    <x v="8"/>
    <x v="8"/>
    <n v="946083"/>
    <n v="946083"/>
    <n v="946083"/>
    <n v="946081"/>
    <n v="3784330"/>
  </r>
  <r>
    <s v="Total Component 1"/>
    <m/>
    <m/>
    <m/>
    <m/>
    <x v="1"/>
    <m/>
    <x v="8"/>
    <x v="8"/>
    <n v="1857813"/>
    <n v="1857813"/>
    <n v="1857813"/>
    <n v="1857805"/>
    <n v="7431244"/>
  </r>
  <r>
    <s v="Component 2: Demand-driven grants to CSOs/CBOs (Grants) "/>
    <s v="Outcome 2.1. Landscape-seascape strategic objectives advanced through community-led grants._CORE"/>
    <s v="UNDP"/>
    <n v="62000"/>
    <n v="10003"/>
    <x v="3"/>
    <s v="International Consultants"/>
    <x v="0"/>
    <x v="0"/>
    <n v="8984"/>
    <n v="8984"/>
    <n v="8984"/>
    <n v="8985"/>
    <n v="35937"/>
  </r>
  <r>
    <m/>
    <m/>
    <m/>
    <m/>
    <m/>
    <x v="3"/>
    <s v="Local Consultants"/>
    <x v="1"/>
    <x v="1"/>
    <n v="35977"/>
    <n v="35977"/>
    <n v="35977"/>
    <n v="35977"/>
    <n v="143908"/>
  </r>
  <r>
    <m/>
    <m/>
    <m/>
    <m/>
    <m/>
    <x v="3"/>
    <s v="Contractual Services"/>
    <x v="2"/>
    <x v="2"/>
    <n v="551076"/>
    <n v="551076"/>
    <n v="551076"/>
    <n v="551076"/>
    <n v="2204304"/>
  </r>
  <r>
    <m/>
    <m/>
    <m/>
    <m/>
    <m/>
    <x v="3"/>
    <s v="Travel"/>
    <x v="3"/>
    <x v="3"/>
    <n v="26717"/>
    <n v="26717"/>
    <n v="26717"/>
    <n v="26715"/>
    <n v="106866"/>
  </r>
  <r>
    <m/>
    <m/>
    <m/>
    <m/>
    <m/>
    <x v="3"/>
    <s v="Office Supplies"/>
    <x v="4"/>
    <x v="4"/>
    <n v="2272"/>
    <n v="2272"/>
    <n v="2272"/>
    <n v="2271"/>
    <n v="9087"/>
  </r>
  <r>
    <m/>
    <m/>
    <m/>
    <m/>
    <m/>
    <x v="3"/>
    <s v="Trainings, Workshops, Meetings"/>
    <x v="5"/>
    <x v="5"/>
    <n v="11499"/>
    <n v="11499"/>
    <n v="11499"/>
    <n v="11500"/>
    <n v="45997"/>
  </r>
  <r>
    <m/>
    <m/>
    <m/>
    <m/>
    <m/>
    <x v="3"/>
    <s v="Salaries and Benefits"/>
    <x v="6"/>
    <x v="6"/>
    <n v="73266"/>
    <n v="73266"/>
    <n v="73266"/>
    <n v="73267"/>
    <n v="293065"/>
  </r>
  <r>
    <m/>
    <m/>
    <m/>
    <m/>
    <m/>
    <x v="3"/>
    <s v="Salaries and Benefits"/>
    <x v="7"/>
    <x v="7"/>
    <n v="133959"/>
    <n v="133959"/>
    <n v="133959"/>
    <n v="133959"/>
    <n v="535836"/>
  </r>
  <r>
    <m/>
    <m/>
    <m/>
    <m/>
    <m/>
    <x v="3"/>
    <s v="Grants"/>
    <x v="9"/>
    <x v="9"/>
    <n v="4522500"/>
    <n v="18090000"/>
    <n v="15828750"/>
    <n v="6783750"/>
    <n v="45225000"/>
  </r>
  <r>
    <m/>
    <m/>
    <s v="Total UNDP"/>
    <m/>
    <m/>
    <x v="1"/>
    <m/>
    <x v="8"/>
    <x v="8"/>
    <n v="5366250"/>
    <n v="18933750"/>
    <n v="16672500"/>
    <n v="7627500"/>
    <n v="48600000"/>
  </r>
  <r>
    <m/>
    <s v="Total Outcome 2.1. Landscape-seascape strategic objectives advanced through community-led grants._CORE"/>
    <m/>
    <m/>
    <m/>
    <x v="1"/>
    <m/>
    <x v="8"/>
    <x v="8"/>
    <n v="5366250"/>
    <n v="18933750"/>
    <n v="16672500"/>
    <n v="7627500"/>
    <n v="48600000"/>
  </r>
  <r>
    <m/>
    <s v="Outcome 2.1. Landscape-seascape strategic objectives advanced through community-led grants._STAR"/>
    <s v="UNDP"/>
    <n v="62000"/>
    <n v="10003"/>
    <x v="4"/>
    <s v="International Consultants"/>
    <x v="0"/>
    <x v="0"/>
    <n v="9323"/>
    <n v="9323"/>
    <n v="9323"/>
    <n v="9322"/>
    <n v="37291"/>
  </r>
  <r>
    <m/>
    <m/>
    <m/>
    <m/>
    <m/>
    <x v="4"/>
    <s v="Local Consultants"/>
    <x v="1"/>
    <x v="1"/>
    <n v="37333"/>
    <n v="37333"/>
    <n v="37333"/>
    <n v="37332"/>
    <n v="149331"/>
  </r>
  <r>
    <m/>
    <m/>
    <m/>
    <m/>
    <m/>
    <x v="4"/>
    <s v="Contractual Services"/>
    <x v="2"/>
    <x v="2"/>
    <n v="571841"/>
    <n v="571841"/>
    <n v="571841"/>
    <n v="571839"/>
    <n v="2287362"/>
  </r>
  <r>
    <m/>
    <m/>
    <m/>
    <m/>
    <m/>
    <x v="4"/>
    <s v="Travel"/>
    <x v="3"/>
    <x v="3"/>
    <n v="27723"/>
    <n v="27723"/>
    <n v="27723"/>
    <n v="27724"/>
    <n v="110893"/>
  </r>
  <r>
    <m/>
    <m/>
    <m/>
    <m/>
    <m/>
    <x v="4"/>
    <s v="Office Supplies"/>
    <x v="4"/>
    <x v="4"/>
    <n v="2357"/>
    <n v="2357"/>
    <n v="2357"/>
    <n v="2358"/>
    <n v="9429"/>
  </r>
  <r>
    <m/>
    <m/>
    <m/>
    <m/>
    <m/>
    <x v="4"/>
    <s v="Trainings, Workshops, Meetings"/>
    <x v="5"/>
    <x v="5"/>
    <n v="11933"/>
    <n v="11933"/>
    <n v="11933"/>
    <n v="11931"/>
    <n v="47730"/>
  </r>
  <r>
    <m/>
    <m/>
    <m/>
    <m/>
    <m/>
    <x v="4"/>
    <s v="Salaries and Benefits"/>
    <x v="6"/>
    <x v="6"/>
    <n v="76027"/>
    <n v="76027"/>
    <n v="76027"/>
    <n v="76027"/>
    <n v="304108"/>
  </r>
  <r>
    <m/>
    <m/>
    <m/>
    <m/>
    <m/>
    <x v="4"/>
    <s v="Salaries and Benefits"/>
    <x v="7"/>
    <x v="7"/>
    <n v="139007"/>
    <n v="139007"/>
    <n v="139007"/>
    <n v="139005.00999999791"/>
    <n v="556026.00999999791"/>
  </r>
  <r>
    <m/>
    <m/>
    <m/>
    <m/>
    <m/>
    <x v="4"/>
    <s v="Grants"/>
    <x v="9"/>
    <x v="9"/>
    <n v="4692908"/>
    <n v="18771630"/>
    <n v="16425177"/>
    <n v="7039360.9900000021"/>
    <n v="46929075.990000002"/>
  </r>
  <r>
    <m/>
    <m/>
    <s v="Total UNDP"/>
    <m/>
    <m/>
    <x v="1"/>
    <m/>
    <x v="8"/>
    <x v="8"/>
    <n v="5568452"/>
    <n v="19647174"/>
    <n v="17300721"/>
    <n v="7914899"/>
    <n v="50431246"/>
  </r>
  <r>
    <m/>
    <s v="Total Outcome 2.1. Landscape-seascape strategic objectives advanced through community-led grants._STAR"/>
    <m/>
    <m/>
    <m/>
    <x v="1"/>
    <m/>
    <x v="8"/>
    <x v="8"/>
    <n v="5568452"/>
    <n v="19647174"/>
    <n v="17300721"/>
    <n v="7914899"/>
    <n v="50431246"/>
  </r>
  <r>
    <s v="Total Component 2"/>
    <m/>
    <m/>
    <m/>
    <m/>
    <x v="1"/>
    <m/>
    <x v="8"/>
    <x v="8"/>
    <n v="10934702"/>
    <n v="38580924"/>
    <n v="33973221"/>
    <n v="15542399"/>
    <n v="99031246"/>
  </r>
  <r>
    <s v="Component 3: Knowledge Management and Learning "/>
    <s v="Outcome 3.1. Sustainability and impact of community-led collective action enhanced through knowledge management and learning approaches across landscapes-seascapes and regions._CORE"/>
    <s v="UNDP"/>
    <n v="62000"/>
    <n v="10003"/>
    <x v="5"/>
    <s v="International Consultants"/>
    <x v="0"/>
    <x v="0"/>
    <n v="4976"/>
    <n v="4976"/>
    <n v="4976"/>
    <n v="4976"/>
    <n v="19904"/>
  </r>
  <r>
    <m/>
    <m/>
    <m/>
    <m/>
    <m/>
    <x v="5"/>
    <s v="Local Consultants"/>
    <x v="1"/>
    <x v="1"/>
    <n v="19926"/>
    <n v="19926"/>
    <n v="19926"/>
    <n v="19925"/>
    <n v="79703"/>
  </r>
  <r>
    <m/>
    <m/>
    <m/>
    <m/>
    <m/>
    <x v="5"/>
    <s v="Contractual Services"/>
    <x v="2"/>
    <x v="2"/>
    <n v="300066"/>
    <n v="300066"/>
    <n v="300066"/>
    <n v="300065"/>
    <n v="1200263"/>
  </r>
  <r>
    <m/>
    <m/>
    <m/>
    <m/>
    <m/>
    <x v="5"/>
    <s v="Travel"/>
    <x v="3"/>
    <x v="3"/>
    <n v="57575"/>
    <n v="57575"/>
    <n v="57575"/>
    <n v="57575"/>
    <n v="230300"/>
  </r>
  <r>
    <m/>
    <m/>
    <m/>
    <m/>
    <m/>
    <x v="5"/>
    <s v="Office Supplies"/>
    <x v="4"/>
    <x v="4"/>
    <n v="1258"/>
    <n v="1258"/>
    <n v="1258"/>
    <n v="1259"/>
    <n v="5033"/>
  </r>
  <r>
    <m/>
    <m/>
    <m/>
    <m/>
    <m/>
    <x v="5"/>
    <s v="Travel"/>
    <x v="10"/>
    <x v="10"/>
    <n v="1310"/>
    <n v="1310"/>
    <n v="1310"/>
    <n v="1309"/>
    <n v="5239"/>
  </r>
  <r>
    <m/>
    <m/>
    <m/>
    <m/>
    <m/>
    <x v="5"/>
    <s v="Trainings, Workshops, Meetings"/>
    <x v="5"/>
    <x v="5"/>
    <n v="6369"/>
    <n v="6369"/>
    <n v="6369"/>
    <n v="6368"/>
    <n v="25475"/>
  </r>
  <r>
    <m/>
    <m/>
    <m/>
    <m/>
    <m/>
    <x v="5"/>
    <s v="Salaries and Benefits"/>
    <x v="6"/>
    <x v="6"/>
    <n v="40578"/>
    <n v="40578"/>
    <n v="40578"/>
    <n v="40578"/>
    <n v="162312"/>
  </r>
  <r>
    <m/>
    <m/>
    <m/>
    <m/>
    <m/>
    <x v="5"/>
    <s v="Salaries and Benefits"/>
    <x v="7"/>
    <x v="7"/>
    <n v="74193"/>
    <n v="74193"/>
    <n v="74193"/>
    <n v="74192"/>
    <n v="296771"/>
  </r>
  <r>
    <m/>
    <m/>
    <s v="Total UNDP"/>
    <m/>
    <m/>
    <x v="1"/>
    <m/>
    <x v="8"/>
    <x v="8"/>
    <n v="506251"/>
    <n v="506251"/>
    <n v="506251"/>
    <n v="506247"/>
    <n v="2025000"/>
  </r>
  <r>
    <m/>
    <s v="Total Outcome 3.1. Sustainability and impact of community-led collective action enhanced through knowledge management and learning approaches across landscapes-seascapes and regions._CORE"/>
    <m/>
    <m/>
    <m/>
    <x v="1"/>
    <m/>
    <x v="8"/>
    <x v="8"/>
    <n v="506251"/>
    <n v="506251"/>
    <n v="506251"/>
    <n v="506247"/>
    <n v="2025000"/>
  </r>
  <r>
    <m/>
    <s v="Outcome 3.1. Sustainability and impact of community-led collective action enhanced through knowledge management and learning approaches across landscapes-seascapes and regions._STAR"/>
    <s v="UNDP"/>
    <n v="62000"/>
    <n v="10003"/>
    <x v="6"/>
    <s v="International Consultants"/>
    <x v="0"/>
    <x v="0"/>
    <n v="5164"/>
    <n v="5164"/>
    <n v="5164"/>
    <n v="5163"/>
    <n v="20655"/>
  </r>
  <r>
    <m/>
    <m/>
    <m/>
    <m/>
    <m/>
    <x v="6"/>
    <s v="Local Consultants"/>
    <x v="1"/>
    <x v="1"/>
    <n v="20677"/>
    <n v="20677"/>
    <n v="20677"/>
    <n v="20675"/>
    <n v="82706"/>
  </r>
  <r>
    <m/>
    <m/>
    <m/>
    <m/>
    <m/>
    <x v="6"/>
    <s v="Contractual Services"/>
    <x v="2"/>
    <x v="2"/>
    <n v="311372"/>
    <n v="311372"/>
    <n v="311372"/>
    <n v="311373"/>
    <n v="1245489"/>
  </r>
  <r>
    <m/>
    <m/>
    <m/>
    <m/>
    <m/>
    <x v="6"/>
    <s v="Travel"/>
    <x v="3"/>
    <x v="3"/>
    <n v="59745"/>
    <n v="59745"/>
    <n v="59745"/>
    <n v="59743"/>
    <n v="238978"/>
  </r>
  <r>
    <m/>
    <m/>
    <m/>
    <m/>
    <m/>
    <x v="6"/>
    <s v="Office Supplies"/>
    <x v="4"/>
    <x v="4"/>
    <n v="1306"/>
    <n v="1306"/>
    <n v="1306"/>
    <n v="1304"/>
    <n v="5222"/>
  </r>
  <r>
    <m/>
    <m/>
    <m/>
    <m/>
    <m/>
    <x v="6"/>
    <s v="Travel"/>
    <x v="10"/>
    <x v="10"/>
    <n v="1359"/>
    <n v="1359"/>
    <n v="1359"/>
    <n v="1360"/>
    <n v="5437"/>
  </r>
  <r>
    <m/>
    <m/>
    <m/>
    <m/>
    <m/>
    <x v="6"/>
    <s v="Trainings, Workshops, Meetings"/>
    <x v="5"/>
    <x v="5"/>
    <n v="6609"/>
    <n v="6609"/>
    <n v="6609"/>
    <n v="6608"/>
    <n v="26435"/>
  </r>
  <r>
    <m/>
    <m/>
    <m/>
    <m/>
    <m/>
    <x v="6"/>
    <s v="Salaries and Benefits"/>
    <x v="6"/>
    <x v="6"/>
    <n v="42107"/>
    <n v="42107"/>
    <n v="42107"/>
    <n v="42107"/>
    <n v="168428"/>
  </r>
  <r>
    <m/>
    <m/>
    <m/>
    <m/>
    <m/>
    <x v="6"/>
    <s v="Salaries and Benefits"/>
    <x v="7"/>
    <x v="7"/>
    <n v="76988"/>
    <n v="76988"/>
    <n v="76988"/>
    <n v="76988"/>
    <n v="307952"/>
  </r>
  <r>
    <m/>
    <m/>
    <s v="Total UNDP"/>
    <m/>
    <m/>
    <x v="1"/>
    <m/>
    <x v="8"/>
    <x v="8"/>
    <n v="525327"/>
    <n v="525327"/>
    <n v="525327"/>
    <n v="525321"/>
    <n v="2101302"/>
  </r>
  <r>
    <m/>
    <s v="Total Outcome 3.1. Sustainability and impact of community-led collective action enhanced through knowledge management and learning approaches across landscapes-seascapes and regions._STAR"/>
    <m/>
    <m/>
    <m/>
    <x v="1"/>
    <m/>
    <x v="8"/>
    <x v="8"/>
    <n v="525327"/>
    <n v="525327"/>
    <n v="525327"/>
    <n v="525321"/>
    <n v="2101302"/>
  </r>
  <r>
    <s v="Total Component 3"/>
    <m/>
    <m/>
    <m/>
    <m/>
    <x v="1"/>
    <m/>
    <x v="8"/>
    <x v="8"/>
    <n v="1031578"/>
    <n v="1031578"/>
    <n v="1031578"/>
    <n v="1031568"/>
    <n v="4126302"/>
  </r>
  <r>
    <s v="Component 4: Monitoring &amp; Evaluation  "/>
    <s v="Outcome 4.1. Scale, durability and impact of locally-led community action strengthend through monitoring, evaluation and evidence-based learning._CORE"/>
    <s v="UNDP"/>
    <n v="62000"/>
    <n v="10003"/>
    <x v="7"/>
    <s v="International Consultants"/>
    <x v="0"/>
    <x v="0"/>
    <n v="9045"/>
    <n v="9045"/>
    <n v="9045"/>
    <n v="9046"/>
    <n v="36181"/>
  </r>
  <r>
    <m/>
    <m/>
    <m/>
    <m/>
    <m/>
    <x v="7"/>
    <s v="Local Consultants"/>
    <x v="1"/>
    <x v="1"/>
    <n v="36085"/>
    <n v="36085"/>
    <n v="36085"/>
    <n v="36083"/>
    <n v="144338"/>
  </r>
  <r>
    <m/>
    <m/>
    <m/>
    <m/>
    <m/>
    <x v="7"/>
    <s v="Contractual Services"/>
    <x v="2"/>
    <x v="2"/>
    <n v="101794"/>
    <n v="101794"/>
    <n v="101794"/>
    <n v="101793"/>
    <n v="407175"/>
  </r>
  <r>
    <m/>
    <m/>
    <m/>
    <m/>
    <m/>
    <x v="7"/>
    <s v="Travel"/>
    <x v="3"/>
    <x v="3"/>
    <n v="133907"/>
    <n v="133907"/>
    <n v="133907"/>
    <n v="133906"/>
    <n v="535627"/>
  </r>
  <r>
    <m/>
    <m/>
    <m/>
    <m/>
    <m/>
    <x v="7"/>
    <s v="Other Operating Costs"/>
    <x v="11"/>
    <x v="11"/>
    <n v="41015"/>
    <n v="41015"/>
    <n v="41015"/>
    <n v="41014"/>
    <n v="164059"/>
  </r>
  <r>
    <m/>
    <m/>
    <m/>
    <m/>
    <m/>
    <x v="7"/>
    <s v="Office Supplies"/>
    <x v="4"/>
    <x v="4"/>
    <n v="11392"/>
    <n v="11392"/>
    <n v="11392"/>
    <n v="11393"/>
    <n v="45569"/>
  </r>
  <r>
    <m/>
    <m/>
    <m/>
    <m/>
    <m/>
    <x v="7"/>
    <s v="Travel"/>
    <x v="10"/>
    <x v="10"/>
    <n v="75157"/>
    <n v="75157"/>
    <n v="75157"/>
    <n v="75156"/>
    <n v="300627"/>
  </r>
  <r>
    <m/>
    <m/>
    <m/>
    <m/>
    <m/>
    <x v="7"/>
    <s v="Trainings, Workshops, Meetings"/>
    <x v="5"/>
    <x v="5"/>
    <n v="58922"/>
    <n v="58922"/>
    <n v="58922"/>
    <n v="58923"/>
    <n v="235689"/>
  </r>
  <r>
    <m/>
    <m/>
    <m/>
    <m/>
    <m/>
    <x v="7"/>
    <s v="Salaries and Benefits"/>
    <x v="7"/>
    <x v="7"/>
    <n v="38934"/>
    <n v="38934"/>
    <n v="38934"/>
    <n v="38933"/>
    <n v="155735"/>
  </r>
  <r>
    <m/>
    <m/>
    <s v="Total UNDP"/>
    <m/>
    <m/>
    <x v="1"/>
    <m/>
    <x v="8"/>
    <x v="8"/>
    <n v="506251"/>
    <n v="506251"/>
    <n v="506251"/>
    <n v="506247"/>
    <n v="2025000"/>
  </r>
  <r>
    <m/>
    <s v="Total Outcome 4.1. Scale, durability and impact of locally-led community action strengthend through monitoring, evaluation and evidence-based learning._CORE"/>
    <m/>
    <m/>
    <m/>
    <x v="1"/>
    <m/>
    <x v="8"/>
    <x v="8"/>
    <n v="506251"/>
    <n v="506251"/>
    <n v="506251"/>
    <n v="506247"/>
    <n v="2025000"/>
  </r>
  <r>
    <m/>
    <s v="Outcome 4.1. Scale, durability and impact of locally-led community action strengthend through monitoring, evaluation and evidence-based learning._STAR"/>
    <s v="UNDP"/>
    <n v="62000"/>
    <n v="10003"/>
    <x v="8"/>
    <s v="International Consultants"/>
    <x v="0"/>
    <x v="0"/>
    <n v="9386"/>
    <n v="9386"/>
    <n v="9386"/>
    <n v="9386"/>
    <n v="37544"/>
  </r>
  <r>
    <m/>
    <m/>
    <m/>
    <m/>
    <m/>
    <x v="8"/>
    <s v="Local Consultants"/>
    <x v="1"/>
    <x v="1"/>
    <n v="37444"/>
    <n v="37444"/>
    <n v="37444"/>
    <n v="37444"/>
    <n v="149776"/>
  </r>
  <r>
    <m/>
    <m/>
    <m/>
    <m/>
    <m/>
    <x v="8"/>
    <s v="Contractual Services"/>
    <x v="2"/>
    <x v="2"/>
    <n v="105629"/>
    <n v="105629"/>
    <n v="105629"/>
    <n v="105630"/>
    <n v="422517"/>
  </r>
  <r>
    <m/>
    <m/>
    <m/>
    <m/>
    <m/>
    <x v="8"/>
    <s v="Travel"/>
    <x v="3"/>
    <x v="3"/>
    <n v="138952"/>
    <n v="138952"/>
    <n v="138952"/>
    <n v="138953"/>
    <n v="555809"/>
  </r>
  <r>
    <m/>
    <m/>
    <m/>
    <m/>
    <m/>
    <x v="8"/>
    <s v="Other Operating Costs"/>
    <x v="11"/>
    <x v="11"/>
    <n v="42560"/>
    <n v="42560"/>
    <n v="42560"/>
    <n v="42560"/>
    <n v="170240"/>
  </r>
  <r>
    <m/>
    <m/>
    <m/>
    <m/>
    <m/>
    <x v="8"/>
    <s v="Office Supplies"/>
    <x v="4"/>
    <x v="4"/>
    <n v="11822"/>
    <n v="11822"/>
    <n v="11822"/>
    <n v="11821"/>
    <n v="47287"/>
  </r>
  <r>
    <m/>
    <m/>
    <m/>
    <m/>
    <m/>
    <x v="8"/>
    <s v="Travel"/>
    <x v="10"/>
    <x v="10"/>
    <n v="77989"/>
    <n v="77989"/>
    <n v="77989"/>
    <n v="77988"/>
    <n v="311955"/>
  </r>
  <r>
    <m/>
    <m/>
    <m/>
    <m/>
    <m/>
    <x v="8"/>
    <s v="Trainings, Workshops, Meetings"/>
    <x v="5"/>
    <x v="5"/>
    <n v="61142"/>
    <n v="61142"/>
    <n v="61142"/>
    <n v="61143"/>
    <n v="244569"/>
  </r>
  <r>
    <m/>
    <m/>
    <m/>
    <m/>
    <m/>
    <x v="8"/>
    <s v="Salaries and Benefits"/>
    <x v="7"/>
    <x v="7"/>
    <n v="40401"/>
    <n v="40401"/>
    <n v="40401"/>
    <n v="40402"/>
    <n v="161605"/>
  </r>
  <r>
    <m/>
    <m/>
    <s v="Total UNDP"/>
    <m/>
    <m/>
    <x v="1"/>
    <m/>
    <x v="8"/>
    <x v="8"/>
    <n v="525325"/>
    <n v="525325"/>
    <n v="525325"/>
    <n v="525327"/>
    <n v="2101302"/>
  </r>
  <r>
    <m/>
    <s v="Total Outcome 4.1. Scale, durability and impact of locally-led community action strengthend through monitoring, evaluation and evidence-based learning._STAR"/>
    <m/>
    <m/>
    <m/>
    <x v="1"/>
    <m/>
    <x v="8"/>
    <x v="8"/>
    <n v="525325"/>
    <n v="525325"/>
    <n v="525325"/>
    <n v="525327"/>
    <n v="2101302"/>
  </r>
  <r>
    <s v="Total Component 4"/>
    <m/>
    <m/>
    <m/>
    <m/>
    <x v="1"/>
    <m/>
    <x v="8"/>
    <x v="8"/>
    <n v="1031576"/>
    <n v="1031576"/>
    <n v="1031576"/>
    <n v="1031574"/>
    <n v="4126302"/>
  </r>
  <r>
    <s v="Project Management Cost (PMC)"/>
    <s v="PMC_CORE"/>
    <s v="UNDP"/>
    <n v="62000"/>
    <n v="10003"/>
    <x v="9"/>
    <s v="Contractual Services"/>
    <x v="2"/>
    <x v="2"/>
    <n v="636295"/>
    <n v="636295"/>
    <n v="636295"/>
    <n v="636293"/>
    <n v="2545178"/>
  </r>
  <r>
    <m/>
    <m/>
    <m/>
    <m/>
    <m/>
    <x v="9"/>
    <s v="Travel"/>
    <x v="3"/>
    <x v="3"/>
    <n v="62140"/>
    <n v="62140"/>
    <n v="62140"/>
    <n v="62141"/>
    <n v="248561"/>
  </r>
  <r>
    <m/>
    <m/>
    <m/>
    <m/>
    <m/>
    <x v="9"/>
    <s v="Other Operating Costs"/>
    <x v="12"/>
    <x v="12"/>
    <n v="4496"/>
    <n v="4496"/>
    <n v="4496"/>
    <n v="4494"/>
    <n v="17982"/>
  </r>
  <r>
    <m/>
    <m/>
    <m/>
    <m/>
    <m/>
    <x v="9"/>
    <s v="Other Operating Costs"/>
    <x v="13"/>
    <x v="13"/>
    <n v="10843"/>
    <n v="10843"/>
    <n v="10843"/>
    <n v="10841"/>
    <n v="43370"/>
  </r>
  <r>
    <m/>
    <m/>
    <m/>
    <m/>
    <m/>
    <x v="9"/>
    <s v="Other Operating Costs"/>
    <x v="14"/>
    <x v="14"/>
    <n v="31999"/>
    <n v="31999"/>
    <n v="31999"/>
    <n v="31998"/>
    <n v="127995"/>
  </r>
  <r>
    <m/>
    <m/>
    <m/>
    <m/>
    <m/>
    <x v="9"/>
    <s v="Office Supplies"/>
    <x v="4"/>
    <x v="4"/>
    <n v="29088"/>
    <n v="29088"/>
    <n v="29088"/>
    <n v="29086"/>
    <n v="116350"/>
  </r>
  <r>
    <m/>
    <m/>
    <m/>
    <m/>
    <m/>
    <x v="9"/>
    <s v="Other Operating Costs"/>
    <x v="15"/>
    <x v="15"/>
    <n v="20408"/>
    <n v="20408"/>
    <n v="20408"/>
    <n v="20406"/>
    <n v="81630"/>
  </r>
  <r>
    <m/>
    <m/>
    <m/>
    <m/>
    <m/>
    <x v="9"/>
    <s v="Premises (Office rental)"/>
    <x v="16"/>
    <x v="16"/>
    <n v="262766"/>
    <n v="262766"/>
    <n v="262766"/>
    <n v="262766"/>
    <n v="1051064"/>
  </r>
  <r>
    <m/>
    <m/>
    <m/>
    <m/>
    <m/>
    <x v="9"/>
    <s v="Other Operating Costs"/>
    <x v="17"/>
    <x v="17"/>
    <n v="15448"/>
    <n v="15448"/>
    <n v="15448"/>
    <n v="15449"/>
    <n v="61793"/>
  </r>
  <r>
    <m/>
    <m/>
    <m/>
    <m/>
    <m/>
    <x v="9"/>
    <s v="Audits"/>
    <x v="18"/>
    <x v="18"/>
    <n v="41660"/>
    <n v="41660"/>
    <n v="41660"/>
    <n v="41660"/>
    <n v="166640"/>
  </r>
  <r>
    <m/>
    <m/>
    <m/>
    <m/>
    <m/>
    <x v="9"/>
    <s v="Other Operating Costs"/>
    <x v="19"/>
    <x v="19"/>
    <n v="14497"/>
    <n v="14497"/>
    <n v="14497"/>
    <n v="14496"/>
    <n v="57987"/>
  </r>
  <r>
    <m/>
    <m/>
    <m/>
    <m/>
    <m/>
    <x v="9"/>
    <s v="Travel"/>
    <x v="10"/>
    <x v="10"/>
    <n v="18156"/>
    <n v="18156"/>
    <n v="18156"/>
    <n v="18154"/>
    <n v="72622"/>
  </r>
  <r>
    <m/>
    <m/>
    <m/>
    <m/>
    <m/>
    <x v="9"/>
    <s v="Travel"/>
    <x v="20"/>
    <x v="20"/>
    <n v="5839"/>
    <n v="5839"/>
    <n v="5839"/>
    <n v="5838"/>
    <n v="23355"/>
  </r>
  <r>
    <m/>
    <m/>
    <m/>
    <m/>
    <m/>
    <x v="9"/>
    <s v="Salaries and Benefits"/>
    <x v="6"/>
    <x v="6"/>
    <n v="107949"/>
    <n v="107949"/>
    <n v="107949"/>
    <n v="107950"/>
    <n v="431797"/>
  </r>
  <r>
    <m/>
    <m/>
    <m/>
    <m/>
    <m/>
    <x v="9"/>
    <s v="Salaries and Benefits"/>
    <x v="7"/>
    <x v="7"/>
    <n v="145842"/>
    <n v="145842"/>
    <n v="145842"/>
    <n v="145841"/>
    <n v="583367"/>
  </r>
  <r>
    <m/>
    <m/>
    <s v="Total UNDP"/>
    <m/>
    <m/>
    <x v="1"/>
    <m/>
    <x v="8"/>
    <x v="8"/>
    <n v="1407426"/>
    <n v="1407426"/>
    <n v="1407426"/>
    <n v="1407413"/>
    <n v="5629691"/>
  </r>
  <r>
    <m/>
    <s v="Total PMC_CORE"/>
    <m/>
    <m/>
    <m/>
    <x v="1"/>
    <m/>
    <x v="8"/>
    <x v="8"/>
    <n v="1407426"/>
    <n v="1407426"/>
    <n v="1407426"/>
    <n v="1407413"/>
    <n v="5629691"/>
  </r>
  <r>
    <m/>
    <s v="PMC_STAR"/>
    <s v="UNDP"/>
    <n v="62000"/>
    <n v="10003"/>
    <x v="10"/>
    <s v="Contractual Services"/>
    <x v="2"/>
    <x v="2"/>
    <n v="660270"/>
    <n v="660270"/>
    <n v="660270"/>
    <n v="660270"/>
    <n v="2641080"/>
  </r>
  <r>
    <m/>
    <m/>
    <m/>
    <m/>
    <m/>
    <x v="10"/>
    <s v="Travel"/>
    <x v="3"/>
    <x v="3"/>
    <n v="64482"/>
    <n v="64482"/>
    <n v="64482"/>
    <n v="64480"/>
    <n v="257926"/>
  </r>
  <r>
    <m/>
    <m/>
    <m/>
    <m/>
    <m/>
    <x v="10"/>
    <s v="Other Operating Costs"/>
    <x v="12"/>
    <x v="12"/>
    <n v="4665"/>
    <n v="4665"/>
    <n v="4665"/>
    <n v="4665"/>
    <n v="18660"/>
  </r>
  <r>
    <m/>
    <m/>
    <m/>
    <m/>
    <m/>
    <x v="10"/>
    <s v="Other Operating Costs"/>
    <x v="13"/>
    <x v="13"/>
    <n v="11251"/>
    <n v="11251"/>
    <n v="11251"/>
    <n v="11251"/>
    <n v="45004"/>
  </r>
  <r>
    <m/>
    <m/>
    <m/>
    <m/>
    <m/>
    <x v="10"/>
    <s v="Other Operating Costs"/>
    <x v="14"/>
    <x v="14"/>
    <n v="33204"/>
    <n v="33204"/>
    <n v="33204"/>
    <n v="33205"/>
    <n v="132817"/>
  </r>
  <r>
    <m/>
    <m/>
    <m/>
    <m/>
    <m/>
    <x v="10"/>
    <s v="Office Supplies"/>
    <x v="4"/>
    <x v="4"/>
    <n v="30184"/>
    <n v="30184"/>
    <n v="30184"/>
    <n v="30182"/>
    <n v="120734"/>
  </r>
  <r>
    <m/>
    <m/>
    <m/>
    <m/>
    <m/>
    <x v="10"/>
    <s v="Other Operating Costs"/>
    <x v="15"/>
    <x v="15"/>
    <n v="21177"/>
    <n v="21177"/>
    <n v="21177"/>
    <n v="21175"/>
    <n v="84706"/>
  </r>
  <r>
    <m/>
    <m/>
    <m/>
    <m/>
    <m/>
    <x v="10"/>
    <s v="Premises (Office rental)"/>
    <x v="16"/>
    <x v="16"/>
    <n v="272667"/>
    <n v="272667"/>
    <n v="272667"/>
    <n v="272667"/>
    <n v="1090668"/>
  </r>
  <r>
    <m/>
    <m/>
    <m/>
    <m/>
    <m/>
    <x v="10"/>
    <s v="Other Operating Costs"/>
    <x v="17"/>
    <x v="17"/>
    <n v="16031"/>
    <n v="16031"/>
    <n v="16031"/>
    <n v="16029"/>
    <n v="64122"/>
  </r>
  <r>
    <m/>
    <m/>
    <m/>
    <m/>
    <m/>
    <x v="10"/>
    <s v="Audits"/>
    <x v="18"/>
    <x v="18"/>
    <n v="43230"/>
    <n v="43230"/>
    <n v="43230"/>
    <n v="43228"/>
    <n v="172918"/>
  </r>
  <r>
    <m/>
    <m/>
    <m/>
    <m/>
    <m/>
    <x v="10"/>
    <s v="Other Operating Costs"/>
    <x v="19"/>
    <x v="19"/>
    <n v="15043"/>
    <n v="15043"/>
    <n v="15043"/>
    <n v="15042"/>
    <n v="60171"/>
  </r>
  <r>
    <m/>
    <m/>
    <m/>
    <m/>
    <m/>
    <x v="10"/>
    <s v="Travel"/>
    <x v="10"/>
    <x v="10"/>
    <n v="18840"/>
    <n v="18840"/>
    <n v="18840"/>
    <n v="18838"/>
    <n v="75358"/>
  </r>
  <r>
    <m/>
    <m/>
    <m/>
    <m/>
    <m/>
    <x v="10"/>
    <s v="Travel"/>
    <x v="20"/>
    <x v="20"/>
    <n v="6059"/>
    <n v="6059"/>
    <n v="6059"/>
    <n v="6057"/>
    <n v="24234"/>
  </r>
  <r>
    <m/>
    <m/>
    <m/>
    <m/>
    <m/>
    <x v="10"/>
    <s v="Salaries and Benefits"/>
    <x v="6"/>
    <x v="6"/>
    <n v="112017"/>
    <n v="112017"/>
    <n v="112017"/>
    <n v="112016"/>
    <n v="448067"/>
  </r>
  <r>
    <m/>
    <m/>
    <m/>
    <m/>
    <m/>
    <x v="10"/>
    <s v="Salaries and Benefits"/>
    <x v="7"/>
    <x v="7"/>
    <n v="151338"/>
    <n v="151338"/>
    <n v="151338"/>
    <n v="151339"/>
    <n v="605353"/>
  </r>
  <r>
    <m/>
    <m/>
    <s v="Total UNDP"/>
    <m/>
    <m/>
    <x v="1"/>
    <m/>
    <x v="8"/>
    <x v="8"/>
    <n v="1460458"/>
    <n v="1460458"/>
    <n v="1460458"/>
    <n v="1460444"/>
    <n v="5841818"/>
  </r>
  <r>
    <m/>
    <s v="Total PMC_STAR"/>
    <m/>
    <m/>
    <m/>
    <x v="1"/>
    <m/>
    <x v="8"/>
    <x v="8"/>
    <n v="1460458"/>
    <n v="1460458"/>
    <n v="1460458"/>
    <n v="1460444"/>
    <n v="5841818"/>
  </r>
  <r>
    <s v="Total PMC"/>
    <m/>
    <m/>
    <m/>
    <m/>
    <x v="1"/>
    <m/>
    <x v="8"/>
    <x v="8"/>
    <n v="2867884"/>
    <n v="2867884"/>
    <n v="2867884"/>
    <n v="2867857"/>
    <n v="11471509"/>
  </r>
  <r>
    <s v="Total Project Grant"/>
    <m/>
    <m/>
    <m/>
    <m/>
    <x v="1"/>
    <m/>
    <x v="8"/>
    <x v="8"/>
    <n v="17723553"/>
    <n v="45369775"/>
    <n v="40762072"/>
    <n v="22331203"/>
    <n v="12618660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08F93F2-C58D-48CB-9B2C-7C48EE1F524C}" name="PivotTable3"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29:H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h="1" x="0"/>
        <item x="2"/>
        <item h="1" x="3"/>
        <item x="4"/>
        <item h="1" x="5"/>
        <item x="6"/>
        <item h="1" x="7"/>
        <item x="8"/>
        <item h="1" x="9"/>
        <item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v="1"/>
    </i>
    <i>
      <x v="3"/>
    </i>
    <i>
      <x v="5"/>
    </i>
    <i>
      <x v="7"/>
    </i>
    <i>
      <x v="9"/>
    </i>
    <i t="grand">
      <x/>
    </i>
  </colItems>
  <dataFields count="1">
    <dataField name="Sum of Total (USD)" fld="13" baseField="0" baseItem="0" numFmtId="165"/>
  </dataFields>
  <formats count="43">
    <format dxfId="42">
      <pivotArea field="7" type="button" dataOnly="0" labelOnly="1" outline="0" axis="axisRow" fieldPosition="0"/>
    </format>
    <format dxfId="41">
      <pivotArea field="8" type="button" dataOnly="0" labelOnly="1" outline="0" axis="axisRow" fieldPosition="1"/>
    </format>
    <format dxfId="40">
      <pivotArea dataOnly="0" labelOnly="1" outline="0" fieldPosition="0">
        <references count="1">
          <reference field="5" count="0"/>
        </references>
      </pivotArea>
    </format>
    <format dxfId="39">
      <pivotArea dataOnly="0" labelOnly="1" grandCol="1" outline="0" fieldPosition="0"/>
    </format>
    <format dxfId="38">
      <pivotArea type="all" dataOnly="0" outline="0" fieldPosition="0"/>
    </format>
    <format dxfId="37">
      <pivotArea outline="0" collapsedLevelsAreSubtotals="1" fieldPosition="0"/>
    </format>
    <format dxfId="36">
      <pivotArea type="origin" dataOnly="0" labelOnly="1" outline="0" fieldPosition="0"/>
    </format>
    <format dxfId="35">
      <pivotArea field="5" type="button" dataOnly="0" labelOnly="1" outline="0" axis="axisCol" fieldPosition="0"/>
    </format>
    <format dxfId="34">
      <pivotArea type="topRight" dataOnly="0" labelOnly="1" outline="0" fieldPosition="0"/>
    </format>
    <format dxfId="33">
      <pivotArea field="7" type="button" dataOnly="0" labelOnly="1" outline="0" axis="axisRow" fieldPosition="0"/>
    </format>
    <format dxfId="32">
      <pivotArea field="8" type="button" dataOnly="0" labelOnly="1" outline="0" axis="axisRow" fieldPosition="1"/>
    </format>
    <format dxfId="31">
      <pivotArea dataOnly="0" labelOnly="1" outline="0" fieldPosition="0">
        <references count="1">
          <reference field="7" count="0"/>
        </references>
      </pivotArea>
    </format>
    <format dxfId="30">
      <pivotArea dataOnly="0" labelOnly="1" grandRow="1" outline="0" fieldPosition="0"/>
    </format>
    <format dxfId="29">
      <pivotArea dataOnly="0" labelOnly="1" outline="0" fieldPosition="0">
        <references count="2">
          <reference field="7" count="1" selected="0">
            <x v="0"/>
          </reference>
          <reference field="8" count="1">
            <x v="15"/>
          </reference>
        </references>
      </pivotArea>
    </format>
    <format dxfId="28">
      <pivotArea dataOnly="0" labelOnly="1" outline="0" fieldPosition="0">
        <references count="2">
          <reference field="7" count="1" selected="0">
            <x v="1"/>
          </reference>
          <reference field="8" count="1">
            <x v="0"/>
          </reference>
        </references>
      </pivotArea>
    </format>
    <format dxfId="27">
      <pivotArea dataOnly="0" labelOnly="1" outline="0" fieldPosition="0">
        <references count="2">
          <reference field="7" count="1" selected="0">
            <x v="2"/>
          </reference>
          <reference field="8" count="1">
            <x v="8"/>
          </reference>
        </references>
      </pivotArea>
    </format>
    <format dxfId="26">
      <pivotArea dataOnly="0" labelOnly="1" outline="0" fieldPosition="0">
        <references count="2">
          <reference field="7" count="1" selected="0">
            <x v="3"/>
          </reference>
          <reference field="8" count="1">
            <x v="9"/>
          </reference>
        </references>
      </pivotArea>
    </format>
    <format dxfId="25">
      <pivotArea dataOnly="0" labelOnly="1" outline="0" fieldPosition="0">
        <references count="2">
          <reference field="7" count="1" selected="0">
            <x v="4"/>
          </reference>
          <reference field="8" count="1">
            <x v="3"/>
          </reference>
        </references>
      </pivotArea>
    </format>
    <format dxfId="24">
      <pivotArea dataOnly="0" labelOnly="1" outline="0" fieldPosition="0">
        <references count="2">
          <reference field="7" count="1" selected="0">
            <x v="5"/>
          </reference>
          <reference field="8" count="1">
            <x v="19"/>
          </reference>
        </references>
      </pivotArea>
    </format>
    <format dxfId="23">
      <pivotArea dataOnly="0" labelOnly="1" outline="0" fieldPosition="0">
        <references count="2">
          <reference field="7" count="1" selected="0">
            <x v="6"/>
          </reference>
          <reference field="8" count="1">
            <x v="4"/>
          </reference>
        </references>
      </pivotArea>
    </format>
    <format dxfId="22">
      <pivotArea dataOnly="0" labelOnly="1" outline="0" fieldPosition="0">
        <references count="2">
          <reference field="7" count="1" selected="0">
            <x v="7"/>
          </reference>
          <reference field="8" count="1">
            <x v="5"/>
          </reference>
        </references>
      </pivotArea>
    </format>
    <format dxfId="21">
      <pivotArea dataOnly="0" labelOnly="1" outline="0" fieldPosition="0">
        <references count="2">
          <reference field="7" count="1" selected="0">
            <x v="8"/>
          </reference>
          <reference field="8" count="1">
            <x v="10"/>
          </reference>
        </references>
      </pivotArea>
    </format>
    <format dxfId="20">
      <pivotArea dataOnly="0" labelOnly="1" outline="0" fieldPosition="0">
        <references count="2">
          <reference field="7" count="1" selected="0">
            <x v="9"/>
          </reference>
          <reference field="8" count="1">
            <x v="2"/>
          </reference>
        </references>
      </pivotArea>
    </format>
    <format dxfId="19">
      <pivotArea dataOnly="0" labelOnly="1" outline="0" fieldPosition="0">
        <references count="2">
          <reference field="7" count="1" selected="0">
            <x v="10"/>
          </reference>
          <reference field="8" count="1">
            <x v="16"/>
          </reference>
        </references>
      </pivotArea>
    </format>
    <format dxfId="18">
      <pivotArea dataOnly="0" labelOnly="1" outline="0" fieldPosition="0">
        <references count="2">
          <reference field="7" count="1" selected="0">
            <x v="11"/>
          </reference>
          <reference field="8" count="1">
            <x v="6"/>
          </reference>
        </references>
      </pivotArea>
    </format>
    <format dxfId="17">
      <pivotArea dataOnly="0" labelOnly="1" outline="0" fieldPosition="0">
        <references count="2">
          <reference field="7" count="1" selected="0">
            <x v="12"/>
          </reference>
          <reference field="8" count="1">
            <x v="7"/>
          </reference>
        </references>
      </pivotArea>
    </format>
    <format dxfId="16">
      <pivotArea dataOnly="0" labelOnly="1" outline="0" fieldPosition="0">
        <references count="2">
          <reference field="7" count="1" selected="0">
            <x v="13"/>
          </reference>
          <reference field="8" count="1">
            <x v="14"/>
          </reference>
        </references>
      </pivotArea>
    </format>
    <format dxfId="15">
      <pivotArea dataOnly="0" labelOnly="1" outline="0" fieldPosition="0">
        <references count="2">
          <reference field="7" count="1" selected="0">
            <x v="14"/>
          </reference>
          <reference field="8" count="1">
            <x v="13"/>
          </reference>
        </references>
      </pivotArea>
    </format>
    <format dxfId="14">
      <pivotArea dataOnly="0" labelOnly="1" outline="0" fieldPosition="0">
        <references count="2">
          <reference field="7" count="1" selected="0">
            <x v="15"/>
          </reference>
          <reference field="8" count="1">
            <x v="12"/>
          </reference>
        </references>
      </pivotArea>
    </format>
    <format dxfId="13">
      <pivotArea dataOnly="0" labelOnly="1" outline="0" fieldPosition="0">
        <references count="2">
          <reference field="7" count="1" selected="0">
            <x v="16"/>
          </reference>
          <reference field="8" count="1">
            <x v="1"/>
          </reference>
        </references>
      </pivotArea>
    </format>
    <format dxfId="12">
      <pivotArea dataOnly="0" labelOnly="1" outline="0" fieldPosition="0">
        <references count="2">
          <reference field="7" count="1" selected="0">
            <x v="17"/>
          </reference>
          <reference field="8" count="1">
            <x v="11"/>
          </reference>
        </references>
      </pivotArea>
    </format>
    <format dxfId="11">
      <pivotArea dataOnly="0" labelOnly="1" outline="0" fieldPosition="0">
        <references count="2">
          <reference field="7" count="1" selected="0">
            <x v="18"/>
          </reference>
          <reference field="8" count="1">
            <x v="18"/>
          </reference>
        </references>
      </pivotArea>
    </format>
    <format dxfId="10">
      <pivotArea dataOnly="0" labelOnly="1" outline="0" fieldPosition="0">
        <references count="2">
          <reference field="7" count="1" selected="0">
            <x v="19"/>
          </reference>
          <reference field="8" count="1">
            <x v="17"/>
          </reference>
        </references>
      </pivotArea>
    </format>
    <format dxfId="9">
      <pivotArea dataOnly="0" labelOnly="1" outline="0" fieldPosition="0">
        <references count="1">
          <reference field="5" count="10">
            <x v="0"/>
            <x v="1"/>
            <x v="2"/>
            <x v="3"/>
            <x v="4"/>
            <x v="5"/>
            <x v="6"/>
            <x v="7"/>
            <x v="8"/>
            <x v="9"/>
          </reference>
        </references>
      </pivotArea>
    </format>
    <format dxfId="8">
      <pivotArea dataOnly="0" labelOnly="1" grandCol="1" outline="0" fieldPosition="0"/>
    </format>
    <format dxfId="7">
      <pivotArea dataOnly="0" labelOnly="1" outline="0" fieldPosition="0">
        <references count="1">
          <reference field="7" count="1">
            <x v="7"/>
          </reference>
        </references>
      </pivotArea>
    </format>
    <format dxfId="6">
      <pivotArea dataOnly="0" labelOnly="1" outline="0" fieldPosition="0">
        <references count="1">
          <reference field="7" count="1">
            <x v="9"/>
          </reference>
        </references>
      </pivotArea>
    </format>
    <format dxfId="5">
      <pivotArea dataOnly="0" labelOnly="1" outline="0" fieldPosition="0">
        <references count="1">
          <reference field="7" count="1">
            <x v="10"/>
          </reference>
        </references>
      </pivotArea>
    </format>
    <format dxfId="4">
      <pivotArea dataOnly="0" labelOnly="1" outline="0" fieldPosition="0">
        <references count="1">
          <reference field="7" count="1">
            <x v="15"/>
          </reference>
        </references>
      </pivotArea>
    </format>
    <format dxfId="3">
      <pivotArea dataOnly="0" labelOnly="1" outline="0" fieldPosition="0">
        <references count="1">
          <reference field="7" count="3">
            <x v="12"/>
            <x v="13"/>
            <x v="14"/>
          </reference>
        </references>
      </pivotArea>
    </format>
    <format dxfId="2">
      <pivotArea dataOnly="0" labelOnly="1" outline="0" fieldPosition="0">
        <references count="1">
          <reference field="7" count="2">
            <x v="16"/>
            <x v="17"/>
          </reference>
        </references>
      </pivotArea>
    </format>
    <format dxfId="1">
      <pivotArea dataOnly="0" labelOnly="1" outline="0" fieldPosition="0">
        <references count="1">
          <reference field="7" count="1">
            <x v="19"/>
          </reference>
        </references>
      </pivotArea>
    </format>
    <format dxfId="0">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3420A47-DB41-4385-B401-A8608209CA9B}"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T29:AA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h="1" x="0"/>
        <item x="2"/>
        <item h="1" x="3"/>
        <item x="4"/>
        <item h="1" x="5"/>
        <item x="6"/>
        <item h="1" x="7"/>
        <item x="8"/>
        <item h="1" x="9"/>
        <item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v="1"/>
    </i>
    <i>
      <x v="3"/>
    </i>
    <i>
      <x v="5"/>
    </i>
    <i>
      <x v="7"/>
    </i>
    <i>
      <x v="9"/>
    </i>
    <i t="grand">
      <x/>
    </i>
  </colItems>
  <dataFields count="1">
    <dataField name="Sum of Total (USD)" fld="13" baseField="0" baseItem="0" numFmtId="165"/>
  </dataFields>
  <formats count="43">
    <format dxfId="85">
      <pivotArea field="7" type="button" dataOnly="0" labelOnly="1" outline="0" axis="axisRow" fieldPosition="0"/>
    </format>
    <format dxfId="84">
      <pivotArea field="8" type="button" dataOnly="0" labelOnly="1" outline="0" axis="axisRow" fieldPosition="1"/>
    </format>
    <format dxfId="83">
      <pivotArea dataOnly="0" labelOnly="1" outline="0" fieldPosition="0">
        <references count="1">
          <reference field="5" count="0"/>
        </references>
      </pivotArea>
    </format>
    <format dxfId="82">
      <pivotArea dataOnly="0" labelOnly="1" grandCol="1" outline="0" fieldPosition="0"/>
    </format>
    <format dxfId="81">
      <pivotArea type="all" dataOnly="0" outline="0" fieldPosition="0"/>
    </format>
    <format dxfId="80">
      <pivotArea outline="0" collapsedLevelsAreSubtotals="1" fieldPosition="0"/>
    </format>
    <format dxfId="79">
      <pivotArea type="origin" dataOnly="0" labelOnly="1" outline="0" fieldPosition="0"/>
    </format>
    <format dxfId="78">
      <pivotArea field="5" type="button" dataOnly="0" labelOnly="1" outline="0" axis="axisCol" fieldPosition="0"/>
    </format>
    <format dxfId="77">
      <pivotArea type="topRight" dataOnly="0" labelOnly="1" outline="0" fieldPosition="0"/>
    </format>
    <format dxfId="76">
      <pivotArea field="7" type="button" dataOnly="0" labelOnly="1" outline="0" axis="axisRow" fieldPosition="0"/>
    </format>
    <format dxfId="75">
      <pivotArea field="8" type="button" dataOnly="0" labelOnly="1" outline="0" axis="axisRow" fieldPosition="1"/>
    </format>
    <format dxfId="74">
      <pivotArea dataOnly="0" labelOnly="1" outline="0" fieldPosition="0">
        <references count="1">
          <reference field="7" count="0"/>
        </references>
      </pivotArea>
    </format>
    <format dxfId="73">
      <pivotArea dataOnly="0" labelOnly="1" grandRow="1" outline="0" fieldPosition="0"/>
    </format>
    <format dxfId="72">
      <pivotArea dataOnly="0" labelOnly="1" outline="0" fieldPosition="0">
        <references count="2">
          <reference field="7" count="1" selected="0">
            <x v="0"/>
          </reference>
          <reference field="8" count="1">
            <x v="15"/>
          </reference>
        </references>
      </pivotArea>
    </format>
    <format dxfId="71">
      <pivotArea dataOnly="0" labelOnly="1" outline="0" fieldPosition="0">
        <references count="2">
          <reference field="7" count="1" selected="0">
            <x v="1"/>
          </reference>
          <reference field="8" count="1">
            <x v="0"/>
          </reference>
        </references>
      </pivotArea>
    </format>
    <format dxfId="70">
      <pivotArea dataOnly="0" labelOnly="1" outline="0" fieldPosition="0">
        <references count="2">
          <reference field="7" count="1" selected="0">
            <x v="2"/>
          </reference>
          <reference field="8" count="1">
            <x v="8"/>
          </reference>
        </references>
      </pivotArea>
    </format>
    <format dxfId="69">
      <pivotArea dataOnly="0" labelOnly="1" outline="0" fieldPosition="0">
        <references count="2">
          <reference field="7" count="1" selected="0">
            <x v="3"/>
          </reference>
          <reference field="8" count="1">
            <x v="9"/>
          </reference>
        </references>
      </pivotArea>
    </format>
    <format dxfId="68">
      <pivotArea dataOnly="0" labelOnly="1" outline="0" fieldPosition="0">
        <references count="2">
          <reference field="7" count="1" selected="0">
            <x v="4"/>
          </reference>
          <reference field="8" count="1">
            <x v="3"/>
          </reference>
        </references>
      </pivotArea>
    </format>
    <format dxfId="67">
      <pivotArea dataOnly="0" labelOnly="1" outline="0" fieldPosition="0">
        <references count="2">
          <reference field="7" count="1" selected="0">
            <x v="5"/>
          </reference>
          <reference field="8" count="1">
            <x v="19"/>
          </reference>
        </references>
      </pivotArea>
    </format>
    <format dxfId="66">
      <pivotArea dataOnly="0" labelOnly="1" outline="0" fieldPosition="0">
        <references count="2">
          <reference field="7" count="1" selected="0">
            <x v="6"/>
          </reference>
          <reference field="8" count="1">
            <x v="4"/>
          </reference>
        </references>
      </pivotArea>
    </format>
    <format dxfId="65">
      <pivotArea dataOnly="0" labelOnly="1" outline="0" fieldPosition="0">
        <references count="2">
          <reference field="7" count="1" selected="0">
            <x v="7"/>
          </reference>
          <reference field="8" count="1">
            <x v="5"/>
          </reference>
        </references>
      </pivotArea>
    </format>
    <format dxfId="64">
      <pivotArea dataOnly="0" labelOnly="1" outline="0" fieldPosition="0">
        <references count="2">
          <reference field="7" count="1" selected="0">
            <x v="8"/>
          </reference>
          <reference field="8" count="1">
            <x v="10"/>
          </reference>
        </references>
      </pivotArea>
    </format>
    <format dxfId="63">
      <pivotArea dataOnly="0" labelOnly="1" outline="0" fieldPosition="0">
        <references count="2">
          <reference field="7" count="1" selected="0">
            <x v="9"/>
          </reference>
          <reference field="8" count="1">
            <x v="2"/>
          </reference>
        </references>
      </pivotArea>
    </format>
    <format dxfId="62">
      <pivotArea dataOnly="0" labelOnly="1" outline="0" fieldPosition="0">
        <references count="2">
          <reference field="7" count="1" selected="0">
            <x v="10"/>
          </reference>
          <reference field="8" count="1">
            <x v="16"/>
          </reference>
        </references>
      </pivotArea>
    </format>
    <format dxfId="61">
      <pivotArea dataOnly="0" labelOnly="1" outline="0" fieldPosition="0">
        <references count="2">
          <reference field="7" count="1" selected="0">
            <x v="11"/>
          </reference>
          <reference field="8" count="1">
            <x v="6"/>
          </reference>
        </references>
      </pivotArea>
    </format>
    <format dxfId="60">
      <pivotArea dataOnly="0" labelOnly="1" outline="0" fieldPosition="0">
        <references count="2">
          <reference field="7" count="1" selected="0">
            <x v="12"/>
          </reference>
          <reference field="8" count="1">
            <x v="7"/>
          </reference>
        </references>
      </pivotArea>
    </format>
    <format dxfId="59">
      <pivotArea dataOnly="0" labelOnly="1" outline="0" fieldPosition="0">
        <references count="2">
          <reference field="7" count="1" selected="0">
            <x v="13"/>
          </reference>
          <reference field="8" count="1">
            <x v="14"/>
          </reference>
        </references>
      </pivotArea>
    </format>
    <format dxfId="58">
      <pivotArea dataOnly="0" labelOnly="1" outline="0" fieldPosition="0">
        <references count="2">
          <reference field="7" count="1" selected="0">
            <x v="14"/>
          </reference>
          <reference field="8" count="1">
            <x v="13"/>
          </reference>
        </references>
      </pivotArea>
    </format>
    <format dxfId="57">
      <pivotArea dataOnly="0" labelOnly="1" outline="0" fieldPosition="0">
        <references count="2">
          <reference field="7" count="1" selected="0">
            <x v="15"/>
          </reference>
          <reference field="8" count="1">
            <x v="12"/>
          </reference>
        </references>
      </pivotArea>
    </format>
    <format dxfId="56">
      <pivotArea dataOnly="0" labelOnly="1" outline="0" fieldPosition="0">
        <references count="2">
          <reference field="7" count="1" selected="0">
            <x v="16"/>
          </reference>
          <reference field="8" count="1">
            <x v="1"/>
          </reference>
        </references>
      </pivotArea>
    </format>
    <format dxfId="55">
      <pivotArea dataOnly="0" labelOnly="1" outline="0" fieldPosition="0">
        <references count="2">
          <reference field="7" count="1" selected="0">
            <x v="17"/>
          </reference>
          <reference field="8" count="1">
            <x v="11"/>
          </reference>
        </references>
      </pivotArea>
    </format>
    <format dxfId="54">
      <pivotArea dataOnly="0" labelOnly="1" outline="0" fieldPosition="0">
        <references count="2">
          <reference field="7" count="1" selected="0">
            <x v="18"/>
          </reference>
          <reference field="8" count="1">
            <x v="18"/>
          </reference>
        </references>
      </pivotArea>
    </format>
    <format dxfId="53">
      <pivotArea dataOnly="0" labelOnly="1" outline="0" fieldPosition="0">
        <references count="2">
          <reference field="7" count="1" selected="0">
            <x v="19"/>
          </reference>
          <reference field="8" count="1">
            <x v="17"/>
          </reference>
        </references>
      </pivotArea>
    </format>
    <format dxfId="52">
      <pivotArea dataOnly="0" labelOnly="1" outline="0" fieldPosition="0">
        <references count="1">
          <reference field="5" count="10">
            <x v="0"/>
            <x v="1"/>
            <x v="2"/>
            <x v="3"/>
            <x v="4"/>
            <x v="5"/>
            <x v="6"/>
            <x v="7"/>
            <x v="8"/>
            <x v="9"/>
          </reference>
        </references>
      </pivotArea>
    </format>
    <format dxfId="51">
      <pivotArea dataOnly="0" labelOnly="1" grandCol="1" outline="0" fieldPosition="0"/>
    </format>
    <format dxfId="50">
      <pivotArea dataOnly="0" labelOnly="1" outline="0" fieldPosition="0">
        <references count="1">
          <reference field="7" count="1">
            <x v="7"/>
          </reference>
        </references>
      </pivotArea>
    </format>
    <format dxfId="49">
      <pivotArea dataOnly="0" labelOnly="1" outline="0" fieldPosition="0">
        <references count="1">
          <reference field="7" count="1">
            <x v="9"/>
          </reference>
        </references>
      </pivotArea>
    </format>
    <format dxfId="48">
      <pivotArea dataOnly="0" labelOnly="1" outline="0" fieldPosition="0">
        <references count="1">
          <reference field="7" count="1">
            <x v="10"/>
          </reference>
        </references>
      </pivotArea>
    </format>
    <format dxfId="47">
      <pivotArea dataOnly="0" labelOnly="1" outline="0" fieldPosition="0">
        <references count="1">
          <reference field="7" count="1">
            <x v="15"/>
          </reference>
        </references>
      </pivotArea>
    </format>
    <format dxfId="46">
      <pivotArea dataOnly="0" labelOnly="1" outline="0" fieldPosition="0">
        <references count="1">
          <reference field="7" count="3">
            <x v="12"/>
            <x v="13"/>
            <x v="14"/>
          </reference>
        </references>
      </pivotArea>
    </format>
    <format dxfId="45">
      <pivotArea dataOnly="0" labelOnly="1" outline="0" fieldPosition="0">
        <references count="1">
          <reference field="7" count="2">
            <x v="16"/>
            <x v="17"/>
          </reference>
        </references>
      </pivotArea>
    </format>
    <format dxfId="44">
      <pivotArea dataOnly="0" labelOnly="1" outline="0" fieldPosition="0">
        <references count="1">
          <reference field="7" count="1">
            <x v="19"/>
          </reference>
        </references>
      </pivotArea>
    </format>
    <format dxfId="43">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3BD7853-BA9E-445D-9CC4-B071A4425EFA}" name="PivotTable2"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C29:AJ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x="0"/>
        <item h="1" x="2"/>
        <item x="3"/>
        <item h="1" x="4"/>
        <item x="5"/>
        <item h="1" x="6"/>
        <item x="7"/>
        <item h="1" x="8"/>
        <item x="9"/>
        <item h="1"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i>
    <i>
      <x v="2"/>
    </i>
    <i>
      <x v="4"/>
    </i>
    <i>
      <x v="6"/>
    </i>
    <i>
      <x v="8"/>
    </i>
    <i t="grand">
      <x/>
    </i>
  </colItems>
  <dataFields count="1">
    <dataField name="Sum of Total (USD)" fld="13" baseField="0" baseItem="0" numFmtId="165"/>
  </dataFields>
  <formats count="43">
    <format dxfId="128">
      <pivotArea field="7" type="button" dataOnly="0" labelOnly="1" outline="0" axis="axisRow" fieldPosition="0"/>
    </format>
    <format dxfId="127">
      <pivotArea field="8" type="button" dataOnly="0" labelOnly="1" outline="0" axis="axisRow" fieldPosition="1"/>
    </format>
    <format dxfId="126">
      <pivotArea dataOnly="0" labelOnly="1" outline="0" fieldPosition="0">
        <references count="1">
          <reference field="5" count="0"/>
        </references>
      </pivotArea>
    </format>
    <format dxfId="125">
      <pivotArea dataOnly="0" labelOnly="1" grandCol="1" outline="0" fieldPosition="0"/>
    </format>
    <format dxfId="124">
      <pivotArea type="all" dataOnly="0" outline="0" fieldPosition="0"/>
    </format>
    <format dxfId="123">
      <pivotArea outline="0" collapsedLevelsAreSubtotals="1" fieldPosition="0"/>
    </format>
    <format dxfId="122">
      <pivotArea type="origin" dataOnly="0" labelOnly="1" outline="0" fieldPosition="0"/>
    </format>
    <format dxfId="121">
      <pivotArea field="5" type="button" dataOnly="0" labelOnly="1" outline="0" axis="axisCol" fieldPosition="0"/>
    </format>
    <format dxfId="120">
      <pivotArea type="topRight" dataOnly="0" labelOnly="1" outline="0" fieldPosition="0"/>
    </format>
    <format dxfId="119">
      <pivotArea field="7" type="button" dataOnly="0" labelOnly="1" outline="0" axis="axisRow" fieldPosition="0"/>
    </format>
    <format dxfId="118">
      <pivotArea field="8" type="button" dataOnly="0" labelOnly="1" outline="0" axis="axisRow" fieldPosition="1"/>
    </format>
    <format dxfId="117">
      <pivotArea dataOnly="0" labelOnly="1" outline="0" fieldPosition="0">
        <references count="1">
          <reference field="7" count="0"/>
        </references>
      </pivotArea>
    </format>
    <format dxfId="116">
      <pivotArea dataOnly="0" labelOnly="1" grandRow="1" outline="0" fieldPosition="0"/>
    </format>
    <format dxfId="115">
      <pivotArea dataOnly="0" labelOnly="1" outline="0" fieldPosition="0">
        <references count="2">
          <reference field="7" count="1" selected="0">
            <x v="0"/>
          </reference>
          <reference field="8" count="1">
            <x v="15"/>
          </reference>
        </references>
      </pivotArea>
    </format>
    <format dxfId="114">
      <pivotArea dataOnly="0" labelOnly="1" outline="0" fieldPosition="0">
        <references count="2">
          <reference field="7" count="1" selected="0">
            <x v="1"/>
          </reference>
          <reference field="8" count="1">
            <x v="0"/>
          </reference>
        </references>
      </pivotArea>
    </format>
    <format dxfId="113">
      <pivotArea dataOnly="0" labelOnly="1" outline="0" fieldPosition="0">
        <references count="2">
          <reference field="7" count="1" selected="0">
            <x v="2"/>
          </reference>
          <reference field="8" count="1">
            <x v="8"/>
          </reference>
        </references>
      </pivotArea>
    </format>
    <format dxfId="112">
      <pivotArea dataOnly="0" labelOnly="1" outline="0" fieldPosition="0">
        <references count="2">
          <reference field="7" count="1" selected="0">
            <x v="3"/>
          </reference>
          <reference field="8" count="1">
            <x v="9"/>
          </reference>
        </references>
      </pivotArea>
    </format>
    <format dxfId="111">
      <pivotArea dataOnly="0" labelOnly="1" outline="0" fieldPosition="0">
        <references count="2">
          <reference field="7" count="1" selected="0">
            <x v="4"/>
          </reference>
          <reference field="8" count="1">
            <x v="3"/>
          </reference>
        </references>
      </pivotArea>
    </format>
    <format dxfId="110">
      <pivotArea dataOnly="0" labelOnly="1" outline="0" fieldPosition="0">
        <references count="2">
          <reference field="7" count="1" selected="0">
            <x v="5"/>
          </reference>
          <reference field="8" count="1">
            <x v="19"/>
          </reference>
        </references>
      </pivotArea>
    </format>
    <format dxfId="109">
      <pivotArea dataOnly="0" labelOnly="1" outline="0" fieldPosition="0">
        <references count="2">
          <reference field="7" count="1" selected="0">
            <x v="6"/>
          </reference>
          <reference field="8" count="1">
            <x v="4"/>
          </reference>
        </references>
      </pivotArea>
    </format>
    <format dxfId="108">
      <pivotArea dataOnly="0" labelOnly="1" outline="0" fieldPosition="0">
        <references count="2">
          <reference field="7" count="1" selected="0">
            <x v="7"/>
          </reference>
          <reference field="8" count="1">
            <x v="5"/>
          </reference>
        </references>
      </pivotArea>
    </format>
    <format dxfId="107">
      <pivotArea dataOnly="0" labelOnly="1" outline="0" fieldPosition="0">
        <references count="2">
          <reference field="7" count="1" selected="0">
            <x v="8"/>
          </reference>
          <reference field="8" count="1">
            <x v="10"/>
          </reference>
        </references>
      </pivotArea>
    </format>
    <format dxfId="106">
      <pivotArea dataOnly="0" labelOnly="1" outline="0" fieldPosition="0">
        <references count="2">
          <reference field="7" count="1" selected="0">
            <x v="9"/>
          </reference>
          <reference field="8" count="1">
            <x v="2"/>
          </reference>
        </references>
      </pivotArea>
    </format>
    <format dxfId="105">
      <pivotArea dataOnly="0" labelOnly="1" outline="0" fieldPosition="0">
        <references count="2">
          <reference field="7" count="1" selected="0">
            <x v="10"/>
          </reference>
          <reference field="8" count="1">
            <x v="16"/>
          </reference>
        </references>
      </pivotArea>
    </format>
    <format dxfId="104">
      <pivotArea dataOnly="0" labelOnly="1" outline="0" fieldPosition="0">
        <references count="2">
          <reference field="7" count="1" selected="0">
            <x v="11"/>
          </reference>
          <reference field="8" count="1">
            <x v="6"/>
          </reference>
        </references>
      </pivotArea>
    </format>
    <format dxfId="103">
      <pivotArea dataOnly="0" labelOnly="1" outline="0" fieldPosition="0">
        <references count="2">
          <reference field="7" count="1" selected="0">
            <x v="12"/>
          </reference>
          <reference field="8" count="1">
            <x v="7"/>
          </reference>
        </references>
      </pivotArea>
    </format>
    <format dxfId="102">
      <pivotArea dataOnly="0" labelOnly="1" outline="0" fieldPosition="0">
        <references count="2">
          <reference field="7" count="1" selected="0">
            <x v="13"/>
          </reference>
          <reference field="8" count="1">
            <x v="14"/>
          </reference>
        </references>
      </pivotArea>
    </format>
    <format dxfId="101">
      <pivotArea dataOnly="0" labelOnly="1" outline="0" fieldPosition="0">
        <references count="2">
          <reference field="7" count="1" selected="0">
            <x v="14"/>
          </reference>
          <reference field="8" count="1">
            <x v="13"/>
          </reference>
        </references>
      </pivotArea>
    </format>
    <format dxfId="100">
      <pivotArea dataOnly="0" labelOnly="1" outline="0" fieldPosition="0">
        <references count="2">
          <reference field="7" count="1" selected="0">
            <x v="15"/>
          </reference>
          <reference field="8" count="1">
            <x v="12"/>
          </reference>
        </references>
      </pivotArea>
    </format>
    <format dxfId="99">
      <pivotArea dataOnly="0" labelOnly="1" outline="0" fieldPosition="0">
        <references count="2">
          <reference field="7" count="1" selected="0">
            <x v="16"/>
          </reference>
          <reference field="8" count="1">
            <x v="1"/>
          </reference>
        </references>
      </pivotArea>
    </format>
    <format dxfId="98">
      <pivotArea dataOnly="0" labelOnly="1" outline="0" fieldPosition="0">
        <references count="2">
          <reference field="7" count="1" selected="0">
            <x v="17"/>
          </reference>
          <reference field="8" count="1">
            <x v="11"/>
          </reference>
        </references>
      </pivotArea>
    </format>
    <format dxfId="97">
      <pivotArea dataOnly="0" labelOnly="1" outline="0" fieldPosition="0">
        <references count="2">
          <reference field="7" count="1" selected="0">
            <x v="18"/>
          </reference>
          <reference field="8" count="1">
            <x v="18"/>
          </reference>
        </references>
      </pivotArea>
    </format>
    <format dxfId="96">
      <pivotArea dataOnly="0" labelOnly="1" outline="0" fieldPosition="0">
        <references count="2">
          <reference field="7" count="1" selected="0">
            <x v="19"/>
          </reference>
          <reference field="8" count="1">
            <x v="17"/>
          </reference>
        </references>
      </pivotArea>
    </format>
    <format dxfId="95">
      <pivotArea dataOnly="0" labelOnly="1" outline="0" fieldPosition="0">
        <references count="1">
          <reference field="5" count="10">
            <x v="0"/>
            <x v="1"/>
            <x v="2"/>
            <x v="3"/>
            <x v="4"/>
            <x v="5"/>
            <x v="6"/>
            <x v="7"/>
            <x v="8"/>
            <x v="9"/>
          </reference>
        </references>
      </pivotArea>
    </format>
    <format dxfId="94">
      <pivotArea dataOnly="0" labelOnly="1" grandCol="1" outline="0" fieldPosition="0"/>
    </format>
    <format dxfId="93">
      <pivotArea dataOnly="0" labelOnly="1" outline="0" fieldPosition="0">
        <references count="1">
          <reference field="7" count="1">
            <x v="7"/>
          </reference>
        </references>
      </pivotArea>
    </format>
    <format dxfId="92">
      <pivotArea dataOnly="0" labelOnly="1" outline="0" fieldPosition="0">
        <references count="1">
          <reference field="7" count="1">
            <x v="9"/>
          </reference>
        </references>
      </pivotArea>
    </format>
    <format dxfId="91">
      <pivotArea dataOnly="0" labelOnly="1" outline="0" fieldPosition="0">
        <references count="1">
          <reference field="7" count="1">
            <x v="10"/>
          </reference>
        </references>
      </pivotArea>
    </format>
    <format dxfId="90">
      <pivotArea dataOnly="0" labelOnly="1" outline="0" fieldPosition="0">
        <references count="1">
          <reference field="7" count="1">
            <x v="15"/>
          </reference>
        </references>
      </pivotArea>
    </format>
    <format dxfId="89">
      <pivotArea dataOnly="0" labelOnly="1" outline="0" fieldPosition="0">
        <references count="1">
          <reference field="7" count="3">
            <x v="12"/>
            <x v="13"/>
            <x v="14"/>
          </reference>
        </references>
      </pivotArea>
    </format>
    <format dxfId="88">
      <pivotArea dataOnly="0" labelOnly="1" outline="0" fieldPosition="0">
        <references count="1">
          <reference field="7" count="2">
            <x v="16"/>
            <x v="17"/>
          </reference>
        </references>
      </pivotArea>
    </format>
    <format dxfId="87">
      <pivotArea dataOnly="0" labelOnly="1" outline="0" fieldPosition="0">
        <references count="1">
          <reference field="7" count="1">
            <x v="19"/>
          </reference>
        </references>
      </pivotArea>
    </format>
    <format dxfId="86">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CD06B23-6520-4F4A-B2E2-12D8977205A8}" name="PivotTable4"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J29:Q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x="0"/>
        <item h="1" x="2"/>
        <item x="3"/>
        <item h="1" x="4"/>
        <item x="5"/>
        <item h="1" x="6"/>
        <item x="7"/>
        <item h="1" x="8"/>
        <item x="9"/>
        <item h="1"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i>
    <i>
      <x v="2"/>
    </i>
    <i>
      <x v="4"/>
    </i>
    <i>
      <x v="6"/>
    </i>
    <i>
      <x v="8"/>
    </i>
    <i t="grand">
      <x/>
    </i>
  </colItems>
  <dataFields count="1">
    <dataField name="Sum of Total (USD)" fld="13" baseField="0" baseItem="0" numFmtId="165"/>
  </dataFields>
  <formats count="43">
    <format dxfId="171">
      <pivotArea field="7" type="button" dataOnly="0" labelOnly="1" outline="0" axis="axisRow" fieldPosition="0"/>
    </format>
    <format dxfId="170">
      <pivotArea field="8" type="button" dataOnly="0" labelOnly="1" outline="0" axis="axisRow" fieldPosition="1"/>
    </format>
    <format dxfId="169">
      <pivotArea dataOnly="0" labelOnly="1" outline="0" fieldPosition="0">
        <references count="1">
          <reference field="5" count="0"/>
        </references>
      </pivotArea>
    </format>
    <format dxfId="168">
      <pivotArea dataOnly="0" labelOnly="1" grandCol="1" outline="0" fieldPosition="0"/>
    </format>
    <format dxfId="167">
      <pivotArea type="all" dataOnly="0" outline="0" fieldPosition="0"/>
    </format>
    <format dxfId="166">
      <pivotArea outline="0" collapsedLevelsAreSubtotals="1" fieldPosition="0"/>
    </format>
    <format dxfId="165">
      <pivotArea type="origin" dataOnly="0" labelOnly="1" outline="0" fieldPosition="0"/>
    </format>
    <format dxfId="164">
      <pivotArea field="5" type="button" dataOnly="0" labelOnly="1" outline="0" axis="axisCol" fieldPosition="0"/>
    </format>
    <format dxfId="163">
      <pivotArea type="topRight" dataOnly="0" labelOnly="1" outline="0" fieldPosition="0"/>
    </format>
    <format dxfId="162">
      <pivotArea field="7" type="button" dataOnly="0" labelOnly="1" outline="0" axis="axisRow" fieldPosition="0"/>
    </format>
    <format dxfId="161">
      <pivotArea field="8" type="button" dataOnly="0" labelOnly="1" outline="0" axis="axisRow" fieldPosition="1"/>
    </format>
    <format dxfId="160">
      <pivotArea dataOnly="0" labelOnly="1" outline="0" fieldPosition="0">
        <references count="1">
          <reference field="7" count="0"/>
        </references>
      </pivotArea>
    </format>
    <format dxfId="159">
      <pivotArea dataOnly="0" labelOnly="1" grandRow="1" outline="0" fieldPosition="0"/>
    </format>
    <format dxfId="158">
      <pivotArea dataOnly="0" labelOnly="1" outline="0" fieldPosition="0">
        <references count="2">
          <reference field="7" count="1" selected="0">
            <x v="0"/>
          </reference>
          <reference field="8" count="1">
            <x v="15"/>
          </reference>
        </references>
      </pivotArea>
    </format>
    <format dxfId="157">
      <pivotArea dataOnly="0" labelOnly="1" outline="0" fieldPosition="0">
        <references count="2">
          <reference field="7" count="1" selected="0">
            <x v="1"/>
          </reference>
          <reference field="8" count="1">
            <x v="0"/>
          </reference>
        </references>
      </pivotArea>
    </format>
    <format dxfId="156">
      <pivotArea dataOnly="0" labelOnly="1" outline="0" fieldPosition="0">
        <references count="2">
          <reference field="7" count="1" selected="0">
            <x v="2"/>
          </reference>
          <reference field="8" count="1">
            <x v="8"/>
          </reference>
        </references>
      </pivotArea>
    </format>
    <format dxfId="155">
      <pivotArea dataOnly="0" labelOnly="1" outline="0" fieldPosition="0">
        <references count="2">
          <reference field="7" count="1" selected="0">
            <x v="3"/>
          </reference>
          <reference field="8" count="1">
            <x v="9"/>
          </reference>
        </references>
      </pivotArea>
    </format>
    <format dxfId="154">
      <pivotArea dataOnly="0" labelOnly="1" outline="0" fieldPosition="0">
        <references count="2">
          <reference field="7" count="1" selected="0">
            <x v="4"/>
          </reference>
          <reference field="8" count="1">
            <x v="3"/>
          </reference>
        </references>
      </pivotArea>
    </format>
    <format dxfId="153">
      <pivotArea dataOnly="0" labelOnly="1" outline="0" fieldPosition="0">
        <references count="2">
          <reference field="7" count="1" selected="0">
            <x v="5"/>
          </reference>
          <reference field="8" count="1">
            <x v="19"/>
          </reference>
        </references>
      </pivotArea>
    </format>
    <format dxfId="152">
      <pivotArea dataOnly="0" labelOnly="1" outline="0" fieldPosition="0">
        <references count="2">
          <reference field="7" count="1" selected="0">
            <x v="6"/>
          </reference>
          <reference field="8" count="1">
            <x v="4"/>
          </reference>
        </references>
      </pivotArea>
    </format>
    <format dxfId="151">
      <pivotArea dataOnly="0" labelOnly="1" outline="0" fieldPosition="0">
        <references count="2">
          <reference field="7" count="1" selected="0">
            <x v="7"/>
          </reference>
          <reference field="8" count="1">
            <x v="5"/>
          </reference>
        </references>
      </pivotArea>
    </format>
    <format dxfId="150">
      <pivotArea dataOnly="0" labelOnly="1" outline="0" fieldPosition="0">
        <references count="2">
          <reference field="7" count="1" selected="0">
            <x v="8"/>
          </reference>
          <reference field="8" count="1">
            <x v="10"/>
          </reference>
        </references>
      </pivotArea>
    </format>
    <format dxfId="149">
      <pivotArea dataOnly="0" labelOnly="1" outline="0" fieldPosition="0">
        <references count="2">
          <reference field="7" count="1" selected="0">
            <x v="9"/>
          </reference>
          <reference field="8" count="1">
            <x v="2"/>
          </reference>
        </references>
      </pivotArea>
    </format>
    <format dxfId="148">
      <pivotArea dataOnly="0" labelOnly="1" outline="0" fieldPosition="0">
        <references count="2">
          <reference field="7" count="1" selected="0">
            <x v="10"/>
          </reference>
          <reference field="8" count="1">
            <x v="16"/>
          </reference>
        </references>
      </pivotArea>
    </format>
    <format dxfId="147">
      <pivotArea dataOnly="0" labelOnly="1" outline="0" fieldPosition="0">
        <references count="2">
          <reference field="7" count="1" selected="0">
            <x v="11"/>
          </reference>
          <reference field="8" count="1">
            <x v="6"/>
          </reference>
        </references>
      </pivotArea>
    </format>
    <format dxfId="146">
      <pivotArea dataOnly="0" labelOnly="1" outline="0" fieldPosition="0">
        <references count="2">
          <reference field="7" count="1" selected="0">
            <x v="12"/>
          </reference>
          <reference field="8" count="1">
            <x v="7"/>
          </reference>
        </references>
      </pivotArea>
    </format>
    <format dxfId="145">
      <pivotArea dataOnly="0" labelOnly="1" outline="0" fieldPosition="0">
        <references count="2">
          <reference field="7" count="1" selected="0">
            <x v="13"/>
          </reference>
          <reference field="8" count="1">
            <x v="14"/>
          </reference>
        </references>
      </pivotArea>
    </format>
    <format dxfId="144">
      <pivotArea dataOnly="0" labelOnly="1" outline="0" fieldPosition="0">
        <references count="2">
          <reference field="7" count="1" selected="0">
            <x v="14"/>
          </reference>
          <reference field="8" count="1">
            <x v="13"/>
          </reference>
        </references>
      </pivotArea>
    </format>
    <format dxfId="143">
      <pivotArea dataOnly="0" labelOnly="1" outline="0" fieldPosition="0">
        <references count="2">
          <reference field="7" count="1" selected="0">
            <x v="15"/>
          </reference>
          <reference field="8" count="1">
            <x v="12"/>
          </reference>
        </references>
      </pivotArea>
    </format>
    <format dxfId="142">
      <pivotArea dataOnly="0" labelOnly="1" outline="0" fieldPosition="0">
        <references count="2">
          <reference field="7" count="1" selected="0">
            <x v="16"/>
          </reference>
          <reference field="8" count="1">
            <x v="1"/>
          </reference>
        </references>
      </pivotArea>
    </format>
    <format dxfId="141">
      <pivotArea dataOnly="0" labelOnly="1" outline="0" fieldPosition="0">
        <references count="2">
          <reference field="7" count="1" selected="0">
            <x v="17"/>
          </reference>
          <reference field="8" count="1">
            <x v="11"/>
          </reference>
        </references>
      </pivotArea>
    </format>
    <format dxfId="140">
      <pivotArea dataOnly="0" labelOnly="1" outline="0" fieldPosition="0">
        <references count="2">
          <reference field="7" count="1" selected="0">
            <x v="18"/>
          </reference>
          <reference field="8" count="1">
            <x v="18"/>
          </reference>
        </references>
      </pivotArea>
    </format>
    <format dxfId="139">
      <pivotArea dataOnly="0" labelOnly="1" outline="0" fieldPosition="0">
        <references count="2">
          <reference field="7" count="1" selected="0">
            <x v="19"/>
          </reference>
          <reference field="8" count="1">
            <x v="17"/>
          </reference>
        </references>
      </pivotArea>
    </format>
    <format dxfId="138">
      <pivotArea dataOnly="0" labelOnly="1" outline="0" fieldPosition="0">
        <references count="1">
          <reference field="5" count="10">
            <x v="0"/>
            <x v="1"/>
            <x v="2"/>
            <x v="3"/>
            <x v="4"/>
            <x v="5"/>
            <x v="6"/>
            <x v="7"/>
            <x v="8"/>
            <x v="9"/>
          </reference>
        </references>
      </pivotArea>
    </format>
    <format dxfId="137">
      <pivotArea dataOnly="0" labelOnly="1" grandCol="1" outline="0" fieldPosition="0"/>
    </format>
    <format dxfId="136">
      <pivotArea dataOnly="0" labelOnly="1" outline="0" fieldPosition="0">
        <references count="1">
          <reference field="7" count="1">
            <x v="7"/>
          </reference>
        </references>
      </pivotArea>
    </format>
    <format dxfId="135">
      <pivotArea dataOnly="0" labelOnly="1" outline="0" fieldPosition="0">
        <references count="1">
          <reference field="7" count="1">
            <x v="9"/>
          </reference>
        </references>
      </pivotArea>
    </format>
    <format dxfId="134">
      <pivotArea dataOnly="0" labelOnly="1" outline="0" fieldPosition="0">
        <references count="1">
          <reference field="7" count="1">
            <x v="10"/>
          </reference>
        </references>
      </pivotArea>
    </format>
    <format dxfId="133">
      <pivotArea dataOnly="0" labelOnly="1" outline="0" fieldPosition="0">
        <references count="1">
          <reference field="7" count="1">
            <x v="15"/>
          </reference>
        </references>
      </pivotArea>
    </format>
    <format dxfId="132">
      <pivotArea dataOnly="0" labelOnly="1" outline="0" fieldPosition="0">
        <references count="1">
          <reference field="7" count="3">
            <x v="12"/>
            <x v="13"/>
            <x v="14"/>
          </reference>
        </references>
      </pivotArea>
    </format>
    <format dxfId="131">
      <pivotArea dataOnly="0" labelOnly="1" outline="0" fieldPosition="0">
        <references count="1">
          <reference field="7" count="2">
            <x v="16"/>
            <x v="17"/>
          </reference>
        </references>
      </pivotArea>
    </format>
    <format dxfId="130">
      <pivotArea dataOnly="0" labelOnly="1" outline="0" fieldPosition="0">
        <references count="1">
          <reference field="7" count="1">
            <x v="19"/>
          </reference>
        </references>
      </pivotArea>
    </format>
    <format dxfId="129">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86B8AB5-B394-4269-9B89-C730620CE313}" name="PivotTable12"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BO29:BV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x="0"/>
        <item h="1" x="2"/>
        <item x="3"/>
        <item h="1" x="4"/>
        <item x="5"/>
        <item h="1" x="6"/>
        <item x="7"/>
        <item h="1" x="8"/>
        <item x="9"/>
        <item h="1"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i>
    <i>
      <x v="2"/>
    </i>
    <i>
      <x v="4"/>
    </i>
    <i>
      <x v="6"/>
    </i>
    <i>
      <x v="8"/>
    </i>
    <i t="grand">
      <x/>
    </i>
  </colItems>
  <dataFields count="1">
    <dataField name="Sum of Total (USD)" fld="13" baseField="0" baseItem="0" numFmtId="165"/>
  </dataFields>
  <formats count="43">
    <format dxfId="214">
      <pivotArea field="7" type="button" dataOnly="0" labelOnly="1" outline="0" axis="axisRow" fieldPosition="0"/>
    </format>
    <format dxfId="213">
      <pivotArea field="8" type="button" dataOnly="0" labelOnly="1" outline="0" axis="axisRow" fieldPosition="1"/>
    </format>
    <format dxfId="212">
      <pivotArea dataOnly="0" labelOnly="1" outline="0" fieldPosition="0">
        <references count="1">
          <reference field="5" count="0"/>
        </references>
      </pivotArea>
    </format>
    <format dxfId="211">
      <pivotArea dataOnly="0" labelOnly="1" grandCol="1" outline="0" fieldPosition="0"/>
    </format>
    <format dxfId="210">
      <pivotArea type="all" dataOnly="0" outline="0" fieldPosition="0"/>
    </format>
    <format dxfId="209">
      <pivotArea outline="0" collapsedLevelsAreSubtotals="1" fieldPosition="0"/>
    </format>
    <format dxfId="208">
      <pivotArea type="origin" dataOnly="0" labelOnly="1" outline="0" fieldPosition="0"/>
    </format>
    <format dxfId="207">
      <pivotArea field="5" type="button" dataOnly="0" labelOnly="1" outline="0" axis="axisCol" fieldPosition="0"/>
    </format>
    <format dxfId="206">
      <pivotArea type="topRight" dataOnly="0" labelOnly="1" outline="0" fieldPosition="0"/>
    </format>
    <format dxfId="205">
      <pivotArea field="7" type="button" dataOnly="0" labelOnly="1" outline="0" axis="axisRow" fieldPosition="0"/>
    </format>
    <format dxfId="204">
      <pivotArea field="8" type="button" dataOnly="0" labelOnly="1" outline="0" axis="axisRow" fieldPosition="1"/>
    </format>
    <format dxfId="203">
      <pivotArea dataOnly="0" labelOnly="1" outline="0" fieldPosition="0">
        <references count="1">
          <reference field="7" count="0"/>
        </references>
      </pivotArea>
    </format>
    <format dxfId="202">
      <pivotArea dataOnly="0" labelOnly="1" grandRow="1" outline="0" fieldPosition="0"/>
    </format>
    <format dxfId="201">
      <pivotArea dataOnly="0" labelOnly="1" outline="0" fieldPosition="0">
        <references count="2">
          <reference field="7" count="1" selected="0">
            <x v="0"/>
          </reference>
          <reference field="8" count="1">
            <x v="15"/>
          </reference>
        </references>
      </pivotArea>
    </format>
    <format dxfId="200">
      <pivotArea dataOnly="0" labelOnly="1" outline="0" fieldPosition="0">
        <references count="2">
          <reference field="7" count="1" selected="0">
            <x v="1"/>
          </reference>
          <reference field="8" count="1">
            <x v="0"/>
          </reference>
        </references>
      </pivotArea>
    </format>
    <format dxfId="199">
      <pivotArea dataOnly="0" labelOnly="1" outline="0" fieldPosition="0">
        <references count="2">
          <reference field="7" count="1" selected="0">
            <x v="2"/>
          </reference>
          <reference field="8" count="1">
            <x v="8"/>
          </reference>
        </references>
      </pivotArea>
    </format>
    <format dxfId="198">
      <pivotArea dataOnly="0" labelOnly="1" outline="0" fieldPosition="0">
        <references count="2">
          <reference field="7" count="1" selected="0">
            <x v="3"/>
          </reference>
          <reference field="8" count="1">
            <x v="9"/>
          </reference>
        </references>
      </pivotArea>
    </format>
    <format dxfId="197">
      <pivotArea dataOnly="0" labelOnly="1" outline="0" fieldPosition="0">
        <references count="2">
          <reference field="7" count="1" selected="0">
            <x v="4"/>
          </reference>
          <reference field="8" count="1">
            <x v="3"/>
          </reference>
        </references>
      </pivotArea>
    </format>
    <format dxfId="196">
      <pivotArea dataOnly="0" labelOnly="1" outline="0" fieldPosition="0">
        <references count="2">
          <reference field="7" count="1" selected="0">
            <x v="5"/>
          </reference>
          <reference field="8" count="1">
            <x v="19"/>
          </reference>
        </references>
      </pivotArea>
    </format>
    <format dxfId="195">
      <pivotArea dataOnly="0" labelOnly="1" outline="0" fieldPosition="0">
        <references count="2">
          <reference field="7" count="1" selected="0">
            <x v="6"/>
          </reference>
          <reference field="8" count="1">
            <x v="4"/>
          </reference>
        </references>
      </pivotArea>
    </format>
    <format dxfId="194">
      <pivotArea dataOnly="0" labelOnly="1" outline="0" fieldPosition="0">
        <references count="2">
          <reference field="7" count="1" selected="0">
            <x v="7"/>
          </reference>
          <reference field="8" count="1">
            <x v="5"/>
          </reference>
        </references>
      </pivotArea>
    </format>
    <format dxfId="193">
      <pivotArea dataOnly="0" labelOnly="1" outline="0" fieldPosition="0">
        <references count="2">
          <reference field="7" count="1" selected="0">
            <x v="8"/>
          </reference>
          <reference field="8" count="1">
            <x v="10"/>
          </reference>
        </references>
      </pivotArea>
    </format>
    <format dxfId="192">
      <pivotArea dataOnly="0" labelOnly="1" outline="0" fieldPosition="0">
        <references count="2">
          <reference field="7" count="1" selected="0">
            <x v="9"/>
          </reference>
          <reference field="8" count="1">
            <x v="2"/>
          </reference>
        </references>
      </pivotArea>
    </format>
    <format dxfId="191">
      <pivotArea dataOnly="0" labelOnly="1" outline="0" fieldPosition="0">
        <references count="2">
          <reference field="7" count="1" selected="0">
            <x v="10"/>
          </reference>
          <reference field="8" count="1">
            <x v="16"/>
          </reference>
        </references>
      </pivotArea>
    </format>
    <format dxfId="190">
      <pivotArea dataOnly="0" labelOnly="1" outline="0" fieldPosition="0">
        <references count="2">
          <reference field="7" count="1" selected="0">
            <x v="11"/>
          </reference>
          <reference field="8" count="1">
            <x v="6"/>
          </reference>
        </references>
      </pivotArea>
    </format>
    <format dxfId="189">
      <pivotArea dataOnly="0" labelOnly="1" outline="0" fieldPosition="0">
        <references count="2">
          <reference field="7" count="1" selected="0">
            <x v="12"/>
          </reference>
          <reference field="8" count="1">
            <x v="7"/>
          </reference>
        </references>
      </pivotArea>
    </format>
    <format dxfId="188">
      <pivotArea dataOnly="0" labelOnly="1" outline="0" fieldPosition="0">
        <references count="2">
          <reference field="7" count="1" selected="0">
            <x v="13"/>
          </reference>
          <reference field="8" count="1">
            <x v="14"/>
          </reference>
        </references>
      </pivotArea>
    </format>
    <format dxfId="187">
      <pivotArea dataOnly="0" labelOnly="1" outline="0" fieldPosition="0">
        <references count="2">
          <reference field="7" count="1" selected="0">
            <x v="14"/>
          </reference>
          <reference field="8" count="1">
            <x v="13"/>
          </reference>
        </references>
      </pivotArea>
    </format>
    <format dxfId="186">
      <pivotArea dataOnly="0" labelOnly="1" outline="0" fieldPosition="0">
        <references count="2">
          <reference field="7" count="1" selected="0">
            <x v="15"/>
          </reference>
          <reference field="8" count="1">
            <x v="12"/>
          </reference>
        </references>
      </pivotArea>
    </format>
    <format dxfId="185">
      <pivotArea dataOnly="0" labelOnly="1" outline="0" fieldPosition="0">
        <references count="2">
          <reference field="7" count="1" selected="0">
            <x v="16"/>
          </reference>
          <reference field="8" count="1">
            <x v="1"/>
          </reference>
        </references>
      </pivotArea>
    </format>
    <format dxfId="184">
      <pivotArea dataOnly="0" labelOnly="1" outline="0" fieldPosition="0">
        <references count="2">
          <reference field="7" count="1" selected="0">
            <x v="17"/>
          </reference>
          <reference field="8" count="1">
            <x v="11"/>
          </reference>
        </references>
      </pivotArea>
    </format>
    <format dxfId="183">
      <pivotArea dataOnly="0" labelOnly="1" outline="0" fieldPosition="0">
        <references count="2">
          <reference field="7" count="1" selected="0">
            <x v="18"/>
          </reference>
          <reference field="8" count="1">
            <x v="18"/>
          </reference>
        </references>
      </pivotArea>
    </format>
    <format dxfId="182">
      <pivotArea dataOnly="0" labelOnly="1" outline="0" fieldPosition="0">
        <references count="2">
          <reference field="7" count="1" selected="0">
            <x v="19"/>
          </reference>
          <reference field="8" count="1">
            <x v="17"/>
          </reference>
        </references>
      </pivotArea>
    </format>
    <format dxfId="181">
      <pivotArea dataOnly="0" labelOnly="1" outline="0" fieldPosition="0">
        <references count="1">
          <reference field="5" count="10">
            <x v="0"/>
            <x v="1"/>
            <x v="2"/>
            <x v="3"/>
            <x v="4"/>
            <x v="5"/>
            <x v="6"/>
            <x v="7"/>
            <x v="8"/>
            <x v="9"/>
          </reference>
        </references>
      </pivotArea>
    </format>
    <format dxfId="180">
      <pivotArea dataOnly="0" labelOnly="1" grandCol="1" outline="0" fieldPosition="0"/>
    </format>
    <format dxfId="179">
      <pivotArea dataOnly="0" labelOnly="1" outline="0" fieldPosition="0">
        <references count="1">
          <reference field="7" count="1">
            <x v="7"/>
          </reference>
        </references>
      </pivotArea>
    </format>
    <format dxfId="178">
      <pivotArea dataOnly="0" labelOnly="1" outline="0" fieldPosition="0">
        <references count="1">
          <reference field="7" count="1">
            <x v="9"/>
          </reference>
        </references>
      </pivotArea>
    </format>
    <format dxfId="177">
      <pivotArea dataOnly="0" labelOnly="1" outline="0" fieldPosition="0">
        <references count="1">
          <reference field="7" count="1">
            <x v="10"/>
          </reference>
        </references>
      </pivotArea>
    </format>
    <format dxfId="176">
      <pivotArea dataOnly="0" labelOnly="1" outline="0" fieldPosition="0">
        <references count="1">
          <reference field="7" count="1">
            <x v="15"/>
          </reference>
        </references>
      </pivotArea>
    </format>
    <format dxfId="175">
      <pivotArea dataOnly="0" labelOnly="1" outline="0" fieldPosition="0">
        <references count="1">
          <reference field="7" count="3">
            <x v="12"/>
            <x v="13"/>
            <x v="14"/>
          </reference>
        </references>
      </pivotArea>
    </format>
    <format dxfId="174">
      <pivotArea dataOnly="0" labelOnly="1" outline="0" fieldPosition="0">
        <references count="1">
          <reference field="7" count="2">
            <x v="16"/>
            <x v="17"/>
          </reference>
        </references>
      </pivotArea>
    </format>
    <format dxfId="173">
      <pivotArea dataOnly="0" labelOnly="1" outline="0" fieldPosition="0">
        <references count="1">
          <reference field="7" count="1">
            <x v="19"/>
          </reference>
        </references>
      </pivotArea>
    </format>
    <format dxfId="172">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0B59329-45A4-47C0-A74F-77095DF07630}" name="PivotTable7"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V29:BC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x="0"/>
        <item h="1" x="2"/>
        <item x="3"/>
        <item h="1" x="4"/>
        <item x="5"/>
        <item h="1" x="6"/>
        <item x="7"/>
        <item h="1" x="8"/>
        <item x="9"/>
        <item h="1"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i>
    <i>
      <x v="2"/>
    </i>
    <i>
      <x v="4"/>
    </i>
    <i>
      <x v="6"/>
    </i>
    <i>
      <x v="8"/>
    </i>
    <i t="grand">
      <x/>
    </i>
  </colItems>
  <dataFields count="1">
    <dataField name="Sum of Total (USD)" fld="13" baseField="0" baseItem="0" numFmtId="165"/>
  </dataFields>
  <formats count="43">
    <format dxfId="257">
      <pivotArea field="7" type="button" dataOnly="0" labelOnly="1" outline="0" axis="axisRow" fieldPosition="0"/>
    </format>
    <format dxfId="256">
      <pivotArea field="8" type="button" dataOnly="0" labelOnly="1" outline="0" axis="axisRow" fieldPosition="1"/>
    </format>
    <format dxfId="255">
      <pivotArea dataOnly="0" labelOnly="1" outline="0" fieldPosition="0">
        <references count="1">
          <reference field="5" count="0"/>
        </references>
      </pivotArea>
    </format>
    <format dxfId="254">
      <pivotArea dataOnly="0" labelOnly="1" grandCol="1" outline="0" fieldPosition="0"/>
    </format>
    <format dxfId="253">
      <pivotArea type="all" dataOnly="0" outline="0" fieldPosition="0"/>
    </format>
    <format dxfId="252">
      <pivotArea outline="0" collapsedLevelsAreSubtotals="1" fieldPosition="0"/>
    </format>
    <format dxfId="251">
      <pivotArea type="origin" dataOnly="0" labelOnly="1" outline="0" fieldPosition="0"/>
    </format>
    <format dxfId="250">
      <pivotArea field="5" type="button" dataOnly="0" labelOnly="1" outline="0" axis="axisCol" fieldPosition="0"/>
    </format>
    <format dxfId="249">
      <pivotArea type="topRight" dataOnly="0" labelOnly="1" outline="0" fieldPosition="0"/>
    </format>
    <format dxfId="248">
      <pivotArea field="7" type="button" dataOnly="0" labelOnly="1" outline="0" axis="axisRow" fieldPosition="0"/>
    </format>
    <format dxfId="247">
      <pivotArea field="8" type="button" dataOnly="0" labelOnly="1" outline="0" axis="axisRow" fieldPosition="1"/>
    </format>
    <format dxfId="246">
      <pivotArea dataOnly="0" labelOnly="1" outline="0" fieldPosition="0">
        <references count="1">
          <reference field="7" count="0"/>
        </references>
      </pivotArea>
    </format>
    <format dxfId="245">
      <pivotArea dataOnly="0" labelOnly="1" grandRow="1" outline="0" fieldPosition="0"/>
    </format>
    <format dxfId="244">
      <pivotArea dataOnly="0" labelOnly="1" outline="0" fieldPosition="0">
        <references count="2">
          <reference field="7" count="1" selected="0">
            <x v="0"/>
          </reference>
          <reference field="8" count="1">
            <x v="15"/>
          </reference>
        </references>
      </pivotArea>
    </format>
    <format dxfId="243">
      <pivotArea dataOnly="0" labelOnly="1" outline="0" fieldPosition="0">
        <references count="2">
          <reference field="7" count="1" selected="0">
            <x v="1"/>
          </reference>
          <reference field="8" count="1">
            <x v="0"/>
          </reference>
        </references>
      </pivotArea>
    </format>
    <format dxfId="242">
      <pivotArea dataOnly="0" labelOnly="1" outline="0" fieldPosition="0">
        <references count="2">
          <reference field="7" count="1" selected="0">
            <x v="2"/>
          </reference>
          <reference field="8" count="1">
            <x v="8"/>
          </reference>
        </references>
      </pivotArea>
    </format>
    <format dxfId="241">
      <pivotArea dataOnly="0" labelOnly="1" outline="0" fieldPosition="0">
        <references count="2">
          <reference field="7" count="1" selected="0">
            <x v="3"/>
          </reference>
          <reference field="8" count="1">
            <x v="9"/>
          </reference>
        </references>
      </pivotArea>
    </format>
    <format dxfId="240">
      <pivotArea dataOnly="0" labelOnly="1" outline="0" fieldPosition="0">
        <references count="2">
          <reference field="7" count="1" selected="0">
            <x v="4"/>
          </reference>
          <reference field="8" count="1">
            <x v="3"/>
          </reference>
        </references>
      </pivotArea>
    </format>
    <format dxfId="239">
      <pivotArea dataOnly="0" labelOnly="1" outline="0" fieldPosition="0">
        <references count="2">
          <reference field="7" count="1" selected="0">
            <x v="5"/>
          </reference>
          <reference field="8" count="1">
            <x v="19"/>
          </reference>
        </references>
      </pivotArea>
    </format>
    <format dxfId="238">
      <pivotArea dataOnly="0" labelOnly="1" outline="0" fieldPosition="0">
        <references count="2">
          <reference field="7" count="1" selected="0">
            <x v="6"/>
          </reference>
          <reference field="8" count="1">
            <x v="4"/>
          </reference>
        </references>
      </pivotArea>
    </format>
    <format dxfId="237">
      <pivotArea dataOnly="0" labelOnly="1" outline="0" fieldPosition="0">
        <references count="2">
          <reference field="7" count="1" selected="0">
            <x v="7"/>
          </reference>
          <reference field="8" count="1">
            <x v="5"/>
          </reference>
        </references>
      </pivotArea>
    </format>
    <format dxfId="236">
      <pivotArea dataOnly="0" labelOnly="1" outline="0" fieldPosition="0">
        <references count="2">
          <reference field="7" count="1" selected="0">
            <x v="8"/>
          </reference>
          <reference field="8" count="1">
            <x v="10"/>
          </reference>
        </references>
      </pivotArea>
    </format>
    <format dxfId="235">
      <pivotArea dataOnly="0" labelOnly="1" outline="0" fieldPosition="0">
        <references count="2">
          <reference field="7" count="1" selected="0">
            <x v="9"/>
          </reference>
          <reference field="8" count="1">
            <x v="2"/>
          </reference>
        </references>
      </pivotArea>
    </format>
    <format dxfId="234">
      <pivotArea dataOnly="0" labelOnly="1" outline="0" fieldPosition="0">
        <references count="2">
          <reference field="7" count="1" selected="0">
            <x v="10"/>
          </reference>
          <reference field="8" count="1">
            <x v="16"/>
          </reference>
        </references>
      </pivotArea>
    </format>
    <format dxfId="233">
      <pivotArea dataOnly="0" labelOnly="1" outline="0" fieldPosition="0">
        <references count="2">
          <reference field="7" count="1" selected="0">
            <x v="11"/>
          </reference>
          <reference field="8" count="1">
            <x v="6"/>
          </reference>
        </references>
      </pivotArea>
    </format>
    <format dxfId="232">
      <pivotArea dataOnly="0" labelOnly="1" outline="0" fieldPosition="0">
        <references count="2">
          <reference field="7" count="1" selected="0">
            <x v="12"/>
          </reference>
          <reference field="8" count="1">
            <x v="7"/>
          </reference>
        </references>
      </pivotArea>
    </format>
    <format dxfId="231">
      <pivotArea dataOnly="0" labelOnly="1" outline="0" fieldPosition="0">
        <references count="2">
          <reference field="7" count="1" selected="0">
            <x v="13"/>
          </reference>
          <reference field="8" count="1">
            <x v="14"/>
          </reference>
        </references>
      </pivotArea>
    </format>
    <format dxfId="230">
      <pivotArea dataOnly="0" labelOnly="1" outline="0" fieldPosition="0">
        <references count="2">
          <reference field="7" count="1" selected="0">
            <x v="14"/>
          </reference>
          <reference field="8" count="1">
            <x v="13"/>
          </reference>
        </references>
      </pivotArea>
    </format>
    <format dxfId="229">
      <pivotArea dataOnly="0" labelOnly="1" outline="0" fieldPosition="0">
        <references count="2">
          <reference field="7" count="1" selected="0">
            <x v="15"/>
          </reference>
          <reference field="8" count="1">
            <x v="12"/>
          </reference>
        </references>
      </pivotArea>
    </format>
    <format dxfId="228">
      <pivotArea dataOnly="0" labelOnly="1" outline="0" fieldPosition="0">
        <references count="2">
          <reference field="7" count="1" selected="0">
            <x v="16"/>
          </reference>
          <reference field="8" count="1">
            <x v="1"/>
          </reference>
        </references>
      </pivotArea>
    </format>
    <format dxfId="227">
      <pivotArea dataOnly="0" labelOnly="1" outline="0" fieldPosition="0">
        <references count="2">
          <reference field="7" count="1" selected="0">
            <x v="17"/>
          </reference>
          <reference field="8" count="1">
            <x v="11"/>
          </reference>
        </references>
      </pivotArea>
    </format>
    <format dxfId="226">
      <pivotArea dataOnly="0" labelOnly="1" outline="0" fieldPosition="0">
        <references count="2">
          <reference field="7" count="1" selected="0">
            <x v="18"/>
          </reference>
          <reference field="8" count="1">
            <x v="18"/>
          </reference>
        </references>
      </pivotArea>
    </format>
    <format dxfId="225">
      <pivotArea dataOnly="0" labelOnly="1" outline="0" fieldPosition="0">
        <references count="2">
          <reference field="7" count="1" selected="0">
            <x v="19"/>
          </reference>
          <reference field="8" count="1">
            <x v="17"/>
          </reference>
        </references>
      </pivotArea>
    </format>
    <format dxfId="224">
      <pivotArea dataOnly="0" labelOnly="1" outline="0" fieldPosition="0">
        <references count="1">
          <reference field="5" count="10">
            <x v="0"/>
            <x v="1"/>
            <x v="2"/>
            <x v="3"/>
            <x v="4"/>
            <x v="5"/>
            <x v="6"/>
            <x v="7"/>
            <x v="8"/>
            <x v="9"/>
          </reference>
        </references>
      </pivotArea>
    </format>
    <format dxfId="223">
      <pivotArea dataOnly="0" labelOnly="1" grandCol="1" outline="0" fieldPosition="0"/>
    </format>
    <format dxfId="222">
      <pivotArea dataOnly="0" labelOnly="1" outline="0" fieldPosition="0">
        <references count="1">
          <reference field="7" count="1">
            <x v="7"/>
          </reference>
        </references>
      </pivotArea>
    </format>
    <format dxfId="221">
      <pivotArea dataOnly="0" labelOnly="1" outline="0" fieldPosition="0">
        <references count="1">
          <reference field="7" count="1">
            <x v="9"/>
          </reference>
        </references>
      </pivotArea>
    </format>
    <format dxfId="220">
      <pivotArea dataOnly="0" labelOnly="1" outline="0" fieldPosition="0">
        <references count="1">
          <reference field="7" count="1">
            <x v="10"/>
          </reference>
        </references>
      </pivotArea>
    </format>
    <format dxfId="219">
      <pivotArea dataOnly="0" labelOnly="1" outline="0" fieldPosition="0">
        <references count="1">
          <reference field="7" count="1">
            <x v="15"/>
          </reference>
        </references>
      </pivotArea>
    </format>
    <format dxfId="218">
      <pivotArea dataOnly="0" labelOnly="1" outline="0" fieldPosition="0">
        <references count="1">
          <reference field="7" count="3">
            <x v="12"/>
            <x v="13"/>
            <x v="14"/>
          </reference>
        </references>
      </pivotArea>
    </format>
    <format dxfId="217">
      <pivotArea dataOnly="0" labelOnly="1" outline="0" fieldPosition="0">
        <references count="1">
          <reference field="7" count="2">
            <x v="16"/>
            <x v="17"/>
          </reference>
        </references>
      </pivotArea>
    </format>
    <format dxfId="216">
      <pivotArea dataOnly="0" labelOnly="1" outline="0" fieldPosition="0">
        <references count="1">
          <reference field="7" count="1">
            <x v="19"/>
          </reference>
        </references>
      </pivotArea>
    </format>
    <format dxfId="215">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4138104F-4FC3-4FD6-BF76-A19166A67FA8}" name="PivotTable1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BF29:BM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h="1" x="0"/>
        <item x="2"/>
        <item h="1" x="3"/>
        <item x="4"/>
        <item h="1" x="5"/>
        <item x="6"/>
        <item h="1" x="7"/>
        <item x="8"/>
        <item h="1" x="9"/>
        <item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v="1"/>
    </i>
    <i>
      <x v="3"/>
    </i>
    <i>
      <x v="5"/>
    </i>
    <i>
      <x v="7"/>
    </i>
    <i>
      <x v="9"/>
    </i>
    <i t="grand">
      <x/>
    </i>
  </colItems>
  <dataFields count="1">
    <dataField name="Sum of Total (USD)" fld="13" baseField="0" baseItem="0" numFmtId="165"/>
  </dataFields>
  <formats count="43">
    <format dxfId="300">
      <pivotArea field="7" type="button" dataOnly="0" labelOnly="1" outline="0" axis="axisRow" fieldPosition="0"/>
    </format>
    <format dxfId="299">
      <pivotArea field="8" type="button" dataOnly="0" labelOnly="1" outline="0" axis="axisRow" fieldPosition="1"/>
    </format>
    <format dxfId="298">
      <pivotArea dataOnly="0" labelOnly="1" outline="0" fieldPosition="0">
        <references count="1">
          <reference field="5" count="0"/>
        </references>
      </pivotArea>
    </format>
    <format dxfId="297">
      <pivotArea dataOnly="0" labelOnly="1" grandCol="1" outline="0" fieldPosition="0"/>
    </format>
    <format dxfId="296">
      <pivotArea type="all" dataOnly="0" outline="0" fieldPosition="0"/>
    </format>
    <format dxfId="295">
      <pivotArea outline="0" collapsedLevelsAreSubtotals="1" fieldPosition="0"/>
    </format>
    <format dxfId="294">
      <pivotArea type="origin" dataOnly="0" labelOnly="1" outline="0" fieldPosition="0"/>
    </format>
    <format dxfId="293">
      <pivotArea field="5" type="button" dataOnly="0" labelOnly="1" outline="0" axis="axisCol" fieldPosition="0"/>
    </format>
    <format dxfId="292">
      <pivotArea type="topRight" dataOnly="0" labelOnly="1" outline="0" fieldPosition="0"/>
    </format>
    <format dxfId="291">
      <pivotArea field="7" type="button" dataOnly="0" labelOnly="1" outline="0" axis="axisRow" fieldPosition="0"/>
    </format>
    <format dxfId="290">
      <pivotArea field="8" type="button" dataOnly="0" labelOnly="1" outline="0" axis="axisRow" fieldPosition="1"/>
    </format>
    <format dxfId="289">
      <pivotArea dataOnly="0" labelOnly="1" outline="0" fieldPosition="0">
        <references count="1">
          <reference field="7" count="0"/>
        </references>
      </pivotArea>
    </format>
    <format dxfId="288">
      <pivotArea dataOnly="0" labelOnly="1" grandRow="1" outline="0" fieldPosition="0"/>
    </format>
    <format dxfId="287">
      <pivotArea dataOnly="0" labelOnly="1" outline="0" fieldPosition="0">
        <references count="2">
          <reference field="7" count="1" selected="0">
            <x v="0"/>
          </reference>
          <reference field="8" count="1">
            <x v="15"/>
          </reference>
        </references>
      </pivotArea>
    </format>
    <format dxfId="286">
      <pivotArea dataOnly="0" labelOnly="1" outline="0" fieldPosition="0">
        <references count="2">
          <reference field="7" count="1" selected="0">
            <x v="1"/>
          </reference>
          <reference field="8" count="1">
            <x v="0"/>
          </reference>
        </references>
      </pivotArea>
    </format>
    <format dxfId="285">
      <pivotArea dataOnly="0" labelOnly="1" outline="0" fieldPosition="0">
        <references count="2">
          <reference field="7" count="1" selected="0">
            <x v="2"/>
          </reference>
          <reference field="8" count="1">
            <x v="8"/>
          </reference>
        </references>
      </pivotArea>
    </format>
    <format dxfId="284">
      <pivotArea dataOnly="0" labelOnly="1" outline="0" fieldPosition="0">
        <references count="2">
          <reference field="7" count="1" selected="0">
            <x v="3"/>
          </reference>
          <reference field="8" count="1">
            <x v="9"/>
          </reference>
        </references>
      </pivotArea>
    </format>
    <format dxfId="283">
      <pivotArea dataOnly="0" labelOnly="1" outline="0" fieldPosition="0">
        <references count="2">
          <reference field="7" count="1" selected="0">
            <x v="4"/>
          </reference>
          <reference field="8" count="1">
            <x v="3"/>
          </reference>
        </references>
      </pivotArea>
    </format>
    <format dxfId="282">
      <pivotArea dataOnly="0" labelOnly="1" outline="0" fieldPosition="0">
        <references count="2">
          <reference field="7" count="1" selected="0">
            <x v="5"/>
          </reference>
          <reference field="8" count="1">
            <x v="19"/>
          </reference>
        </references>
      </pivotArea>
    </format>
    <format dxfId="281">
      <pivotArea dataOnly="0" labelOnly="1" outline="0" fieldPosition="0">
        <references count="2">
          <reference field="7" count="1" selected="0">
            <x v="6"/>
          </reference>
          <reference field="8" count="1">
            <x v="4"/>
          </reference>
        </references>
      </pivotArea>
    </format>
    <format dxfId="280">
      <pivotArea dataOnly="0" labelOnly="1" outline="0" fieldPosition="0">
        <references count="2">
          <reference field="7" count="1" selected="0">
            <x v="7"/>
          </reference>
          <reference field="8" count="1">
            <x v="5"/>
          </reference>
        </references>
      </pivotArea>
    </format>
    <format dxfId="279">
      <pivotArea dataOnly="0" labelOnly="1" outline="0" fieldPosition="0">
        <references count="2">
          <reference field="7" count="1" selected="0">
            <x v="8"/>
          </reference>
          <reference field="8" count="1">
            <x v="10"/>
          </reference>
        </references>
      </pivotArea>
    </format>
    <format dxfId="278">
      <pivotArea dataOnly="0" labelOnly="1" outline="0" fieldPosition="0">
        <references count="2">
          <reference field="7" count="1" selected="0">
            <x v="9"/>
          </reference>
          <reference field="8" count="1">
            <x v="2"/>
          </reference>
        </references>
      </pivotArea>
    </format>
    <format dxfId="277">
      <pivotArea dataOnly="0" labelOnly="1" outline="0" fieldPosition="0">
        <references count="2">
          <reference field="7" count="1" selected="0">
            <x v="10"/>
          </reference>
          <reference field="8" count="1">
            <x v="16"/>
          </reference>
        </references>
      </pivotArea>
    </format>
    <format dxfId="276">
      <pivotArea dataOnly="0" labelOnly="1" outline="0" fieldPosition="0">
        <references count="2">
          <reference field="7" count="1" selected="0">
            <x v="11"/>
          </reference>
          <reference field="8" count="1">
            <x v="6"/>
          </reference>
        </references>
      </pivotArea>
    </format>
    <format dxfId="275">
      <pivotArea dataOnly="0" labelOnly="1" outline="0" fieldPosition="0">
        <references count="2">
          <reference field="7" count="1" selected="0">
            <x v="12"/>
          </reference>
          <reference field="8" count="1">
            <x v="7"/>
          </reference>
        </references>
      </pivotArea>
    </format>
    <format dxfId="274">
      <pivotArea dataOnly="0" labelOnly="1" outline="0" fieldPosition="0">
        <references count="2">
          <reference field="7" count="1" selected="0">
            <x v="13"/>
          </reference>
          <reference field="8" count="1">
            <x v="14"/>
          </reference>
        </references>
      </pivotArea>
    </format>
    <format dxfId="273">
      <pivotArea dataOnly="0" labelOnly="1" outline="0" fieldPosition="0">
        <references count="2">
          <reference field="7" count="1" selected="0">
            <x v="14"/>
          </reference>
          <reference field="8" count="1">
            <x v="13"/>
          </reference>
        </references>
      </pivotArea>
    </format>
    <format dxfId="272">
      <pivotArea dataOnly="0" labelOnly="1" outline="0" fieldPosition="0">
        <references count="2">
          <reference field="7" count="1" selected="0">
            <x v="15"/>
          </reference>
          <reference field="8" count="1">
            <x v="12"/>
          </reference>
        </references>
      </pivotArea>
    </format>
    <format dxfId="271">
      <pivotArea dataOnly="0" labelOnly="1" outline="0" fieldPosition="0">
        <references count="2">
          <reference field="7" count="1" selected="0">
            <x v="16"/>
          </reference>
          <reference field="8" count="1">
            <x v="1"/>
          </reference>
        </references>
      </pivotArea>
    </format>
    <format dxfId="270">
      <pivotArea dataOnly="0" labelOnly="1" outline="0" fieldPosition="0">
        <references count="2">
          <reference field="7" count="1" selected="0">
            <x v="17"/>
          </reference>
          <reference field="8" count="1">
            <x v="11"/>
          </reference>
        </references>
      </pivotArea>
    </format>
    <format dxfId="269">
      <pivotArea dataOnly="0" labelOnly="1" outline="0" fieldPosition="0">
        <references count="2">
          <reference field="7" count="1" selected="0">
            <x v="18"/>
          </reference>
          <reference field="8" count="1">
            <x v="18"/>
          </reference>
        </references>
      </pivotArea>
    </format>
    <format dxfId="268">
      <pivotArea dataOnly="0" labelOnly="1" outline="0" fieldPosition="0">
        <references count="2">
          <reference field="7" count="1" selected="0">
            <x v="19"/>
          </reference>
          <reference field="8" count="1">
            <x v="17"/>
          </reference>
        </references>
      </pivotArea>
    </format>
    <format dxfId="267">
      <pivotArea dataOnly="0" labelOnly="1" outline="0" fieldPosition="0">
        <references count="1">
          <reference field="5" count="10">
            <x v="0"/>
            <x v="1"/>
            <x v="2"/>
            <x v="3"/>
            <x v="4"/>
            <x v="5"/>
            <x v="6"/>
            <x v="7"/>
            <x v="8"/>
            <x v="9"/>
          </reference>
        </references>
      </pivotArea>
    </format>
    <format dxfId="266">
      <pivotArea dataOnly="0" labelOnly="1" grandCol="1" outline="0" fieldPosition="0"/>
    </format>
    <format dxfId="265">
      <pivotArea dataOnly="0" labelOnly="1" outline="0" fieldPosition="0">
        <references count="1">
          <reference field="7" count="1">
            <x v="7"/>
          </reference>
        </references>
      </pivotArea>
    </format>
    <format dxfId="264">
      <pivotArea dataOnly="0" labelOnly="1" outline="0" fieldPosition="0">
        <references count="1">
          <reference field="7" count="1">
            <x v="9"/>
          </reference>
        </references>
      </pivotArea>
    </format>
    <format dxfId="263">
      <pivotArea dataOnly="0" labelOnly="1" outline="0" fieldPosition="0">
        <references count="1">
          <reference field="7" count="1">
            <x v="10"/>
          </reference>
        </references>
      </pivotArea>
    </format>
    <format dxfId="262">
      <pivotArea dataOnly="0" labelOnly="1" outline="0" fieldPosition="0">
        <references count="1">
          <reference field="7" count="1">
            <x v="15"/>
          </reference>
        </references>
      </pivotArea>
    </format>
    <format dxfId="261">
      <pivotArea dataOnly="0" labelOnly="1" outline="0" fieldPosition="0">
        <references count="1">
          <reference field="7" count="3">
            <x v="12"/>
            <x v="13"/>
            <x v="14"/>
          </reference>
        </references>
      </pivotArea>
    </format>
    <format dxfId="260">
      <pivotArea dataOnly="0" labelOnly="1" outline="0" fieldPosition="0">
        <references count="1">
          <reference field="7" count="2">
            <x v="16"/>
            <x v="17"/>
          </reference>
        </references>
      </pivotArea>
    </format>
    <format dxfId="259">
      <pivotArea dataOnly="0" labelOnly="1" outline="0" fieldPosition="0">
        <references count="1">
          <reference field="7" count="1">
            <x v="19"/>
          </reference>
        </references>
      </pivotArea>
    </format>
    <format dxfId="258">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33612F4F-895C-4B68-B9EC-EC4AD34AB455}" name="PivotTable8"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M29:AT51" firstHeaderRow="1" firstDataRow="2" firstDataCol="2"/>
  <pivotFields count="1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Col" compact="0" outline="0" showAll="0" defaultSubtotal="0">
      <items count="11">
        <item h="1" x="0"/>
        <item x="2"/>
        <item h="1" x="3"/>
        <item x="4"/>
        <item h="1" x="5"/>
        <item x="6"/>
        <item h="1" x="7"/>
        <item x="8"/>
        <item h="1" x="9"/>
        <item x="10"/>
        <item h="1" x="1"/>
      </items>
    </pivotField>
    <pivotField compact="0" outline="0" showAll="0" defaultSubtotal="0"/>
    <pivotField axis="axisRow" compact="0" outline="0" showAll="0" defaultSubtotal="0">
      <items count="21">
        <item x="6"/>
        <item x="7"/>
        <item x="0"/>
        <item x="1"/>
        <item x="2"/>
        <item x="3"/>
        <item x="11"/>
        <item x="12"/>
        <item x="13"/>
        <item x="14"/>
        <item x="4"/>
        <item x="9"/>
        <item x="15"/>
        <item x="16"/>
        <item x="17"/>
        <item x="18"/>
        <item x="19"/>
        <item x="10"/>
        <item x="20"/>
        <item x="5"/>
        <item h="1" x="8"/>
      </items>
    </pivotField>
    <pivotField axis="axisRow" compact="0" outline="0" showAll="0" defaultSubtotal="0">
      <items count="21">
        <item x="7"/>
        <item x="19"/>
        <item x="14"/>
        <item x="2"/>
        <item x="11"/>
        <item x="12"/>
        <item x="9"/>
        <item x="15"/>
        <item x="0"/>
        <item x="1"/>
        <item x="13"/>
        <item x="10"/>
        <item x="18"/>
        <item x="17"/>
        <item x="16"/>
        <item x="6"/>
        <item x="4"/>
        <item x="5"/>
        <item x="20"/>
        <item x="3"/>
        <item x="8"/>
      </items>
    </pivotField>
    <pivotField compact="0" numFmtId="165" outline="0" showAll="0" defaultSubtotal="0"/>
    <pivotField compact="0" numFmtId="165" outline="0" showAll="0" defaultSubtotal="0"/>
    <pivotField compact="0" numFmtId="165" outline="0" showAll="0" defaultSubtotal="0"/>
    <pivotField compact="0" numFmtId="165" outline="0" showAll="0" defaultSubtotal="0"/>
    <pivotField dataField="1" compact="0" numFmtId="165" outline="0" showAll="0" defaultSubtotal="0"/>
  </pivotFields>
  <rowFields count="2">
    <field x="7"/>
    <field x="8"/>
  </rowFields>
  <rowItems count="21">
    <i>
      <x/>
      <x v="15"/>
    </i>
    <i>
      <x v="1"/>
      <x/>
    </i>
    <i>
      <x v="2"/>
      <x v="8"/>
    </i>
    <i>
      <x v="3"/>
      <x v="9"/>
    </i>
    <i>
      <x v="4"/>
      <x v="3"/>
    </i>
    <i>
      <x v="5"/>
      <x v="19"/>
    </i>
    <i>
      <x v="6"/>
      <x v="4"/>
    </i>
    <i>
      <x v="7"/>
      <x v="5"/>
    </i>
    <i>
      <x v="8"/>
      <x v="10"/>
    </i>
    <i>
      <x v="9"/>
      <x v="2"/>
    </i>
    <i>
      <x v="10"/>
      <x v="16"/>
    </i>
    <i>
      <x v="11"/>
      <x v="6"/>
    </i>
    <i>
      <x v="12"/>
      <x v="7"/>
    </i>
    <i>
      <x v="13"/>
      <x v="14"/>
    </i>
    <i>
      <x v="14"/>
      <x v="13"/>
    </i>
    <i>
      <x v="15"/>
      <x v="12"/>
    </i>
    <i>
      <x v="16"/>
      <x v="1"/>
    </i>
    <i>
      <x v="17"/>
      <x v="11"/>
    </i>
    <i>
      <x v="18"/>
      <x v="18"/>
    </i>
    <i>
      <x v="19"/>
      <x v="17"/>
    </i>
    <i t="grand">
      <x/>
    </i>
  </rowItems>
  <colFields count="1">
    <field x="5"/>
  </colFields>
  <colItems count="6">
    <i>
      <x v="1"/>
    </i>
    <i>
      <x v="3"/>
    </i>
    <i>
      <x v="5"/>
    </i>
    <i>
      <x v="7"/>
    </i>
    <i>
      <x v="9"/>
    </i>
    <i t="grand">
      <x/>
    </i>
  </colItems>
  <dataFields count="1">
    <dataField name="Sum of Total (USD)" fld="13" baseField="0" baseItem="0" numFmtId="165"/>
  </dataFields>
  <formats count="43">
    <format dxfId="343">
      <pivotArea field="7" type="button" dataOnly="0" labelOnly="1" outline="0" axis="axisRow" fieldPosition="0"/>
    </format>
    <format dxfId="342">
      <pivotArea field="8" type="button" dataOnly="0" labelOnly="1" outline="0" axis="axisRow" fieldPosition="1"/>
    </format>
    <format dxfId="341">
      <pivotArea dataOnly="0" labelOnly="1" outline="0" fieldPosition="0">
        <references count="1">
          <reference field="5" count="0"/>
        </references>
      </pivotArea>
    </format>
    <format dxfId="340">
      <pivotArea dataOnly="0" labelOnly="1" grandCol="1" outline="0" fieldPosition="0"/>
    </format>
    <format dxfId="339">
      <pivotArea type="all" dataOnly="0" outline="0" fieldPosition="0"/>
    </format>
    <format dxfId="338">
      <pivotArea outline="0" collapsedLevelsAreSubtotals="1" fieldPosition="0"/>
    </format>
    <format dxfId="337">
      <pivotArea type="origin" dataOnly="0" labelOnly="1" outline="0" fieldPosition="0"/>
    </format>
    <format dxfId="336">
      <pivotArea field="5" type="button" dataOnly="0" labelOnly="1" outline="0" axis="axisCol" fieldPosition="0"/>
    </format>
    <format dxfId="335">
      <pivotArea type="topRight" dataOnly="0" labelOnly="1" outline="0" fieldPosition="0"/>
    </format>
    <format dxfId="334">
      <pivotArea field="7" type="button" dataOnly="0" labelOnly="1" outline="0" axis="axisRow" fieldPosition="0"/>
    </format>
    <format dxfId="333">
      <pivotArea field="8" type="button" dataOnly="0" labelOnly="1" outline="0" axis="axisRow" fieldPosition="1"/>
    </format>
    <format dxfId="332">
      <pivotArea dataOnly="0" labelOnly="1" outline="0" fieldPosition="0">
        <references count="1">
          <reference field="7" count="0"/>
        </references>
      </pivotArea>
    </format>
    <format dxfId="331">
      <pivotArea dataOnly="0" labelOnly="1" grandRow="1" outline="0" fieldPosition="0"/>
    </format>
    <format dxfId="330">
      <pivotArea dataOnly="0" labelOnly="1" outline="0" fieldPosition="0">
        <references count="2">
          <reference field="7" count="1" selected="0">
            <x v="0"/>
          </reference>
          <reference field="8" count="1">
            <x v="15"/>
          </reference>
        </references>
      </pivotArea>
    </format>
    <format dxfId="329">
      <pivotArea dataOnly="0" labelOnly="1" outline="0" fieldPosition="0">
        <references count="2">
          <reference field="7" count="1" selected="0">
            <x v="1"/>
          </reference>
          <reference field="8" count="1">
            <x v="0"/>
          </reference>
        </references>
      </pivotArea>
    </format>
    <format dxfId="328">
      <pivotArea dataOnly="0" labelOnly="1" outline="0" fieldPosition="0">
        <references count="2">
          <reference field="7" count="1" selected="0">
            <x v="2"/>
          </reference>
          <reference field="8" count="1">
            <x v="8"/>
          </reference>
        </references>
      </pivotArea>
    </format>
    <format dxfId="327">
      <pivotArea dataOnly="0" labelOnly="1" outline="0" fieldPosition="0">
        <references count="2">
          <reference field="7" count="1" selected="0">
            <x v="3"/>
          </reference>
          <reference field="8" count="1">
            <x v="9"/>
          </reference>
        </references>
      </pivotArea>
    </format>
    <format dxfId="326">
      <pivotArea dataOnly="0" labelOnly="1" outline="0" fieldPosition="0">
        <references count="2">
          <reference field="7" count="1" selected="0">
            <x v="4"/>
          </reference>
          <reference field="8" count="1">
            <x v="3"/>
          </reference>
        </references>
      </pivotArea>
    </format>
    <format dxfId="325">
      <pivotArea dataOnly="0" labelOnly="1" outline="0" fieldPosition="0">
        <references count="2">
          <reference field="7" count="1" selected="0">
            <x v="5"/>
          </reference>
          <reference field="8" count="1">
            <x v="19"/>
          </reference>
        </references>
      </pivotArea>
    </format>
    <format dxfId="324">
      <pivotArea dataOnly="0" labelOnly="1" outline="0" fieldPosition="0">
        <references count="2">
          <reference field="7" count="1" selected="0">
            <x v="6"/>
          </reference>
          <reference field="8" count="1">
            <x v="4"/>
          </reference>
        </references>
      </pivotArea>
    </format>
    <format dxfId="323">
      <pivotArea dataOnly="0" labelOnly="1" outline="0" fieldPosition="0">
        <references count="2">
          <reference field="7" count="1" selected="0">
            <x v="7"/>
          </reference>
          <reference field="8" count="1">
            <x v="5"/>
          </reference>
        </references>
      </pivotArea>
    </format>
    <format dxfId="322">
      <pivotArea dataOnly="0" labelOnly="1" outline="0" fieldPosition="0">
        <references count="2">
          <reference field="7" count="1" selected="0">
            <x v="8"/>
          </reference>
          <reference field="8" count="1">
            <x v="10"/>
          </reference>
        </references>
      </pivotArea>
    </format>
    <format dxfId="321">
      <pivotArea dataOnly="0" labelOnly="1" outline="0" fieldPosition="0">
        <references count="2">
          <reference field="7" count="1" selected="0">
            <x v="9"/>
          </reference>
          <reference field="8" count="1">
            <x v="2"/>
          </reference>
        </references>
      </pivotArea>
    </format>
    <format dxfId="320">
      <pivotArea dataOnly="0" labelOnly="1" outline="0" fieldPosition="0">
        <references count="2">
          <reference field="7" count="1" selected="0">
            <x v="10"/>
          </reference>
          <reference field="8" count="1">
            <x v="16"/>
          </reference>
        </references>
      </pivotArea>
    </format>
    <format dxfId="319">
      <pivotArea dataOnly="0" labelOnly="1" outline="0" fieldPosition="0">
        <references count="2">
          <reference field="7" count="1" selected="0">
            <x v="11"/>
          </reference>
          <reference field="8" count="1">
            <x v="6"/>
          </reference>
        </references>
      </pivotArea>
    </format>
    <format dxfId="318">
      <pivotArea dataOnly="0" labelOnly="1" outline="0" fieldPosition="0">
        <references count="2">
          <reference field="7" count="1" selected="0">
            <x v="12"/>
          </reference>
          <reference field="8" count="1">
            <x v="7"/>
          </reference>
        </references>
      </pivotArea>
    </format>
    <format dxfId="317">
      <pivotArea dataOnly="0" labelOnly="1" outline="0" fieldPosition="0">
        <references count="2">
          <reference field="7" count="1" selected="0">
            <x v="13"/>
          </reference>
          <reference field="8" count="1">
            <x v="14"/>
          </reference>
        </references>
      </pivotArea>
    </format>
    <format dxfId="316">
      <pivotArea dataOnly="0" labelOnly="1" outline="0" fieldPosition="0">
        <references count="2">
          <reference field="7" count="1" selected="0">
            <x v="14"/>
          </reference>
          <reference field="8" count="1">
            <x v="13"/>
          </reference>
        </references>
      </pivotArea>
    </format>
    <format dxfId="315">
      <pivotArea dataOnly="0" labelOnly="1" outline="0" fieldPosition="0">
        <references count="2">
          <reference field="7" count="1" selected="0">
            <x v="15"/>
          </reference>
          <reference field="8" count="1">
            <x v="12"/>
          </reference>
        </references>
      </pivotArea>
    </format>
    <format dxfId="314">
      <pivotArea dataOnly="0" labelOnly="1" outline="0" fieldPosition="0">
        <references count="2">
          <reference field="7" count="1" selected="0">
            <x v="16"/>
          </reference>
          <reference field="8" count="1">
            <x v="1"/>
          </reference>
        </references>
      </pivotArea>
    </format>
    <format dxfId="313">
      <pivotArea dataOnly="0" labelOnly="1" outline="0" fieldPosition="0">
        <references count="2">
          <reference field="7" count="1" selected="0">
            <x v="17"/>
          </reference>
          <reference field="8" count="1">
            <x v="11"/>
          </reference>
        </references>
      </pivotArea>
    </format>
    <format dxfId="312">
      <pivotArea dataOnly="0" labelOnly="1" outline="0" fieldPosition="0">
        <references count="2">
          <reference field="7" count="1" selected="0">
            <x v="18"/>
          </reference>
          <reference field="8" count="1">
            <x v="18"/>
          </reference>
        </references>
      </pivotArea>
    </format>
    <format dxfId="311">
      <pivotArea dataOnly="0" labelOnly="1" outline="0" fieldPosition="0">
        <references count="2">
          <reference field="7" count="1" selected="0">
            <x v="19"/>
          </reference>
          <reference field="8" count="1">
            <x v="17"/>
          </reference>
        </references>
      </pivotArea>
    </format>
    <format dxfId="310">
      <pivotArea dataOnly="0" labelOnly="1" outline="0" fieldPosition="0">
        <references count="1">
          <reference field="5" count="10">
            <x v="0"/>
            <x v="1"/>
            <x v="2"/>
            <x v="3"/>
            <x v="4"/>
            <x v="5"/>
            <x v="6"/>
            <x v="7"/>
            <x v="8"/>
            <x v="9"/>
          </reference>
        </references>
      </pivotArea>
    </format>
    <format dxfId="309">
      <pivotArea dataOnly="0" labelOnly="1" grandCol="1" outline="0" fieldPosition="0"/>
    </format>
    <format dxfId="308">
      <pivotArea dataOnly="0" labelOnly="1" outline="0" fieldPosition="0">
        <references count="1">
          <reference field="7" count="1">
            <x v="7"/>
          </reference>
        </references>
      </pivotArea>
    </format>
    <format dxfId="307">
      <pivotArea dataOnly="0" labelOnly="1" outline="0" fieldPosition="0">
        <references count="1">
          <reference field="7" count="1">
            <x v="9"/>
          </reference>
        </references>
      </pivotArea>
    </format>
    <format dxfId="306">
      <pivotArea dataOnly="0" labelOnly="1" outline="0" fieldPosition="0">
        <references count="1">
          <reference field="7" count="1">
            <x v="10"/>
          </reference>
        </references>
      </pivotArea>
    </format>
    <format dxfId="305">
      <pivotArea dataOnly="0" labelOnly="1" outline="0" fieldPosition="0">
        <references count="1">
          <reference field="7" count="1">
            <x v="15"/>
          </reference>
        </references>
      </pivotArea>
    </format>
    <format dxfId="304">
      <pivotArea dataOnly="0" labelOnly="1" outline="0" fieldPosition="0">
        <references count="1">
          <reference field="7" count="3">
            <x v="12"/>
            <x v="13"/>
            <x v="14"/>
          </reference>
        </references>
      </pivotArea>
    </format>
    <format dxfId="303">
      <pivotArea dataOnly="0" labelOnly="1" outline="0" fieldPosition="0">
        <references count="1">
          <reference field="7" count="2">
            <x v="16"/>
            <x v="17"/>
          </reference>
        </references>
      </pivotArea>
    </format>
    <format dxfId="302">
      <pivotArea dataOnly="0" labelOnly="1" outline="0" fieldPosition="0">
        <references count="1">
          <reference field="7" count="1">
            <x v="19"/>
          </reference>
        </references>
      </pivotArea>
    </format>
    <format dxfId="301">
      <pivotArea dataOnly="0" labelOnly="1" outline="0" fieldPosition="0">
        <references count="1">
          <reference field="7" count="1">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1.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6D5A-7E35-4B45-A876-F83687769708}">
  <dimension ref="A1:AJ150"/>
  <sheetViews>
    <sheetView zoomScale="80" zoomScaleNormal="80" workbookViewId="0">
      <selection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6" width="9.5703125" style="1" customWidth="1"/>
    <col min="7" max="7" width="8.7109375" style="1"/>
    <col min="8" max="8" width="18.28515625" style="1" customWidth="1"/>
    <col min="9" max="9" width="9.5703125" style="1" customWidth="1"/>
    <col min="10" max="10" width="11.85546875" style="1" customWidth="1"/>
    <col min="11" max="14" width="12.5703125" style="1" bestFit="1" customWidth="1"/>
    <col min="15" max="15" width="11.85546875" style="1" bestFit="1" customWidth="1"/>
    <col min="16" max="16" width="18.57031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x14ac:dyDescent="0.2">
      <c r="I1" s="31"/>
      <c r="J1" s="32"/>
      <c r="K1" s="32"/>
      <c r="L1" s="32"/>
      <c r="M1" s="32"/>
      <c r="N1" s="32"/>
    </row>
    <row r="2" spans="1:36" x14ac:dyDescent="0.2">
      <c r="I2" s="31"/>
      <c r="J2" s="33"/>
      <c r="K2" s="33"/>
      <c r="L2" s="33"/>
      <c r="M2" s="33"/>
      <c r="N2" s="32"/>
    </row>
    <row r="3" spans="1:36" s="5" customFormat="1" ht="52.5" customHeight="1" x14ac:dyDescent="0.2">
      <c r="A3" s="3" t="s">
        <v>0</v>
      </c>
      <c r="B3" s="3" t="s">
        <v>1</v>
      </c>
      <c r="C3" s="3" t="s">
        <v>2</v>
      </c>
      <c r="D3" s="3" t="s">
        <v>3</v>
      </c>
      <c r="E3" s="3" t="s">
        <v>4</v>
      </c>
      <c r="F3" s="3" t="s">
        <v>5</v>
      </c>
      <c r="G3" s="3" t="s">
        <v>6</v>
      </c>
      <c r="H3" s="3" t="s">
        <v>7</v>
      </c>
      <c r="I3" s="3" t="s">
        <v>8</v>
      </c>
      <c r="J3" s="3" t="s">
        <v>9</v>
      </c>
      <c r="K3" s="3" t="s">
        <v>10</v>
      </c>
      <c r="L3" s="3" t="s">
        <v>11</v>
      </c>
      <c r="M3" s="3" t="s">
        <v>12</v>
      </c>
      <c r="N3" s="4" t="s">
        <v>13</v>
      </c>
      <c r="O3" s="3" t="s">
        <v>14</v>
      </c>
      <c r="Q3" s="212"/>
    </row>
    <row r="4" spans="1:36" ht="21.95" customHeight="1" x14ac:dyDescent="0.2">
      <c r="A4" s="262" t="s">
        <v>15</v>
      </c>
      <c r="B4" s="262" t="s">
        <v>16</v>
      </c>
      <c r="C4" s="262" t="s">
        <v>17</v>
      </c>
      <c r="D4" s="262">
        <v>62000</v>
      </c>
      <c r="E4" s="262">
        <v>10003</v>
      </c>
      <c r="F4" s="6" t="s">
        <v>18</v>
      </c>
      <c r="G4" s="7" t="s">
        <v>19</v>
      </c>
      <c r="H4" s="6">
        <v>71200</v>
      </c>
      <c r="I4" s="6" t="s">
        <v>19</v>
      </c>
      <c r="J4" s="213">
        <f>global!J4+'4 RPA COs'!M4+'95 COs'!J8</f>
        <v>9336</v>
      </c>
      <c r="K4" s="213">
        <f>global!K4+'4 RPA COs'!N4+'95 COs'!K8</f>
        <v>9336</v>
      </c>
      <c r="L4" s="213">
        <f>global!L4+'4 RPA COs'!O4+'95 COs'!L8</f>
        <v>9336</v>
      </c>
      <c r="M4" s="213">
        <f>global!M4+'4 RPA COs'!P4+'95 COs'!M8</f>
        <v>9337</v>
      </c>
      <c r="N4" s="213">
        <f>SUM(J4:M4)</f>
        <v>37345</v>
      </c>
      <c r="O4" s="8"/>
      <c r="P4" s="9"/>
    </row>
    <row r="5" spans="1:36" ht="21.95" customHeight="1" x14ac:dyDescent="0.2">
      <c r="A5" s="262"/>
      <c r="B5" s="262"/>
      <c r="C5" s="262"/>
      <c r="D5" s="262"/>
      <c r="E5" s="262"/>
      <c r="F5" s="6" t="s">
        <v>18</v>
      </c>
      <c r="G5" s="7" t="s">
        <v>20</v>
      </c>
      <c r="H5" s="6">
        <v>71300</v>
      </c>
      <c r="I5" s="6" t="s">
        <v>20</v>
      </c>
      <c r="J5" s="213">
        <f>global!J5+'4 RPA COs'!M5+'95 COs'!J9</f>
        <v>36956</v>
      </c>
      <c r="K5" s="213">
        <f>global!K5+'4 RPA COs'!N5+'95 COs'!K9</f>
        <v>37541</v>
      </c>
      <c r="L5" s="213">
        <f>global!L5+'4 RPA COs'!O5+'95 COs'!L9</f>
        <v>37523</v>
      </c>
      <c r="M5" s="213">
        <f>global!M5+'4 RPA COs'!P5+'95 COs'!M9</f>
        <v>37524</v>
      </c>
      <c r="N5" s="213">
        <f t="shared" ref="N5:N11" si="0">SUM(J5:M5)</f>
        <v>149544</v>
      </c>
      <c r="O5" s="8"/>
      <c r="P5" s="9"/>
    </row>
    <row r="6" spans="1:36" ht="21.95" customHeight="1" x14ac:dyDescent="0.2">
      <c r="A6" s="262"/>
      <c r="B6" s="262"/>
      <c r="C6" s="262"/>
      <c r="D6" s="262"/>
      <c r="E6" s="262"/>
      <c r="F6" s="6" t="s">
        <v>18</v>
      </c>
      <c r="G6" s="7" t="s">
        <v>21</v>
      </c>
      <c r="H6" s="6">
        <v>71400</v>
      </c>
      <c r="I6" s="6" t="s">
        <v>22</v>
      </c>
      <c r="J6" s="213">
        <f>global!J6+'4 RPA COs'!M6+'95 COs'!J10</f>
        <v>567651</v>
      </c>
      <c r="K6" s="213">
        <f>global!K6+'4 RPA COs'!N6+'95 COs'!K10</f>
        <v>576648</v>
      </c>
      <c r="L6" s="213">
        <f>global!L6+'4 RPA COs'!O6+'95 COs'!L10</f>
        <v>576384</v>
      </c>
      <c r="M6" s="213">
        <f>global!M6+'4 RPA COs'!P6+'95 COs'!M10</f>
        <v>576381</v>
      </c>
      <c r="N6" s="213">
        <f t="shared" si="0"/>
        <v>2297064</v>
      </c>
      <c r="O6" s="8"/>
      <c r="P6" s="9"/>
    </row>
    <row r="7" spans="1:36" ht="21.95" customHeight="1" x14ac:dyDescent="0.2">
      <c r="A7" s="262"/>
      <c r="B7" s="262"/>
      <c r="C7" s="262"/>
      <c r="D7" s="262"/>
      <c r="E7" s="262"/>
      <c r="F7" s="6" t="s">
        <v>18</v>
      </c>
      <c r="G7" s="7" t="s">
        <v>23</v>
      </c>
      <c r="H7" s="6">
        <v>71600</v>
      </c>
      <c r="I7" s="6" t="s">
        <v>23</v>
      </c>
      <c r="J7" s="213">
        <f>global!J7+'4 RPA COs'!M7+'95 COs'!J11</f>
        <v>60385</v>
      </c>
      <c r="K7" s="213">
        <f>global!K7+'4 RPA COs'!N7+'95 COs'!K11</f>
        <v>61342</v>
      </c>
      <c r="L7" s="213">
        <f>global!L7+'4 RPA COs'!O7+'95 COs'!L11</f>
        <v>61315</v>
      </c>
      <c r="M7" s="213">
        <f>global!M7+'4 RPA COs'!P7+'95 COs'!M11</f>
        <v>61312</v>
      </c>
      <c r="N7" s="213">
        <f t="shared" si="0"/>
        <v>244354</v>
      </c>
      <c r="O7" s="8"/>
      <c r="P7" s="9"/>
    </row>
    <row r="8" spans="1:36" ht="21.95" customHeight="1" x14ac:dyDescent="0.2">
      <c r="A8" s="262"/>
      <c r="B8" s="262"/>
      <c r="C8" s="262"/>
      <c r="D8" s="262"/>
      <c r="E8" s="262"/>
      <c r="F8" s="6" t="s">
        <v>18</v>
      </c>
      <c r="G8" s="7" t="s">
        <v>24</v>
      </c>
      <c r="H8" s="6">
        <v>72500</v>
      </c>
      <c r="I8" s="6" t="s">
        <v>25</v>
      </c>
      <c r="J8" s="213">
        <f>global!J8+'4 RPA COs'!M8+'95 COs'!J12</f>
        <v>2334</v>
      </c>
      <c r="K8" s="213">
        <f>global!K8+'4 RPA COs'!N8+'95 COs'!K12</f>
        <v>2370</v>
      </c>
      <c r="L8" s="213">
        <f>global!L8+'4 RPA COs'!O8+'95 COs'!L12</f>
        <v>2370</v>
      </c>
      <c r="M8" s="213">
        <f>global!M8+'4 RPA COs'!P8+'95 COs'!M12</f>
        <v>2368</v>
      </c>
      <c r="N8" s="213">
        <f t="shared" si="0"/>
        <v>9442</v>
      </c>
      <c r="O8" s="8"/>
      <c r="P8" s="9"/>
    </row>
    <row r="9" spans="1:36" ht="21.95" customHeight="1" x14ac:dyDescent="0.2">
      <c r="A9" s="262"/>
      <c r="B9" s="262"/>
      <c r="C9" s="262"/>
      <c r="D9" s="262"/>
      <c r="E9" s="262"/>
      <c r="F9" s="6" t="s">
        <v>18</v>
      </c>
      <c r="G9" s="7" t="s">
        <v>26</v>
      </c>
      <c r="H9" s="6">
        <v>75700</v>
      </c>
      <c r="I9" s="6" t="s">
        <v>27</v>
      </c>
      <c r="J9" s="213">
        <f>global!J9+'4 RPA COs'!M9+'95 COs'!J13</f>
        <v>11812</v>
      </c>
      <c r="K9" s="213">
        <f>global!K9+'4 RPA COs'!N9+'95 COs'!K13</f>
        <v>12001</v>
      </c>
      <c r="L9" s="213">
        <f>global!L9+'4 RPA COs'!O9+'95 COs'!L13</f>
        <v>11995</v>
      </c>
      <c r="M9" s="213">
        <f>global!M9+'4 RPA COs'!P9+'95 COs'!M13</f>
        <v>11991</v>
      </c>
      <c r="N9" s="213">
        <f t="shared" si="0"/>
        <v>47799</v>
      </c>
      <c r="O9" s="8"/>
      <c r="P9" s="9"/>
    </row>
    <row r="10" spans="1:36" ht="21.95" customHeight="1" x14ac:dyDescent="0.2">
      <c r="A10" s="262"/>
      <c r="B10" s="262"/>
      <c r="C10" s="262"/>
      <c r="D10" s="262"/>
      <c r="E10" s="262"/>
      <c r="F10" s="6" t="s">
        <v>18</v>
      </c>
      <c r="G10" s="7" t="s">
        <v>28</v>
      </c>
      <c r="H10" s="6">
        <v>61200</v>
      </c>
      <c r="I10" s="6" t="s">
        <v>29</v>
      </c>
      <c r="J10" s="213">
        <f>global!J10+'4 RPA COs'!M10+'95 COs'!J14</f>
        <v>76136</v>
      </c>
      <c r="K10" s="213">
        <f>global!K10+'4 RPA COs'!N10+'95 COs'!K14</f>
        <v>76136</v>
      </c>
      <c r="L10" s="213">
        <f>global!L10+'4 RPA COs'!O10+'95 COs'!L14</f>
        <v>76136</v>
      </c>
      <c r="M10" s="213">
        <f>global!M10+'4 RPA COs'!P10+'95 COs'!M14</f>
        <v>76135</v>
      </c>
      <c r="N10" s="213">
        <f t="shared" si="0"/>
        <v>304543</v>
      </c>
      <c r="O10" s="8"/>
      <c r="P10" s="9"/>
    </row>
    <row r="11" spans="1:36" ht="21.95" customHeight="1" x14ac:dyDescent="0.2">
      <c r="A11" s="262"/>
      <c r="B11" s="262"/>
      <c r="C11" s="262"/>
      <c r="D11" s="262"/>
      <c r="E11" s="262"/>
      <c r="F11" s="6" t="s">
        <v>18</v>
      </c>
      <c r="G11" s="7" t="s">
        <v>28</v>
      </c>
      <c r="H11" s="6">
        <v>61300</v>
      </c>
      <c r="I11" s="6" t="s">
        <v>30</v>
      </c>
      <c r="J11" s="213">
        <f>global!J11+'4 RPA COs'!M11+'95 COs'!J15</f>
        <v>139206</v>
      </c>
      <c r="K11" s="213">
        <f>global!K11+'4 RPA COs'!N11+'95 COs'!K15</f>
        <v>139206</v>
      </c>
      <c r="L11" s="213">
        <f>global!L11+'4 RPA COs'!O11+'95 COs'!L15</f>
        <v>139206</v>
      </c>
      <c r="M11" s="213">
        <f>global!M11+'4 RPA COs'!P11+'95 COs'!M15</f>
        <v>139205</v>
      </c>
      <c r="N11" s="213">
        <f t="shared" si="0"/>
        <v>556823</v>
      </c>
      <c r="O11" s="8"/>
      <c r="P11" s="9"/>
    </row>
    <row r="12" spans="1:36" ht="21.95" customHeight="1" x14ac:dyDescent="0.2">
      <c r="A12" s="262"/>
      <c r="B12" s="262"/>
      <c r="C12" s="261" t="s">
        <v>31</v>
      </c>
      <c r="D12" s="261"/>
      <c r="E12" s="261"/>
      <c r="F12" s="261"/>
      <c r="G12" s="261"/>
      <c r="H12" s="261"/>
      <c r="I12" s="261"/>
      <c r="J12" s="213">
        <f>SUM(J4:J11)</f>
        <v>903816</v>
      </c>
      <c r="K12" s="213">
        <f t="shared" ref="K12:N12" si="1">SUM(K4:K11)</f>
        <v>914580</v>
      </c>
      <c r="L12" s="213">
        <f t="shared" si="1"/>
        <v>914265</v>
      </c>
      <c r="M12" s="213">
        <f t="shared" si="1"/>
        <v>914253</v>
      </c>
      <c r="N12" s="213">
        <f t="shared" si="1"/>
        <v>3646914</v>
      </c>
      <c r="O12" s="8"/>
      <c r="P12" s="9"/>
    </row>
    <row r="13" spans="1:36" s="2" customFormat="1" ht="21.95" customHeight="1" x14ac:dyDescent="0.2">
      <c r="A13" s="262"/>
      <c r="B13" s="261" t="s">
        <v>32</v>
      </c>
      <c r="C13" s="261"/>
      <c r="D13" s="261"/>
      <c r="E13" s="261"/>
      <c r="F13" s="261"/>
      <c r="G13" s="261"/>
      <c r="H13" s="261"/>
      <c r="I13" s="261"/>
      <c r="J13" s="213">
        <f>J12</f>
        <v>903816</v>
      </c>
      <c r="K13" s="213">
        <f t="shared" ref="K13:N13" si="2">K12</f>
        <v>914580</v>
      </c>
      <c r="L13" s="213">
        <f t="shared" si="2"/>
        <v>914265</v>
      </c>
      <c r="M13" s="213">
        <f t="shared" si="2"/>
        <v>914253</v>
      </c>
      <c r="N13" s="213">
        <f t="shared" si="2"/>
        <v>3646914</v>
      </c>
      <c r="O13" s="8"/>
      <c r="P13" s="9"/>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t="s">
        <v>33</v>
      </c>
      <c r="C14" s="262" t="s">
        <v>17</v>
      </c>
      <c r="D14" s="262">
        <v>62000</v>
      </c>
      <c r="E14" s="262">
        <v>10003</v>
      </c>
      <c r="F14" s="6" t="s">
        <v>34</v>
      </c>
      <c r="G14" s="7" t="s">
        <v>19</v>
      </c>
      <c r="H14" s="6">
        <v>71200</v>
      </c>
      <c r="I14" s="6" t="s">
        <v>19</v>
      </c>
      <c r="J14" s="213">
        <f>global!J14+'4 RPA COs'!M14+'95 COs'!J18</f>
        <v>9688</v>
      </c>
      <c r="K14" s="213">
        <f>global!K14+'4 RPA COs'!N14+'95 COs'!K18</f>
        <v>9688</v>
      </c>
      <c r="L14" s="213">
        <f>global!L14+'4 RPA COs'!O14+'95 COs'!L18</f>
        <v>9688</v>
      </c>
      <c r="M14" s="213">
        <f>global!M14+'4 RPA COs'!P14+'95 COs'!M18</f>
        <v>9688</v>
      </c>
      <c r="N14" s="213">
        <f t="shared" ref="N14:N21" si="3">SUM(J14:M14)</f>
        <v>38752</v>
      </c>
      <c r="O14" s="8"/>
      <c r="P14" s="9"/>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20</v>
      </c>
      <c r="H15" s="6">
        <v>71300</v>
      </c>
      <c r="I15" s="6" t="s">
        <v>20</v>
      </c>
      <c r="J15" s="213">
        <f>global!J15+'4 RPA COs'!M15+'95 COs'!J19</f>
        <v>27525</v>
      </c>
      <c r="K15" s="213">
        <f>global!K15+'4 RPA COs'!N15+'95 COs'!K19</f>
        <v>42853</v>
      </c>
      <c r="L15" s="213">
        <f>global!L15+'4 RPA COs'!O15+'95 COs'!L19</f>
        <v>42401</v>
      </c>
      <c r="M15" s="213">
        <f>global!M15+'4 RPA COs'!P15+'95 COs'!M19</f>
        <v>42399</v>
      </c>
      <c r="N15" s="213">
        <f t="shared" si="3"/>
        <v>155178</v>
      </c>
      <c r="O15" s="8"/>
      <c r="P15" s="9"/>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2"/>
      <c r="D16" s="262"/>
      <c r="E16" s="262"/>
      <c r="F16" s="6" t="s">
        <v>34</v>
      </c>
      <c r="G16" s="7" t="s">
        <v>21</v>
      </c>
      <c r="H16" s="6">
        <v>71400</v>
      </c>
      <c r="I16" s="6" t="s">
        <v>22</v>
      </c>
      <c r="J16" s="213">
        <f>global!J16+'4 RPA COs'!M16+'95 COs'!J20</f>
        <v>451472</v>
      </c>
      <c r="K16" s="213">
        <f>global!K16+'4 RPA COs'!N16+'95 COs'!K20</f>
        <v>647901</v>
      </c>
      <c r="L16" s="213">
        <f>global!L16+'4 RPA COs'!O16+'95 COs'!L20</f>
        <v>642124</v>
      </c>
      <c r="M16" s="213">
        <f>global!M16+'4 RPA COs'!P16+'95 COs'!M20</f>
        <v>642120</v>
      </c>
      <c r="N16" s="213">
        <f t="shared" si="3"/>
        <v>2383617</v>
      </c>
      <c r="O16" s="8"/>
      <c r="P16" s="9"/>
      <c r="R16" s="1"/>
      <c r="S16" s="1"/>
      <c r="T16" s="1"/>
      <c r="U16" s="1"/>
      <c r="V16" s="1"/>
      <c r="W16" s="1"/>
      <c r="X16" s="1"/>
      <c r="Y16" s="1"/>
      <c r="Z16" s="1"/>
      <c r="AA16" s="1"/>
      <c r="AB16" s="1"/>
      <c r="AC16" s="1"/>
      <c r="AD16" s="1"/>
      <c r="AE16" s="1"/>
      <c r="AF16" s="1"/>
      <c r="AG16" s="1"/>
      <c r="AH16" s="1"/>
      <c r="AI16" s="1"/>
      <c r="AJ16" s="1"/>
    </row>
    <row r="17" spans="1:36" s="2" customFormat="1" ht="21.95" customHeight="1" x14ac:dyDescent="0.2">
      <c r="A17" s="262"/>
      <c r="B17" s="262"/>
      <c r="C17" s="262"/>
      <c r="D17" s="262"/>
      <c r="E17" s="262"/>
      <c r="F17" s="6" t="s">
        <v>34</v>
      </c>
      <c r="G17" s="7" t="s">
        <v>23</v>
      </c>
      <c r="H17" s="6">
        <v>71600</v>
      </c>
      <c r="I17" s="6" t="s">
        <v>23</v>
      </c>
      <c r="J17" s="213">
        <f>global!J17+'4 RPA COs'!M17+'95 COs'!J21</f>
        <v>44975</v>
      </c>
      <c r="K17" s="213">
        <f>global!K17+'4 RPA COs'!N17+'95 COs'!K21</f>
        <v>70019</v>
      </c>
      <c r="L17" s="213">
        <f>global!L17+'4 RPA COs'!O17+'95 COs'!L21</f>
        <v>69283</v>
      </c>
      <c r="M17" s="213">
        <f>global!M17+'4 RPA COs'!P17+'95 COs'!M21</f>
        <v>69284</v>
      </c>
      <c r="N17" s="213">
        <f t="shared" si="3"/>
        <v>253561</v>
      </c>
      <c r="O17" s="8"/>
      <c r="P17" s="9"/>
      <c r="R17" s="1"/>
      <c r="S17" s="1"/>
      <c r="T17" s="1"/>
      <c r="U17" s="1"/>
      <c r="V17" s="1"/>
      <c r="W17" s="1"/>
      <c r="X17" s="1"/>
      <c r="Y17" s="1"/>
      <c r="Z17" s="1"/>
      <c r="AA17" s="1"/>
      <c r="AB17" s="1"/>
      <c r="AC17" s="1"/>
      <c r="AD17" s="1"/>
      <c r="AE17" s="1"/>
      <c r="AF17" s="1"/>
      <c r="AG17" s="1"/>
      <c r="AH17" s="1"/>
      <c r="AI17" s="1"/>
      <c r="AJ17" s="1"/>
    </row>
    <row r="18" spans="1:36" s="2" customFormat="1" ht="21.95" customHeight="1" x14ac:dyDescent="0.2">
      <c r="A18" s="262"/>
      <c r="B18" s="262"/>
      <c r="C18" s="262"/>
      <c r="D18" s="262"/>
      <c r="E18" s="262"/>
      <c r="F18" s="6" t="s">
        <v>34</v>
      </c>
      <c r="G18" s="7" t="s">
        <v>24</v>
      </c>
      <c r="H18" s="6">
        <v>72500</v>
      </c>
      <c r="I18" s="6" t="s">
        <v>25</v>
      </c>
      <c r="J18" s="213">
        <f>global!J18+'4 RPA COs'!M18+'95 COs'!J22</f>
        <v>1738</v>
      </c>
      <c r="K18" s="213">
        <f>global!K18+'4 RPA COs'!N18+'95 COs'!K22</f>
        <v>2705</v>
      </c>
      <c r="L18" s="213">
        <f>global!L18+'4 RPA COs'!O18+'95 COs'!L22</f>
        <v>2678</v>
      </c>
      <c r="M18" s="213">
        <f>global!M18+'4 RPA COs'!P18+'95 COs'!M22</f>
        <v>2676</v>
      </c>
      <c r="N18" s="213">
        <f t="shared" si="3"/>
        <v>9797</v>
      </c>
      <c r="O18" s="8"/>
      <c r="P18" s="9"/>
      <c r="R18" s="1"/>
      <c r="S18" s="1"/>
      <c r="T18" s="1"/>
      <c r="U18" s="1"/>
      <c r="V18" s="1"/>
      <c r="W18" s="1"/>
      <c r="X18" s="1"/>
      <c r="Y18" s="1"/>
      <c r="Z18" s="1"/>
      <c r="AA18" s="1"/>
      <c r="AB18" s="1"/>
      <c r="AC18" s="1"/>
      <c r="AD18" s="1"/>
      <c r="AE18" s="1"/>
      <c r="AF18" s="1"/>
      <c r="AG18" s="1"/>
      <c r="AH18" s="1"/>
      <c r="AI18" s="1"/>
      <c r="AJ18" s="1"/>
    </row>
    <row r="19" spans="1:36" s="2" customFormat="1" ht="21.95" customHeight="1" x14ac:dyDescent="0.2">
      <c r="A19" s="262"/>
      <c r="B19" s="262"/>
      <c r="C19" s="262"/>
      <c r="D19" s="262"/>
      <c r="E19" s="262"/>
      <c r="F19" s="6" t="s">
        <v>34</v>
      </c>
      <c r="G19" s="7" t="s">
        <v>26</v>
      </c>
      <c r="H19" s="6">
        <v>75700</v>
      </c>
      <c r="I19" s="6" t="s">
        <v>27</v>
      </c>
      <c r="J19" s="213">
        <f>global!J19+'4 RPA COs'!M19+'95 COs'!J23</f>
        <v>8798</v>
      </c>
      <c r="K19" s="213">
        <f>global!K19+'4 RPA COs'!N19+'95 COs'!K23</f>
        <v>13697</v>
      </c>
      <c r="L19" s="213">
        <f>global!L19+'4 RPA COs'!O19+'95 COs'!L23</f>
        <v>13553</v>
      </c>
      <c r="M19" s="213">
        <f>global!M19+'4 RPA COs'!P19+'95 COs'!M23</f>
        <v>13552</v>
      </c>
      <c r="N19" s="213">
        <f t="shared" si="3"/>
        <v>49600</v>
      </c>
      <c r="O19" s="8"/>
      <c r="P19" s="9"/>
      <c r="R19" s="1"/>
      <c r="S19" s="1"/>
      <c r="T19" s="1"/>
      <c r="U19" s="1"/>
      <c r="V19" s="1"/>
      <c r="W19" s="1"/>
      <c r="X19" s="1"/>
      <c r="Y19" s="1"/>
      <c r="Z19" s="1"/>
      <c r="AA19" s="1"/>
      <c r="AB19" s="1"/>
      <c r="AC19" s="1"/>
      <c r="AD19" s="1"/>
      <c r="AE19" s="1"/>
      <c r="AF19" s="1"/>
      <c r="AG19" s="1"/>
      <c r="AH19" s="1"/>
      <c r="AI19" s="1"/>
      <c r="AJ19" s="1"/>
    </row>
    <row r="20" spans="1:36" s="2" customFormat="1" ht="21.95" customHeight="1" x14ac:dyDescent="0.2">
      <c r="A20" s="262"/>
      <c r="B20" s="262"/>
      <c r="C20" s="262"/>
      <c r="D20" s="262"/>
      <c r="E20" s="262"/>
      <c r="F20" s="6" t="s">
        <v>34</v>
      </c>
      <c r="G20" s="7" t="s">
        <v>28</v>
      </c>
      <c r="H20" s="6">
        <v>61200</v>
      </c>
      <c r="I20" s="6" t="s">
        <v>29</v>
      </c>
      <c r="J20" s="213">
        <f>global!J20+'4 RPA COs'!M20+'95 COs'!J24</f>
        <v>79005</v>
      </c>
      <c r="K20" s="213">
        <f>global!K20+'4 RPA COs'!N20+'95 COs'!K24</f>
        <v>79005</v>
      </c>
      <c r="L20" s="213">
        <f>global!L20+'4 RPA COs'!O20+'95 COs'!L24</f>
        <v>79005</v>
      </c>
      <c r="M20" s="213">
        <f>global!M20+'4 RPA COs'!P20+'95 COs'!M24</f>
        <v>79004</v>
      </c>
      <c r="N20" s="213">
        <f t="shared" si="3"/>
        <v>316019</v>
      </c>
      <c r="O20" s="8"/>
      <c r="P20" s="9"/>
      <c r="R20" s="1"/>
      <c r="S20" s="1"/>
      <c r="T20" s="1"/>
      <c r="U20" s="1"/>
      <c r="V20" s="1"/>
      <c r="W20" s="1"/>
      <c r="X20" s="1"/>
      <c r="Y20" s="1"/>
      <c r="Z20" s="1"/>
      <c r="AA20" s="1"/>
      <c r="AB20" s="1"/>
      <c r="AC20" s="1"/>
      <c r="AD20" s="1"/>
      <c r="AE20" s="1"/>
      <c r="AF20" s="1"/>
      <c r="AG20" s="1"/>
      <c r="AH20" s="1"/>
      <c r="AI20" s="1"/>
      <c r="AJ20" s="1"/>
    </row>
    <row r="21" spans="1:36" s="2" customFormat="1" ht="21.95" customHeight="1" x14ac:dyDescent="0.2">
      <c r="A21" s="262"/>
      <c r="B21" s="262"/>
      <c r="C21" s="262"/>
      <c r="D21" s="262"/>
      <c r="E21" s="262"/>
      <c r="F21" s="6" t="s">
        <v>34</v>
      </c>
      <c r="G21" s="7" t="s">
        <v>28</v>
      </c>
      <c r="H21" s="6">
        <v>61300</v>
      </c>
      <c r="I21" s="6" t="s">
        <v>30</v>
      </c>
      <c r="J21" s="213">
        <f>global!J21+'4 RPA COs'!M21+'95 COs'!J25</f>
        <v>144452</v>
      </c>
      <c r="K21" s="213">
        <f>global!K21+'4 RPA COs'!N21+'95 COs'!K25</f>
        <v>144452</v>
      </c>
      <c r="L21" s="213">
        <f>global!L21+'4 RPA COs'!O21+'95 COs'!L25</f>
        <v>144452</v>
      </c>
      <c r="M21" s="213">
        <f>global!M21+'4 RPA COs'!P21+'95 COs'!M25</f>
        <v>144450</v>
      </c>
      <c r="N21" s="213">
        <f t="shared" si="3"/>
        <v>577806</v>
      </c>
      <c r="O21" s="8"/>
      <c r="P21" s="9"/>
      <c r="R21" s="1"/>
      <c r="S21" s="1"/>
      <c r="T21" s="1"/>
      <c r="U21" s="1"/>
      <c r="V21" s="1"/>
      <c r="W21" s="1"/>
      <c r="X21" s="1"/>
      <c r="Y21" s="1"/>
      <c r="Z21" s="1"/>
      <c r="AA21" s="1"/>
      <c r="AB21" s="1"/>
      <c r="AC21" s="1"/>
      <c r="AD21" s="1"/>
      <c r="AE21" s="1"/>
      <c r="AF21" s="1"/>
      <c r="AG21" s="1"/>
      <c r="AH21" s="1"/>
      <c r="AI21" s="1"/>
      <c r="AJ21" s="1"/>
    </row>
    <row r="22" spans="1:36" s="2" customFormat="1" ht="21.95" customHeight="1" x14ac:dyDescent="0.2">
      <c r="A22" s="262"/>
      <c r="B22" s="262"/>
      <c r="C22" s="263" t="s">
        <v>31</v>
      </c>
      <c r="D22" s="263"/>
      <c r="E22" s="263"/>
      <c r="F22" s="263"/>
      <c r="G22" s="263"/>
      <c r="H22" s="263"/>
      <c r="I22" s="263"/>
      <c r="J22" s="213">
        <f>SUM(J14:J21)</f>
        <v>767653</v>
      </c>
      <c r="K22" s="213">
        <f t="shared" ref="K22:N22" si="4">SUM(K14:K21)</f>
        <v>1010320</v>
      </c>
      <c r="L22" s="213">
        <f t="shared" si="4"/>
        <v>1003184</v>
      </c>
      <c r="M22" s="213">
        <f t="shared" si="4"/>
        <v>1003173</v>
      </c>
      <c r="N22" s="213">
        <f t="shared" si="4"/>
        <v>3784330</v>
      </c>
      <c r="O22" s="8"/>
      <c r="P22" s="9"/>
      <c r="R22" s="1"/>
      <c r="S22" s="1"/>
      <c r="T22" s="1"/>
      <c r="U22" s="1"/>
      <c r="V22" s="1"/>
      <c r="W22" s="1"/>
      <c r="X22" s="1"/>
      <c r="Y22" s="1"/>
      <c r="Z22" s="1"/>
      <c r="AA22" s="1"/>
      <c r="AB22" s="1"/>
      <c r="AC22" s="1"/>
      <c r="AD22" s="1"/>
      <c r="AE22" s="1"/>
      <c r="AF22" s="1"/>
      <c r="AG22" s="1"/>
      <c r="AH22" s="1"/>
      <c r="AI22" s="1"/>
      <c r="AJ22" s="1"/>
    </row>
    <row r="23" spans="1:36" ht="21.95" customHeight="1" x14ac:dyDescent="0.2">
      <c r="A23" s="262"/>
      <c r="B23" s="263" t="s">
        <v>35</v>
      </c>
      <c r="C23" s="263"/>
      <c r="D23" s="263"/>
      <c r="E23" s="263"/>
      <c r="F23" s="263"/>
      <c r="G23" s="263"/>
      <c r="H23" s="263"/>
      <c r="I23" s="263"/>
      <c r="J23" s="213">
        <f>J22</f>
        <v>767653</v>
      </c>
      <c r="K23" s="213">
        <f t="shared" ref="K23:N23" si="5">K22</f>
        <v>1010320</v>
      </c>
      <c r="L23" s="213">
        <f t="shared" si="5"/>
        <v>1003184</v>
      </c>
      <c r="M23" s="213">
        <f t="shared" si="5"/>
        <v>1003173</v>
      </c>
      <c r="N23" s="213">
        <f t="shared" si="5"/>
        <v>3784330</v>
      </c>
      <c r="O23" s="8"/>
      <c r="Q23" s="10"/>
      <c r="Z23" s="11"/>
      <c r="AC23" s="12"/>
      <c r="AD23" s="13"/>
    </row>
    <row r="24" spans="1:36" ht="21.95" customHeight="1" x14ac:dyDescent="0.2">
      <c r="A24" s="261" t="s">
        <v>36</v>
      </c>
      <c r="B24" s="261"/>
      <c r="C24" s="261"/>
      <c r="D24" s="261"/>
      <c r="E24" s="261"/>
      <c r="F24" s="261"/>
      <c r="G24" s="261"/>
      <c r="H24" s="261"/>
      <c r="I24" s="261"/>
      <c r="J24" s="213">
        <f>J13+J23</f>
        <v>1671469</v>
      </c>
      <c r="K24" s="213">
        <f t="shared" ref="K24:N24" si="6">K13+K23</f>
        <v>1924900</v>
      </c>
      <c r="L24" s="213">
        <f t="shared" si="6"/>
        <v>1917449</v>
      </c>
      <c r="M24" s="213">
        <f t="shared" si="6"/>
        <v>1917426</v>
      </c>
      <c r="N24" s="213">
        <f t="shared" si="6"/>
        <v>7431244</v>
      </c>
      <c r="O24" s="8"/>
      <c r="R24" s="14"/>
      <c r="Z24" s="15"/>
      <c r="AJ24" s="16"/>
    </row>
    <row r="25" spans="1:36" ht="21.95" customHeight="1" x14ac:dyDescent="0.2">
      <c r="A25" s="262" t="s">
        <v>37</v>
      </c>
      <c r="B25" s="262" t="s">
        <v>38</v>
      </c>
      <c r="C25" s="262" t="s">
        <v>17</v>
      </c>
      <c r="D25" s="262">
        <v>62000</v>
      </c>
      <c r="E25" s="262">
        <v>10003</v>
      </c>
      <c r="F25" s="6" t="s">
        <v>39</v>
      </c>
      <c r="G25" s="7" t="s">
        <v>19</v>
      </c>
      <c r="H25" s="6">
        <v>71200</v>
      </c>
      <c r="I25" s="6" t="s">
        <v>19</v>
      </c>
      <c r="J25" s="213">
        <f>global!J25+'4 RPA COs'!M25+'95 COs'!J29</f>
        <v>8984</v>
      </c>
      <c r="K25" s="213">
        <f>global!K25+'4 RPA COs'!N25+'95 COs'!K29</f>
        <v>8984</v>
      </c>
      <c r="L25" s="213">
        <f>global!L25+'4 RPA COs'!O25+'95 COs'!L29</f>
        <v>8984</v>
      </c>
      <c r="M25" s="213">
        <f>global!M25+'4 RPA COs'!P25+'95 COs'!M29</f>
        <v>8985</v>
      </c>
      <c r="N25" s="213">
        <f t="shared" ref="N25:N33" si="7">SUM(J25:M25)</f>
        <v>35937</v>
      </c>
      <c r="O25" s="8"/>
      <c r="P25" s="9"/>
    </row>
    <row r="26" spans="1:36" ht="21.95" customHeight="1" x14ac:dyDescent="0.2">
      <c r="A26" s="262"/>
      <c r="B26" s="262"/>
      <c r="C26" s="262"/>
      <c r="D26" s="262"/>
      <c r="E26" s="262"/>
      <c r="F26" s="6" t="s">
        <v>39</v>
      </c>
      <c r="G26" s="7" t="s">
        <v>20</v>
      </c>
      <c r="H26" s="6">
        <v>71300</v>
      </c>
      <c r="I26" s="6" t="s">
        <v>20</v>
      </c>
      <c r="J26" s="213">
        <f>global!J26+'4 RPA COs'!M26+'95 COs'!J30</f>
        <v>35562</v>
      </c>
      <c r="K26" s="213">
        <f>global!K26+'4 RPA COs'!N26+'95 COs'!K30</f>
        <v>36126</v>
      </c>
      <c r="L26" s="213">
        <f>global!L26+'4 RPA COs'!O26+'95 COs'!L30</f>
        <v>36108</v>
      </c>
      <c r="M26" s="213">
        <f>global!M26+'4 RPA COs'!P26+'95 COs'!M30</f>
        <v>36112</v>
      </c>
      <c r="N26" s="213">
        <f t="shared" si="7"/>
        <v>143908</v>
      </c>
      <c r="O26" s="8"/>
      <c r="P26" s="9"/>
    </row>
    <row r="27" spans="1:36" ht="21.95" customHeight="1" x14ac:dyDescent="0.2">
      <c r="A27" s="262"/>
      <c r="B27" s="262"/>
      <c r="C27" s="262"/>
      <c r="D27" s="262"/>
      <c r="E27" s="262"/>
      <c r="F27" s="6" t="s">
        <v>39</v>
      </c>
      <c r="G27" s="7" t="s">
        <v>21</v>
      </c>
      <c r="H27" s="6">
        <v>71400</v>
      </c>
      <c r="I27" s="6" t="s">
        <v>22</v>
      </c>
      <c r="J27" s="213">
        <f>global!J27+'4 RPA COs'!M27+'95 COs'!J31</f>
        <v>544728</v>
      </c>
      <c r="K27" s="213">
        <f>global!K27+'4 RPA COs'!N27+'95 COs'!K31</f>
        <v>553362</v>
      </c>
      <c r="L27" s="213">
        <f>global!L27+'4 RPA COs'!O27+'95 COs'!L31</f>
        <v>553107</v>
      </c>
      <c r="M27" s="213">
        <f>global!M27+'4 RPA COs'!P27+'95 COs'!M31</f>
        <v>553107</v>
      </c>
      <c r="N27" s="213">
        <f t="shared" si="7"/>
        <v>2204304</v>
      </c>
      <c r="O27" s="8"/>
      <c r="P27" s="9"/>
    </row>
    <row r="28" spans="1:36" ht="21.95" customHeight="1" x14ac:dyDescent="0.2">
      <c r="A28" s="262"/>
      <c r="B28" s="262"/>
      <c r="C28" s="262"/>
      <c r="D28" s="262"/>
      <c r="E28" s="262"/>
      <c r="F28" s="6" t="s">
        <v>39</v>
      </c>
      <c r="G28" s="7" t="s">
        <v>23</v>
      </c>
      <c r="H28" s="6">
        <v>71600</v>
      </c>
      <c r="I28" s="6" t="s">
        <v>23</v>
      </c>
      <c r="J28" s="213">
        <f>global!J28+'4 RPA COs'!M28+'95 COs'!J32</f>
        <v>1548</v>
      </c>
      <c r="K28" s="213">
        <f>global!K28+'4 RPA COs'!N28+'95 COs'!K32</f>
        <v>101408.89000000001</v>
      </c>
      <c r="L28" s="213">
        <f>global!L28+'4 RPA COs'!O28+'95 COs'!L32</f>
        <v>1953</v>
      </c>
      <c r="M28" s="213">
        <f>global!M28+'4 RPA COs'!P28+'95 COs'!M32</f>
        <v>1956.109999999986</v>
      </c>
      <c r="N28" s="213">
        <f t="shared" si="7"/>
        <v>106866</v>
      </c>
      <c r="O28" s="8"/>
      <c r="P28" s="9"/>
    </row>
    <row r="29" spans="1:36" ht="21.95" customHeight="1" x14ac:dyDescent="0.2">
      <c r="A29" s="262"/>
      <c r="B29" s="262"/>
      <c r="C29" s="262"/>
      <c r="D29" s="262"/>
      <c r="E29" s="262"/>
      <c r="F29" s="6" t="s">
        <v>39</v>
      </c>
      <c r="G29" s="6" t="s">
        <v>24</v>
      </c>
      <c r="H29" s="6">
        <v>72500</v>
      </c>
      <c r="I29" s="6" t="s">
        <v>25</v>
      </c>
      <c r="J29" s="213">
        <f>global!J29+'4 RPA COs'!M29+'95 COs'!J33</f>
        <v>2246</v>
      </c>
      <c r="K29" s="213">
        <f>global!K29+'4 RPA COs'!N29+'95 COs'!K33</f>
        <v>2282</v>
      </c>
      <c r="L29" s="213">
        <f>global!L29+'4 RPA COs'!O29+'95 COs'!L33</f>
        <v>2282</v>
      </c>
      <c r="M29" s="213">
        <f>global!M29+'4 RPA COs'!P29+'95 COs'!M33</f>
        <v>2277</v>
      </c>
      <c r="N29" s="213">
        <f t="shared" si="7"/>
        <v>9087</v>
      </c>
      <c r="O29" s="8"/>
      <c r="P29" s="9"/>
    </row>
    <row r="30" spans="1:36" ht="21.95" customHeight="1" x14ac:dyDescent="0.2">
      <c r="A30" s="262"/>
      <c r="B30" s="262"/>
      <c r="C30" s="262"/>
      <c r="D30" s="262"/>
      <c r="E30" s="262"/>
      <c r="F30" s="6" t="s">
        <v>39</v>
      </c>
      <c r="G30" s="7" t="s">
        <v>26</v>
      </c>
      <c r="H30" s="6">
        <v>75700</v>
      </c>
      <c r="I30" s="6" t="s">
        <v>27</v>
      </c>
      <c r="J30" s="213">
        <f>global!J30+'4 RPA COs'!M30+'95 COs'!J34</f>
        <v>11367</v>
      </c>
      <c r="K30" s="213">
        <f>global!K30+'4 RPA COs'!N30+'95 COs'!K34</f>
        <v>11547</v>
      </c>
      <c r="L30" s="213">
        <f>global!L30+'4 RPA COs'!O30+'95 COs'!L34</f>
        <v>11541</v>
      </c>
      <c r="M30" s="213">
        <f>global!M30+'4 RPA COs'!P30+'95 COs'!M34</f>
        <v>11542</v>
      </c>
      <c r="N30" s="213">
        <f t="shared" si="7"/>
        <v>45997</v>
      </c>
      <c r="O30" s="8"/>
      <c r="P30" s="9"/>
    </row>
    <row r="31" spans="1:36" ht="21.95" customHeight="1" x14ac:dyDescent="0.2">
      <c r="A31" s="262"/>
      <c r="B31" s="262"/>
      <c r="C31" s="262"/>
      <c r="D31" s="262"/>
      <c r="E31" s="262"/>
      <c r="F31" s="6" t="s">
        <v>39</v>
      </c>
      <c r="G31" s="7" t="s">
        <v>28</v>
      </c>
      <c r="H31" s="6">
        <v>61200</v>
      </c>
      <c r="I31" s="6" t="s">
        <v>29</v>
      </c>
      <c r="J31" s="213">
        <f>global!J31+'4 RPA COs'!M31+'95 COs'!J35</f>
        <v>73266</v>
      </c>
      <c r="K31" s="213">
        <f>global!K31+'4 RPA COs'!N31+'95 COs'!K35</f>
        <v>73266</v>
      </c>
      <c r="L31" s="213">
        <f>global!L31+'4 RPA COs'!O31+'95 COs'!L35</f>
        <v>73266</v>
      </c>
      <c r="M31" s="213">
        <f>global!M31+'4 RPA COs'!P31+'95 COs'!M35</f>
        <v>73267</v>
      </c>
      <c r="N31" s="213">
        <f t="shared" si="7"/>
        <v>293065</v>
      </c>
      <c r="O31" s="8"/>
      <c r="P31" s="9"/>
    </row>
    <row r="32" spans="1:36" ht="21.95" customHeight="1" x14ac:dyDescent="0.2">
      <c r="A32" s="262"/>
      <c r="B32" s="262"/>
      <c r="C32" s="262"/>
      <c r="D32" s="262"/>
      <c r="E32" s="262"/>
      <c r="F32" s="6" t="s">
        <v>39</v>
      </c>
      <c r="G32" s="7" t="s">
        <v>28</v>
      </c>
      <c r="H32" s="6">
        <v>61300</v>
      </c>
      <c r="I32" s="6" t="s">
        <v>30</v>
      </c>
      <c r="J32" s="213">
        <f>global!J32+'4 RPA COs'!M32+'95 COs'!J36</f>
        <v>133959</v>
      </c>
      <c r="K32" s="213">
        <f>global!K32+'4 RPA COs'!N32+'95 COs'!K36</f>
        <v>133959</v>
      </c>
      <c r="L32" s="213">
        <f>global!L32+'4 RPA COs'!O32+'95 COs'!L36</f>
        <v>133959</v>
      </c>
      <c r="M32" s="213">
        <f>global!M32+'4 RPA COs'!P32+'95 COs'!M36</f>
        <v>133959</v>
      </c>
      <c r="N32" s="213">
        <f t="shared" si="7"/>
        <v>535836</v>
      </c>
      <c r="O32" s="8"/>
      <c r="P32" s="9"/>
    </row>
    <row r="33" spans="1:36" s="2" customFormat="1" ht="21.95" customHeight="1" x14ac:dyDescent="0.2">
      <c r="A33" s="262"/>
      <c r="B33" s="262"/>
      <c r="C33" s="262"/>
      <c r="D33" s="262"/>
      <c r="E33" s="262"/>
      <c r="F33" s="6" t="s">
        <v>39</v>
      </c>
      <c r="G33" s="7" t="s">
        <v>40</v>
      </c>
      <c r="H33" s="6">
        <v>72600</v>
      </c>
      <c r="I33" s="6" t="s">
        <v>40</v>
      </c>
      <c r="J33" s="213">
        <f>global!J33+'4 RPA COs'!M33+'95 COs'!J37</f>
        <v>4339772.7099999981</v>
      </c>
      <c r="K33" s="213">
        <f>global!K33+'4 RPA COs'!N33+'95 COs'!K37</f>
        <v>18089998.839999992</v>
      </c>
      <c r="L33" s="213">
        <f>global!L33+'4 RPA COs'!O33+'95 COs'!L37</f>
        <v>15920112.484999992</v>
      </c>
      <c r="M33" s="213">
        <f>global!M33+'4 RPA COs'!P33+'95 COs'!M37</f>
        <v>6875115.7849999964</v>
      </c>
      <c r="N33" s="213">
        <f t="shared" si="7"/>
        <v>45224999.819999978</v>
      </c>
      <c r="O33" s="8"/>
      <c r="P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1" t="s">
        <v>31</v>
      </c>
      <c r="D34" s="261"/>
      <c r="E34" s="261"/>
      <c r="F34" s="261"/>
      <c r="G34" s="261"/>
      <c r="H34" s="261"/>
      <c r="I34" s="261"/>
      <c r="J34" s="213">
        <f>SUM(J25:J33)</f>
        <v>5151432.7099999981</v>
      </c>
      <c r="K34" s="213">
        <f t="shared" ref="K34:N34" si="8">SUM(K25:K33)</f>
        <v>19010933.729999993</v>
      </c>
      <c r="L34" s="213">
        <f t="shared" si="8"/>
        <v>16741312.484999992</v>
      </c>
      <c r="M34" s="213">
        <f t="shared" si="8"/>
        <v>7696320.8949999968</v>
      </c>
      <c r="N34" s="213">
        <f t="shared" si="8"/>
        <v>48599999.819999978</v>
      </c>
      <c r="O34" s="8"/>
      <c r="P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1" t="s">
        <v>41</v>
      </c>
      <c r="C35" s="261"/>
      <c r="D35" s="261"/>
      <c r="E35" s="261"/>
      <c r="F35" s="261"/>
      <c r="G35" s="261"/>
      <c r="H35" s="261"/>
      <c r="I35" s="261"/>
      <c r="J35" s="213">
        <f>J34</f>
        <v>5151432.7099999981</v>
      </c>
      <c r="K35" s="213">
        <f t="shared" ref="K35:N35" si="9">K34</f>
        <v>19010933.729999993</v>
      </c>
      <c r="L35" s="213">
        <f t="shared" si="9"/>
        <v>16741312.484999992</v>
      </c>
      <c r="M35" s="213">
        <f t="shared" si="9"/>
        <v>7696320.8949999968</v>
      </c>
      <c r="N35" s="213">
        <f t="shared" si="9"/>
        <v>48599999.819999978</v>
      </c>
      <c r="O35" s="8"/>
      <c r="P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t="s">
        <v>42</v>
      </c>
      <c r="C36" s="262" t="s">
        <v>17</v>
      </c>
      <c r="D36" s="262">
        <v>62000</v>
      </c>
      <c r="E36" s="262">
        <v>10003</v>
      </c>
      <c r="F36" s="6" t="s">
        <v>43</v>
      </c>
      <c r="G36" s="7" t="s">
        <v>19</v>
      </c>
      <c r="H36" s="6">
        <v>71200</v>
      </c>
      <c r="I36" s="6" t="s">
        <v>19</v>
      </c>
      <c r="J36" s="213">
        <f>global!J36+'4 RPA COs'!M36+'95 COs'!J40</f>
        <v>9323</v>
      </c>
      <c r="K36" s="213">
        <f>global!K36+'4 RPA COs'!N36+'95 COs'!K40</f>
        <v>9323</v>
      </c>
      <c r="L36" s="213">
        <f>global!L36+'4 RPA COs'!O36+'95 COs'!L40</f>
        <v>9323</v>
      </c>
      <c r="M36" s="213">
        <f>global!M36+'4 RPA COs'!P36+'95 COs'!M40</f>
        <v>9322</v>
      </c>
      <c r="N36" s="213">
        <f t="shared" ref="N36:N44" si="10">SUM(J36:M36)</f>
        <v>37291</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2"/>
      <c r="C37" s="262"/>
      <c r="D37" s="262"/>
      <c r="E37" s="262"/>
      <c r="F37" s="6" t="s">
        <v>43</v>
      </c>
      <c r="G37" s="7" t="s">
        <v>20</v>
      </c>
      <c r="H37" s="6">
        <v>71300</v>
      </c>
      <c r="I37" s="6" t="s">
        <v>20</v>
      </c>
      <c r="J37" s="213">
        <f>global!J37+'4 RPA COs'!M37+'95 COs'!J41</f>
        <v>26488</v>
      </c>
      <c r="K37" s="213">
        <f>global!K37+'4 RPA COs'!N37+'95 COs'!K41</f>
        <v>41238</v>
      </c>
      <c r="L37" s="213">
        <f>global!L37+'4 RPA COs'!O37+'95 COs'!L41</f>
        <v>40804</v>
      </c>
      <c r="M37" s="213">
        <f>global!M37+'4 RPA COs'!P37+'95 COs'!M41</f>
        <v>40801</v>
      </c>
      <c r="N37" s="213">
        <f t="shared" si="10"/>
        <v>149331</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c r="C38" s="262"/>
      <c r="D38" s="262"/>
      <c r="E38" s="262"/>
      <c r="F38" s="6" t="s">
        <v>43</v>
      </c>
      <c r="G38" s="7" t="s">
        <v>21</v>
      </c>
      <c r="H38" s="6">
        <v>71400</v>
      </c>
      <c r="I38" s="6" t="s">
        <v>22</v>
      </c>
      <c r="J38" s="213">
        <f>global!J38+'4 RPA COs'!M38+'95 COs'!J42</f>
        <v>433240</v>
      </c>
      <c r="K38" s="213">
        <f>global!K38+'4 RPA COs'!N38+'95 COs'!K42</f>
        <v>621737</v>
      </c>
      <c r="L38" s="213">
        <f>global!L38+'4 RPA COs'!O38+'95 COs'!L42</f>
        <v>616194</v>
      </c>
      <c r="M38" s="213">
        <f>global!M38+'4 RPA COs'!P38+'95 COs'!M42</f>
        <v>616191</v>
      </c>
      <c r="N38" s="213">
        <f t="shared" si="10"/>
        <v>2287362</v>
      </c>
      <c r="O38" s="8"/>
      <c r="P38" s="9"/>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43</v>
      </c>
      <c r="G39" s="7" t="s">
        <v>23</v>
      </c>
      <c r="H39" s="6">
        <v>71600</v>
      </c>
      <c r="I39" s="6" t="s">
        <v>23</v>
      </c>
      <c r="J39" s="213">
        <f>global!J39+'4 RPA COs'!M39+'95 COs'!J43</f>
        <v>3956</v>
      </c>
      <c r="K39" s="213">
        <f>global!K39+'4 RPA COs'!N39+'95 COs'!K43</f>
        <v>77763.640000000014</v>
      </c>
      <c r="L39" s="213">
        <f>global!L39+'4 RPA COs'!O39+'95 COs'!L43</f>
        <v>14587</v>
      </c>
      <c r="M39" s="213">
        <f>global!M39+'4 RPA COs'!P39+'95 COs'!M43</f>
        <v>14586.359999999993</v>
      </c>
      <c r="N39" s="213">
        <f t="shared" si="10"/>
        <v>110893</v>
      </c>
      <c r="O39" s="8"/>
      <c r="P39" s="214"/>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43</v>
      </c>
      <c r="G40" s="6" t="s">
        <v>24</v>
      </c>
      <c r="H40" s="6">
        <v>72500</v>
      </c>
      <c r="I40" s="6" t="s">
        <v>25</v>
      </c>
      <c r="J40" s="213">
        <f>global!J40+'4 RPA COs'!M40+'95 COs'!J44</f>
        <v>1672</v>
      </c>
      <c r="K40" s="213">
        <f>global!K40+'4 RPA COs'!N40+'95 COs'!K44</f>
        <v>2602</v>
      </c>
      <c r="L40" s="213">
        <f>global!L40+'4 RPA COs'!O40+'95 COs'!L44</f>
        <v>2576</v>
      </c>
      <c r="M40" s="213">
        <f>global!M40+'4 RPA COs'!P40+'95 COs'!M44</f>
        <v>2579</v>
      </c>
      <c r="N40" s="213">
        <f t="shared" si="10"/>
        <v>9429</v>
      </c>
      <c r="O40" s="8"/>
      <c r="P40" s="214"/>
      <c r="R40" s="1"/>
      <c r="S40" s="1"/>
      <c r="T40" s="1"/>
      <c r="U40" s="1"/>
      <c r="V40" s="1"/>
      <c r="W40" s="1"/>
      <c r="X40" s="1"/>
      <c r="Y40" s="1"/>
      <c r="Z40" s="1"/>
      <c r="AA40" s="1"/>
      <c r="AB40" s="1"/>
      <c r="AC40" s="1"/>
      <c r="AD40" s="1"/>
      <c r="AE40" s="1"/>
      <c r="AF40" s="1"/>
      <c r="AG40" s="1"/>
      <c r="AH40" s="1"/>
      <c r="AI40" s="1"/>
      <c r="AJ40" s="1"/>
    </row>
    <row r="41" spans="1:36" ht="21.95" customHeight="1" x14ac:dyDescent="0.2">
      <c r="A41" s="262"/>
      <c r="B41" s="262"/>
      <c r="C41" s="262"/>
      <c r="D41" s="262"/>
      <c r="E41" s="262"/>
      <c r="F41" s="6" t="s">
        <v>43</v>
      </c>
      <c r="G41" s="7" t="s">
        <v>26</v>
      </c>
      <c r="H41" s="6">
        <v>75700</v>
      </c>
      <c r="I41" s="6" t="s">
        <v>27</v>
      </c>
      <c r="J41" s="213">
        <f>global!J41+'4 RPA COs'!M41+'95 COs'!J45</f>
        <v>8466</v>
      </c>
      <c r="K41" s="213">
        <f>global!K41+'4 RPA COs'!N41+'95 COs'!K45</f>
        <v>13180</v>
      </c>
      <c r="L41" s="213">
        <f>global!L41+'4 RPA COs'!O41+'95 COs'!L45</f>
        <v>13042</v>
      </c>
      <c r="M41" s="213">
        <f>global!M41+'4 RPA COs'!P41+'95 COs'!M45</f>
        <v>13042</v>
      </c>
      <c r="N41" s="213">
        <f t="shared" si="10"/>
        <v>47730</v>
      </c>
      <c r="O41" s="8"/>
      <c r="P41" s="9"/>
    </row>
    <row r="42" spans="1:36" ht="21.95" customHeight="1" x14ac:dyDescent="0.2">
      <c r="A42" s="262"/>
      <c r="B42" s="262"/>
      <c r="C42" s="262"/>
      <c r="D42" s="262"/>
      <c r="E42" s="262"/>
      <c r="F42" s="6" t="s">
        <v>43</v>
      </c>
      <c r="G42" s="7" t="s">
        <v>28</v>
      </c>
      <c r="H42" s="6">
        <v>61200</v>
      </c>
      <c r="I42" s="6" t="s">
        <v>29</v>
      </c>
      <c r="J42" s="213">
        <f>global!J42+'4 RPA COs'!M42+'95 COs'!J46</f>
        <v>76027</v>
      </c>
      <c r="K42" s="213">
        <f>global!K42+'4 RPA COs'!N42+'95 COs'!K46</f>
        <v>76027</v>
      </c>
      <c r="L42" s="213">
        <f>global!L42+'4 RPA COs'!O42+'95 COs'!L46</f>
        <v>76027</v>
      </c>
      <c r="M42" s="213">
        <f>global!M42+'4 RPA COs'!P42+'95 COs'!M46</f>
        <v>76027</v>
      </c>
      <c r="N42" s="213">
        <f t="shared" si="10"/>
        <v>304108</v>
      </c>
      <c r="O42" s="8"/>
      <c r="P42" s="9"/>
    </row>
    <row r="43" spans="1:36" ht="21.95" customHeight="1" x14ac:dyDescent="0.2">
      <c r="A43" s="262"/>
      <c r="B43" s="262"/>
      <c r="C43" s="262"/>
      <c r="D43" s="262"/>
      <c r="E43" s="262"/>
      <c r="F43" s="6" t="s">
        <v>43</v>
      </c>
      <c r="G43" s="7" t="s">
        <v>28</v>
      </c>
      <c r="H43" s="6">
        <v>61300</v>
      </c>
      <c r="I43" s="6" t="s">
        <v>30</v>
      </c>
      <c r="J43" s="213">
        <f>global!J43+'4 RPA COs'!M43+'95 COs'!J47</f>
        <v>139007</v>
      </c>
      <c r="K43" s="213">
        <f>global!K43+'4 RPA COs'!N43+'95 COs'!K47</f>
        <v>139007</v>
      </c>
      <c r="L43" s="213">
        <f>global!L43+'4 RPA COs'!O43+'95 COs'!L47</f>
        <v>139007</v>
      </c>
      <c r="M43" s="213">
        <f>global!M43+'4 RPA COs'!P43+'95 COs'!M47</f>
        <v>139005.00999999791</v>
      </c>
      <c r="N43" s="213">
        <f t="shared" si="10"/>
        <v>556026.00999999791</v>
      </c>
      <c r="O43" s="8"/>
      <c r="P43" s="9"/>
    </row>
    <row r="44" spans="1:36" ht="21.95" customHeight="1" x14ac:dyDescent="0.2">
      <c r="A44" s="262"/>
      <c r="B44" s="262"/>
      <c r="C44" s="262"/>
      <c r="D44" s="262"/>
      <c r="E44" s="262"/>
      <c r="F44" s="6" t="s">
        <v>43</v>
      </c>
      <c r="G44" s="7" t="s">
        <v>40</v>
      </c>
      <c r="H44" s="6">
        <v>72600</v>
      </c>
      <c r="I44" s="6" t="s">
        <v>40</v>
      </c>
      <c r="J44" s="213">
        <f>global!J44+'4 RPA COs'!M44+'95 COs'!J48</f>
        <v>3659432.5989999999</v>
      </c>
      <c r="K44" s="213">
        <f>global!K44+'4 RPA COs'!N44+'95 COs'!K48</f>
        <v>18771630.395999998</v>
      </c>
      <c r="L44" s="213">
        <f>global!L44+'4 RPA COs'!O44+'95 COs'!L48</f>
        <v>16941914.096499998</v>
      </c>
      <c r="M44" s="213">
        <f>global!M44+'4 RPA COs'!P44+'95 COs'!M48</f>
        <v>7556098.8985000001</v>
      </c>
      <c r="N44" s="213">
        <f t="shared" si="10"/>
        <v>46929075.990000002</v>
      </c>
      <c r="O44" s="8"/>
      <c r="P44" s="9"/>
    </row>
    <row r="45" spans="1:36" ht="21.95" customHeight="1" x14ac:dyDescent="0.2">
      <c r="A45" s="262"/>
      <c r="B45" s="262"/>
      <c r="C45" s="263" t="s">
        <v>31</v>
      </c>
      <c r="D45" s="263"/>
      <c r="E45" s="263"/>
      <c r="F45" s="263"/>
      <c r="G45" s="263"/>
      <c r="H45" s="263"/>
      <c r="I45" s="263"/>
      <c r="J45" s="213">
        <f>SUM(J36:J44)</f>
        <v>4357611.5989999995</v>
      </c>
      <c r="K45" s="213">
        <f t="shared" ref="K45:N45" si="11">SUM(K36:K44)</f>
        <v>19752508.035999998</v>
      </c>
      <c r="L45" s="213">
        <f t="shared" si="11"/>
        <v>17853474.096499998</v>
      </c>
      <c r="M45" s="213">
        <f t="shared" si="11"/>
        <v>8467652.2684999984</v>
      </c>
      <c r="N45" s="213">
        <f t="shared" si="11"/>
        <v>50431246</v>
      </c>
      <c r="O45" s="8"/>
      <c r="P45" s="9"/>
    </row>
    <row r="46" spans="1:36" ht="21.95" customHeight="1" x14ac:dyDescent="0.2">
      <c r="A46" s="262"/>
      <c r="B46" s="263" t="s">
        <v>44</v>
      </c>
      <c r="C46" s="263"/>
      <c r="D46" s="263"/>
      <c r="E46" s="263"/>
      <c r="F46" s="263"/>
      <c r="G46" s="263"/>
      <c r="H46" s="263"/>
      <c r="I46" s="263"/>
      <c r="J46" s="213">
        <f>J45</f>
        <v>4357611.5989999995</v>
      </c>
      <c r="K46" s="213">
        <f t="shared" ref="K46:N46" si="12">K45</f>
        <v>19752508.035999998</v>
      </c>
      <c r="L46" s="213">
        <f t="shared" si="12"/>
        <v>17853474.096499998</v>
      </c>
      <c r="M46" s="213">
        <f t="shared" si="12"/>
        <v>8467652.2684999984</v>
      </c>
      <c r="N46" s="213">
        <f t="shared" si="12"/>
        <v>50431246</v>
      </c>
      <c r="O46" s="8"/>
      <c r="Q46" s="10"/>
      <c r="Z46" s="11"/>
      <c r="AC46" s="12"/>
      <c r="AD46" s="13"/>
    </row>
    <row r="47" spans="1:36" ht="21.95" customHeight="1" x14ac:dyDescent="0.2">
      <c r="A47" s="261" t="s">
        <v>45</v>
      </c>
      <c r="B47" s="261"/>
      <c r="C47" s="261"/>
      <c r="D47" s="261"/>
      <c r="E47" s="261"/>
      <c r="F47" s="261"/>
      <c r="G47" s="261"/>
      <c r="H47" s="261"/>
      <c r="I47" s="261"/>
      <c r="J47" s="213">
        <f>J35+J46</f>
        <v>9509044.3089999966</v>
      </c>
      <c r="K47" s="213">
        <f t="shared" ref="K47:N47" si="13">K35+K46</f>
        <v>38763441.765999988</v>
      </c>
      <c r="L47" s="213">
        <f t="shared" si="13"/>
        <v>34594786.581499994</v>
      </c>
      <c r="M47" s="213">
        <f t="shared" si="13"/>
        <v>16163973.163499996</v>
      </c>
      <c r="N47" s="213">
        <f t="shared" si="13"/>
        <v>99031245.819999978</v>
      </c>
      <c r="O47" s="8"/>
      <c r="R47" s="14"/>
      <c r="Z47" s="15"/>
      <c r="AJ47" s="16"/>
    </row>
    <row r="48" spans="1:36" s="2" customFormat="1" ht="21.95" customHeight="1" x14ac:dyDescent="0.2">
      <c r="A48" s="262" t="s">
        <v>46</v>
      </c>
      <c r="B48" s="262" t="s">
        <v>47</v>
      </c>
      <c r="C48" s="262" t="s">
        <v>17</v>
      </c>
      <c r="D48" s="262">
        <v>62000</v>
      </c>
      <c r="E48" s="262">
        <v>10003</v>
      </c>
      <c r="F48" s="6" t="s">
        <v>48</v>
      </c>
      <c r="G48" s="7" t="s">
        <v>19</v>
      </c>
      <c r="H48" s="6">
        <v>71200</v>
      </c>
      <c r="I48" s="6" t="s">
        <v>19</v>
      </c>
      <c r="J48" s="213">
        <f>global!J48+'4 RPA COs'!M48+'95 COs'!J52</f>
        <v>4976</v>
      </c>
      <c r="K48" s="213">
        <f>global!K48+'4 RPA COs'!N48+'95 COs'!K52</f>
        <v>4976</v>
      </c>
      <c r="L48" s="213">
        <f>global!L48+'4 RPA COs'!O48+'95 COs'!L52</f>
        <v>4976</v>
      </c>
      <c r="M48" s="213">
        <f>global!M48+'4 RPA COs'!P48+'95 COs'!M52</f>
        <v>4976</v>
      </c>
      <c r="N48" s="213">
        <f t="shared" ref="N48:N56" si="14">SUM(J48:M48)</f>
        <v>19904</v>
      </c>
      <c r="O48" s="8"/>
      <c r="P48" s="9"/>
      <c r="R48" s="1"/>
      <c r="S48" s="1"/>
      <c r="T48" s="1"/>
      <c r="U48" s="1"/>
      <c r="V48" s="1"/>
      <c r="W48" s="1"/>
      <c r="X48" s="1"/>
      <c r="Y48" s="1"/>
      <c r="Z48" s="1"/>
      <c r="AA48" s="1"/>
      <c r="AB48" s="1"/>
      <c r="AC48" s="1"/>
      <c r="AD48" s="1"/>
      <c r="AE48" s="1"/>
      <c r="AF48" s="1"/>
      <c r="AG48" s="1"/>
      <c r="AH48" s="1"/>
      <c r="AI48" s="1"/>
      <c r="AJ48" s="1"/>
    </row>
    <row r="49" spans="1:36" s="2" customFormat="1" ht="21.95" customHeight="1" x14ac:dyDescent="0.2">
      <c r="A49" s="262"/>
      <c r="B49" s="262"/>
      <c r="C49" s="262"/>
      <c r="D49" s="262"/>
      <c r="E49" s="262"/>
      <c r="F49" s="6" t="s">
        <v>48</v>
      </c>
      <c r="G49" s="7" t="s">
        <v>20</v>
      </c>
      <c r="H49" s="6">
        <v>71300</v>
      </c>
      <c r="I49" s="6" t="s">
        <v>20</v>
      </c>
      <c r="J49" s="213">
        <f>global!J49+'4 RPA COs'!M49+'95 COs'!J53</f>
        <v>19696</v>
      </c>
      <c r="K49" s="213">
        <f>global!K49+'4 RPA COs'!N49+'95 COs'!K53</f>
        <v>20008</v>
      </c>
      <c r="L49" s="213">
        <f>global!L49+'4 RPA COs'!O49+'95 COs'!L53</f>
        <v>19999</v>
      </c>
      <c r="M49" s="213">
        <f>global!M49+'4 RPA COs'!P49+'95 COs'!M53</f>
        <v>20000</v>
      </c>
      <c r="N49" s="213">
        <f t="shared" si="14"/>
        <v>79703</v>
      </c>
      <c r="O49" s="8"/>
      <c r="P49" s="9"/>
      <c r="R49" s="1"/>
      <c r="S49" s="1"/>
      <c r="T49" s="1"/>
      <c r="U49" s="1"/>
      <c r="V49" s="1"/>
      <c r="W49" s="1"/>
      <c r="X49" s="1"/>
      <c r="Y49" s="1"/>
      <c r="Z49" s="1"/>
      <c r="AA49" s="1"/>
      <c r="AB49" s="1"/>
      <c r="AC49" s="1"/>
      <c r="AD49" s="1"/>
      <c r="AE49" s="1"/>
      <c r="AF49" s="1"/>
      <c r="AG49" s="1"/>
      <c r="AH49" s="1"/>
      <c r="AI49" s="1"/>
      <c r="AJ49" s="1"/>
    </row>
    <row r="50" spans="1:36" s="2" customFormat="1" ht="21.95" customHeight="1" x14ac:dyDescent="0.2">
      <c r="A50" s="262"/>
      <c r="B50" s="262"/>
      <c r="C50" s="262"/>
      <c r="D50" s="262"/>
      <c r="E50" s="262"/>
      <c r="F50" s="6" t="s">
        <v>48</v>
      </c>
      <c r="G50" s="7" t="s">
        <v>21</v>
      </c>
      <c r="H50" s="6">
        <v>71400</v>
      </c>
      <c r="I50" s="6" t="s">
        <v>22</v>
      </c>
      <c r="J50" s="213">
        <f>global!J50+'4 RPA COs'!M50+'95 COs'!J54</f>
        <v>296609</v>
      </c>
      <c r="K50" s="213">
        <f>global!K50+'4 RPA COs'!N50+'95 COs'!K54</f>
        <v>301310</v>
      </c>
      <c r="L50" s="213">
        <f>global!L50+'4 RPA COs'!O50+'95 COs'!L54</f>
        <v>301172</v>
      </c>
      <c r="M50" s="213">
        <f>global!M50+'4 RPA COs'!P50+'95 COs'!M54</f>
        <v>301172</v>
      </c>
      <c r="N50" s="213">
        <f t="shared" si="14"/>
        <v>1200263</v>
      </c>
      <c r="O50" s="8"/>
      <c r="P50" s="9"/>
      <c r="R50" s="1"/>
      <c r="S50" s="1"/>
      <c r="T50" s="1"/>
      <c r="U50" s="1"/>
      <c r="V50" s="1"/>
      <c r="W50" s="1"/>
      <c r="X50" s="1"/>
      <c r="Y50" s="1"/>
      <c r="Z50" s="1"/>
      <c r="AA50" s="1"/>
      <c r="AB50" s="1"/>
      <c r="AC50" s="1"/>
      <c r="AD50" s="1"/>
      <c r="AE50" s="1"/>
      <c r="AF50" s="1"/>
      <c r="AG50" s="1"/>
      <c r="AH50" s="1"/>
      <c r="AI50" s="1"/>
      <c r="AJ50" s="1"/>
    </row>
    <row r="51" spans="1:36" s="2" customFormat="1" ht="21.95" customHeight="1" x14ac:dyDescent="0.2">
      <c r="A51" s="262"/>
      <c r="B51" s="262"/>
      <c r="C51" s="262"/>
      <c r="D51" s="262"/>
      <c r="E51" s="262"/>
      <c r="F51" s="6" t="s">
        <v>48</v>
      </c>
      <c r="G51" s="7" t="s">
        <v>23</v>
      </c>
      <c r="H51" s="6">
        <v>71600</v>
      </c>
      <c r="I51" s="6" t="s">
        <v>23</v>
      </c>
      <c r="J51" s="213">
        <f>global!J51+'4 RPA COs'!M51+'95 COs'!J55</f>
        <v>2474</v>
      </c>
      <c r="K51" s="213">
        <f>global!K51+'4 RPA COs'!N51+'95 COs'!K55</f>
        <v>221129.88000000006</v>
      </c>
      <c r="L51" s="213">
        <f>global!L51+'4 RPA COs'!O51+'95 COs'!L55</f>
        <v>3350</v>
      </c>
      <c r="M51" s="213">
        <f>global!M51+'4 RPA COs'!P51+'95 COs'!M55</f>
        <v>3346.1199999999371</v>
      </c>
      <c r="N51" s="213">
        <f t="shared" si="14"/>
        <v>230300</v>
      </c>
      <c r="O51" s="8"/>
      <c r="P51" s="9"/>
      <c r="R51" s="1"/>
      <c r="S51" s="1"/>
      <c r="T51" s="1"/>
      <c r="U51" s="1"/>
      <c r="V51" s="1"/>
      <c r="W51" s="1"/>
      <c r="X51" s="1"/>
      <c r="Y51" s="1"/>
      <c r="Z51" s="1"/>
      <c r="AA51" s="1"/>
      <c r="AB51" s="1"/>
      <c r="AC51" s="1"/>
      <c r="AD51" s="1"/>
      <c r="AE51" s="1"/>
      <c r="AF51" s="1"/>
      <c r="AG51" s="1"/>
      <c r="AH51" s="1"/>
      <c r="AI51" s="1"/>
      <c r="AJ51" s="1"/>
    </row>
    <row r="52" spans="1:36" s="2" customFormat="1" ht="21.95" customHeight="1" x14ac:dyDescent="0.2">
      <c r="A52" s="262"/>
      <c r="B52" s="262"/>
      <c r="C52" s="262"/>
      <c r="D52" s="262"/>
      <c r="E52" s="262"/>
      <c r="F52" s="6" t="s">
        <v>48</v>
      </c>
      <c r="G52" s="7" t="s">
        <v>24</v>
      </c>
      <c r="H52" s="6">
        <v>72500</v>
      </c>
      <c r="I52" s="6" t="s">
        <v>25</v>
      </c>
      <c r="J52" s="213">
        <f>global!J52+'4 RPA COs'!M52+'95 COs'!J56</f>
        <v>1244</v>
      </c>
      <c r="K52" s="213">
        <f>global!K52+'4 RPA COs'!N52+'95 COs'!K56</f>
        <v>1262</v>
      </c>
      <c r="L52" s="213">
        <f>global!L52+'4 RPA COs'!O52+'95 COs'!L56</f>
        <v>1262</v>
      </c>
      <c r="M52" s="213">
        <f>global!M52+'4 RPA COs'!P52+'95 COs'!M56</f>
        <v>1265</v>
      </c>
      <c r="N52" s="213">
        <f t="shared" si="14"/>
        <v>5033</v>
      </c>
      <c r="O52" s="8"/>
      <c r="P52" s="9"/>
      <c r="R52" s="1"/>
      <c r="S52" s="1"/>
      <c r="T52" s="1"/>
      <c r="U52" s="1"/>
      <c r="V52" s="1"/>
      <c r="W52" s="1"/>
      <c r="X52" s="1"/>
      <c r="Y52" s="1"/>
      <c r="Z52" s="1"/>
      <c r="AA52" s="1"/>
      <c r="AB52" s="1"/>
      <c r="AC52" s="1"/>
      <c r="AD52" s="1"/>
      <c r="AE52" s="1"/>
      <c r="AF52" s="1"/>
      <c r="AG52" s="1"/>
      <c r="AH52" s="1"/>
      <c r="AI52" s="1"/>
      <c r="AJ52" s="1"/>
    </row>
    <row r="53" spans="1:36" s="2" customFormat="1" ht="21.95" customHeight="1" x14ac:dyDescent="0.2">
      <c r="A53" s="262"/>
      <c r="B53" s="262"/>
      <c r="C53" s="262"/>
      <c r="D53" s="262"/>
      <c r="E53" s="262"/>
      <c r="F53" s="6" t="s">
        <v>48</v>
      </c>
      <c r="G53" s="7" t="s">
        <v>23</v>
      </c>
      <c r="H53" s="6">
        <v>74500</v>
      </c>
      <c r="I53" s="6" t="s">
        <v>49</v>
      </c>
      <c r="J53" s="213">
        <f>global!J53+'4 RPA COs'!M53+'95 COs'!J57</f>
        <v>1295</v>
      </c>
      <c r="K53" s="213">
        <f>global!K53+'4 RPA COs'!N53+'95 COs'!K57</f>
        <v>1316</v>
      </c>
      <c r="L53" s="213">
        <f>global!L53+'4 RPA COs'!O53+'95 COs'!L57</f>
        <v>1316</v>
      </c>
      <c r="M53" s="213">
        <f>global!M53+'4 RPA COs'!P53+'95 COs'!M57</f>
        <v>1312</v>
      </c>
      <c r="N53" s="213">
        <f t="shared" si="14"/>
        <v>5239</v>
      </c>
      <c r="O53" s="8"/>
      <c r="P53" s="9"/>
      <c r="R53" s="1"/>
      <c r="S53" s="1"/>
      <c r="T53" s="1"/>
      <c r="U53" s="1"/>
      <c r="V53" s="1"/>
      <c r="W53" s="1"/>
      <c r="X53" s="1"/>
      <c r="Y53" s="1"/>
      <c r="Z53" s="1"/>
      <c r="AA53" s="1"/>
      <c r="AB53" s="1"/>
      <c r="AC53" s="1"/>
      <c r="AD53" s="1"/>
      <c r="AE53" s="1"/>
      <c r="AF53" s="1"/>
      <c r="AG53" s="1"/>
      <c r="AH53" s="1"/>
      <c r="AI53" s="1"/>
      <c r="AJ53" s="1"/>
    </row>
    <row r="54" spans="1:36" s="2" customFormat="1" ht="21.95" customHeight="1" x14ac:dyDescent="0.2">
      <c r="A54" s="262"/>
      <c r="B54" s="262"/>
      <c r="C54" s="262"/>
      <c r="D54" s="262"/>
      <c r="E54" s="262"/>
      <c r="F54" s="6" t="s">
        <v>48</v>
      </c>
      <c r="G54" s="7" t="s">
        <v>26</v>
      </c>
      <c r="H54" s="6">
        <v>75700</v>
      </c>
      <c r="I54" s="6" t="s">
        <v>27</v>
      </c>
      <c r="J54" s="213">
        <f>global!J54+'4 RPA COs'!M54+'95 COs'!J58</f>
        <v>6295</v>
      </c>
      <c r="K54" s="213">
        <f>global!K54+'4 RPA COs'!N54+'95 COs'!K58</f>
        <v>6394</v>
      </c>
      <c r="L54" s="213">
        <f>global!L54+'4 RPA COs'!O54+'95 COs'!L58</f>
        <v>6391</v>
      </c>
      <c r="M54" s="213">
        <f>global!M54+'4 RPA COs'!P54+'95 COs'!M58</f>
        <v>6395</v>
      </c>
      <c r="N54" s="213">
        <f t="shared" si="14"/>
        <v>25475</v>
      </c>
      <c r="O54" s="8"/>
      <c r="P54" s="9"/>
      <c r="R54" s="1"/>
      <c r="S54" s="1"/>
      <c r="T54" s="1"/>
      <c r="U54" s="1"/>
      <c r="V54" s="1"/>
      <c r="W54" s="1"/>
      <c r="X54" s="1"/>
      <c r="Y54" s="1"/>
      <c r="Z54" s="1"/>
      <c r="AA54" s="1"/>
      <c r="AB54" s="1"/>
      <c r="AC54" s="1"/>
      <c r="AD54" s="1"/>
      <c r="AE54" s="1"/>
      <c r="AF54" s="1"/>
      <c r="AG54" s="1"/>
      <c r="AH54" s="1"/>
      <c r="AI54" s="1"/>
      <c r="AJ54" s="1"/>
    </row>
    <row r="55" spans="1:36" s="2" customFormat="1" ht="21.95" customHeight="1" x14ac:dyDescent="0.2">
      <c r="A55" s="262"/>
      <c r="B55" s="262"/>
      <c r="C55" s="262"/>
      <c r="D55" s="262"/>
      <c r="E55" s="262"/>
      <c r="F55" s="6" t="s">
        <v>48</v>
      </c>
      <c r="G55" s="7" t="s">
        <v>28</v>
      </c>
      <c r="H55" s="6">
        <v>61200</v>
      </c>
      <c r="I55" s="6" t="s">
        <v>29</v>
      </c>
      <c r="J55" s="213">
        <f>global!J55+'4 RPA COs'!M55+'95 COs'!J59</f>
        <v>40578</v>
      </c>
      <c r="K55" s="213">
        <f>global!K55+'4 RPA COs'!N55+'95 COs'!K59</f>
        <v>40578</v>
      </c>
      <c r="L55" s="213">
        <f>global!L55+'4 RPA COs'!O55+'95 COs'!L59</f>
        <v>40578</v>
      </c>
      <c r="M55" s="213">
        <f>global!M55+'4 RPA COs'!P55+'95 COs'!M59</f>
        <v>40578</v>
      </c>
      <c r="N55" s="213">
        <f t="shared" si="14"/>
        <v>162312</v>
      </c>
      <c r="O55" s="8"/>
      <c r="P55" s="9"/>
      <c r="R55" s="1"/>
      <c r="S55" s="1"/>
      <c r="T55" s="1"/>
      <c r="U55" s="1"/>
      <c r="V55" s="1"/>
      <c r="W55" s="1"/>
      <c r="X55" s="1"/>
      <c r="Y55" s="1"/>
      <c r="Z55" s="1"/>
      <c r="AA55" s="1"/>
      <c r="AB55" s="1"/>
      <c r="AC55" s="1"/>
      <c r="AD55" s="1"/>
      <c r="AE55" s="1"/>
      <c r="AF55" s="1"/>
      <c r="AG55" s="1"/>
      <c r="AH55" s="1"/>
      <c r="AI55" s="1"/>
      <c r="AJ55" s="1"/>
    </row>
    <row r="56" spans="1:36" s="2" customFormat="1" ht="21.95" customHeight="1" x14ac:dyDescent="0.2">
      <c r="A56" s="262"/>
      <c r="B56" s="262"/>
      <c r="C56" s="262"/>
      <c r="D56" s="262"/>
      <c r="E56" s="262"/>
      <c r="F56" s="6" t="s">
        <v>48</v>
      </c>
      <c r="G56" s="7" t="s">
        <v>28</v>
      </c>
      <c r="H56" s="6">
        <v>61300</v>
      </c>
      <c r="I56" s="6" t="s">
        <v>30</v>
      </c>
      <c r="J56" s="213">
        <f>global!J56+'4 RPA COs'!M56+'95 COs'!J60</f>
        <v>74193</v>
      </c>
      <c r="K56" s="213">
        <f>global!K56+'4 RPA COs'!N56+'95 COs'!K60</f>
        <v>74193</v>
      </c>
      <c r="L56" s="213">
        <f>global!L56+'4 RPA COs'!O56+'95 COs'!L60</f>
        <v>74193</v>
      </c>
      <c r="M56" s="213">
        <f>global!M56+'4 RPA COs'!P56+'95 COs'!M60</f>
        <v>74192</v>
      </c>
      <c r="N56" s="213">
        <f t="shared" si="14"/>
        <v>296771</v>
      </c>
      <c r="O56" s="8"/>
      <c r="P56" s="9"/>
      <c r="R56" s="1"/>
      <c r="S56" s="1"/>
      <c r="T56" s="1"/>
      <c r="U56" s="1"/>
      <c r="V56" s="1"/>
      <c r="W56" s="1"/>
      <c r="X56" s="1"/>
      <c r="Y56" s="1"/>
      <c r="Z56" s="1"/>
      <c r="AA56" s="1"/>
      <c r="AB56" s="1"/>
      <c r="AC56" s="1"/>
      <c r="AD56" s="1"/>
      <c r="AE56" s="1"/>
      <c r="AF56" s="1"/>
      <c r="AG56" s="1"/>
      <c r="AH56" s="1"/>
      <c r="AI56" s="1"/>
      <c r="AJ56" s="1"/>
    </row>
    <row r="57" spans="1:36" s="2" customFormat="1" ht="21.95" customHeight="1" x14ac:dyDescent="0.2">
      <c r="A57" s="262"/>
      <c r="B57" s="262"/>
      <c r="C57" s="261" t="s">
        <v>31</v>
      </c>
      <c r="D57" s="261"/>
      <c r="E57" s="261"/>
      <c r="F57" s="261"/>
      <c r="G57" s="261"/>
      <c r="H57" s="261"/>
      <c r="I57" s="261"/>
      <c r="J57" s="213">
        <f>SUM(J48:J56)</f>
        <v>447360</v>
      </c>
      <c r="K57" s="213">
        <f t="shared" ref="K57:N57" si="15">SUM(K48:K56)</f>
        <v>671166.88000000012</v>
      </c>
      <c r="L57" s="213">
        <f t="shared" si="15"/>
        <v>453237</v>
      </c>
      <c r="M57" s="213">
        <f t="shared" si="15"/>
        <v>453236.11999999994</v>
      </c>
      <c r="N57" s="213">
        <f t="shared" si="15"/>
        <v>2025000</v>
      </c>
      <c r="O57" s="8"/>
      <c r="P57" s="9"/>
      <c r="R57" s="1"/>
      <c r="S57" s="1"/>
      <c r="T57" s="1"/>
      <c r="U57" s="1"/>
      <c r="V57" s="1"/>
      <c r="W57" s="1"/>
      <c r="X57" s="1"/>
      <c r="Y57" s="1"/>
      <c r="Z57" s="1"/>
      <c r="AA57" s="1"/>
      <c r="AB57" s="1"/>
      <c r="AC57" s="1"/>
      <c r="AD57" s="1"/>
      <c r="AE57" s="1"/>
      <c r="AF57" s="1"/>
      <c r="AG57" s="1"/>
      <c r="AH57" s="1"/>
      <c r="AI57" s="1"/>
      <c r="AJ57" s="1"/>
    </row>
    <row r="58" spans="1:36" s="2" customFormat="1" ht="21.95" customHeight="1" x14ac:dyDescent="0.2">
      <c r="A58" s="262"/>
      <c r="B58" s="261" t="s">
        <v>50</v>
      </c>
      <c r="C58" s="261"/>
      <c r="D58" s="261"/>
      <c r="E58" s="261"/>
      <c r="F58" s="261"/>
      <c r="G58" s="261"/>
      <c r="H58" s="261"/>
      <c r="I58" s="261"/>
      <c r="J58" s="213">
        <f>J57</f>
        <v>447360</v>
      </c>
      <c r="K58" s="213">
        <f t="shared" ref="K58:N58" si="16">K57</f>
        <v>671166.88000000012</v>
      </c>
      <c r="L58" s="213">
        <f t="shared" si="16"/>
        <v>453237</v>
      </c>
      <c r="M58" s="213">
        <f t="shared" si="16"/>
        <v>453236.11999999994</v>
      </c>
      <c r="N58" s="213">
        <f t="shared" si="16"/>
        <v>2025000</v>
      </c>
      <c r="O58" s="8"/>
      <c r="P58" s="9"/>
      <c r="R58" s="1"/>
      <c r="S58" s="1"/>
      <c r="T58" s="1"/>
      <c r="U58" s="1"/>
      <c r="V58" s="1"/>
      <c r="W58" s="1"/>
      <c r="X58" s="1"/>
      <c r="Y58" s="1"/>
      <c r="Z58" s="1"/>
      <c r="AA58" s="1"/>
      <c r="AB58" s="1"/>
      <c r="AC58" s="1"/>
      <c r="AD58" s="1"/>
      <c r="AE58" s="1"/>
      <c r="AF58" s="1"/>
      <c r="AG58" s="1"/>
      <c r="AH58" s="1"/>
      <c r="AI58" s="1"/>
      <c r="AJ58" s="1"/>
    </row>
    <row r="59" spans="1:36" s="2" customFormat="1" ht="21.95" customHeight="1" x14ac:dyDescent="0.2">
      <c r="A59" s="262"/>
      <c r="B59" s="262" t="s">
        <v>51</v>
      </c>
      <c r="C59" s="262" t="s">
        <v>17</v>
      </c>
      <c r="D59" s="262">
        <v>62000</v>
      </c>
      <c r="E59" s="262">
        <v>10003</v>
      </c>
      <c r="F59" s="6" t="s">
        <v>52</v>
      </c>
      <c r="G59" s="7" t="s">
        <v>19</v>
      </c>
      <c r="H59" s="6">
        <v>71200</v>
      </c>
      <c r="I59" s="6" t="s">
        <v>19</v>
      </c>
      <c r="J59" s="213">
        <f>global!J59+'4 RPA COs'!M59+'95 COs'!J63</f>
        <v>5164</v>
      </c>
      <c r="K59" s="213">
        <f>global!K59+'4 RPA COs'!N59+'95 COs'!K63</f>
        <v>5164</v>
      </c>
      <c r="L59" s="213">
        <f>global!L59+'4 RPA COs'!O59+'95 COs'!L63</f>
        <v>5164</v>
      </c>
      <c r="M59" s="213">
        <f>global!M59+'4 RPA COs'!P59+'95 COs'!M63</f>
        <v>5163</v>
      </c>
      <c r="N59" s="213">
        <f t="shared" ref="N59:N67" si="17">SUM(J59:M59)</f>
        <v>20655</v>
      </c>
      <c r="O59" s="8"/>
      <c r="P59" s="9"/>
      <c r="R59" s="1"/>
      <c r="S59" s="1"/>
      <c r="T59" s="1"/>
      <c r="U59" s="1"/>
      <c r="V59" s="1"/>
      <c r="W59" s="1"/>
      <c r="X59" s="1"/>
      <c r="Y59" s="1"/>
      <c r="Z59" s="1"/>
      <c r="AA59" s="1"/>
      <c r="AB59" s="1"/>
      <c r="AC59" s="1"/>
      <c r="AD59" s="1"/>
      <c r="AE59" s="1"/>
      <c r="AF59" s="1"/>
      <c r="AG59" s="1"/>
      <c r="AH59" s="1"/>
      <c r="AI59" s="1"/>
      <c r="AJ59" s="1"/>
    </row>
    <row r="60" spans="1:36" s="2" customFormat="1" ht="21.95" customHeight="1" x14ac:dyDescent="0.2">
      <c r="A60" s="262"/>
      <c r="B60" s="262"/>
      <c r="C60" s="262"/>
      <c r="D60" s="262"/>
      <c r="E60" s="262"/>
      <c r="F60" s="6" t="s">
        <v>52</v>
      </c>
      <c r="G60" s="7" t="s">
        <v>20</v>
      </c>
      <c r="H60" s="6">
        <v>71300</v>
      </c>
      <c r="I60" s="6" t="s">
        <v>20</v>
      </c>
      <c r="J60" s="213">
        <f>global!J60+'4 RPA COs'!M60+'95 COs'!J64</f>
        <v>14670</v>
      </c>
      <c r="K60" s="213">
        <f>global!K60+'4 RPA COs'!N60+'95 COs'!K64</f>
        <v>22839</v>
      </c>
      <c r="L60" s="213">
        <f>global!L60+'4 RPA COs'!O60+'95 COs'!L64</f>
        <v>22598</v>
      </c>
      <c r="M60" s="213">
        <f>global!M60+'4 RPA COs'!P60+'95 COs'!M64</f>
        <v>22599</v>
      </c>
      <c r="N60" s="213">
        <f t="shared" si="17"/>
        <v>82706</v>
      </c>
      <c r="O60" s="8"/>
      <c r="P60" s="9"/>
      <c r="R60" s="1"/>
      <c r="S60" s="1"/>
      <c r="T60" s="1"/>
      <c r="U60" s="1"/>
      <c r="V60" s="1"/>
      <c r="W60" s="1"/>
      <c r="X60" s="1"/>
      <c r="Y60" s="1"/>
      <c r="Z60" s="1"/>
      <c r="AA60" s="1"/>
      <c r="AB60" s="1"/>
      <c r="AC60" s="1"/>
      <c r="AD60" s="1"/>
      <c r="AE60" s="1"/>
      <c r="AF60" s="1"/>
      <c r="AG60" s="1"/>
      <c r="AH60" s="1"/>
      <c r="AI60" s="1"/>
      <c r="AJ60" s="1"/>
    </row>
    <row r="61" spans="1:36" s="2" customFormat="1" ht="21.95" customHeight="1" x14ac:dyDescent="0.2">
      <c r="A61" s="262"/>
      <c r="B61" s="262"/>
      <c r="C61" s="262"/>
      <c r="D61" s="262"/>
      <c r="E61" s="262"/>
      <c r="F61" s="6" t="s">
        <v>52</v>
      </c>
      <c r="G61" s="7" t="s">
        <v>21</v>
      </c>
      <c r="H61" s="6">
        <v>71400</v>
      </c>
      <c r="I61" s="6" t="s">
        <v>22</v>
      </c>
      <c r="J61" s="213">
        <f>global!J61+'4 RPA COs'!M61+'95 COs'!J65</f>
        <v>235903</v>
      </c>
      <c r="K61" s="213">
        <f>global!K61+'4 RPA COs'!N61+'95 COs'!K65</f>
        <v>338540</v>
      </c>
      <c r="L61" s="213">
        <f>global!L61+'4 RPA COs'!O61+'95 COs'!L65</f>
        <v>335523</v>
      </c>
      <c r="M61" s="213">
        <f>global!M61+'4 RPA COs'!P61+'95 COs'!M65</f>
        <v>335523</v>
      </c>
      <c r="N61" s="213">
        <f t="shared" si="17"/>
        <v>1245489</v>
      </c>
      <c r="O61" s="8"/>
      <c r="P61" s="9"/>
      <c r="R61" s="1"/>
      <c r="S61" s="1"/>
      <c r="T61" s="1"/>
      <c r="U61" s="1"/>
      <c r="V61" s="1"/>
      <c r="W61" s="1"/>
      <c r="X61" s="1"/>
      <c r="Y61" s="1"/>
      <c r="Z61" s="1"/>
      <c r="AA61" s="1"/>
      <c r="AB61" s="1"/>
      <c r="AC61" s="1"/>
      <c r="AD61" s="1"/>
      <c r="AE61" s="1"/>
      <c r="AF61" s="1"/>
      <c r="AG61" s="1"/>
      <c r="AH61" s="1"/>
      <c r="AI61" s="1"/>
      <c r="AJ61" s="1"/>
    </row>
    <row r="62" spans="1:36" s="2" customFormat="1" ht="21.95" customHeight="1" x14ac:dyDescent="0.2">
      <c r="A62" s="262"/>
      <c r="B62" s="262"/>
      <c r="C62" s="262"/>
      <c r="D62" s="262"/>
      <c r="E62" s="262"/>
      <c r="F62" s="6" t="s">
        <v>52</v>
      </c>
      <c r="G62" s="7" t="s">
        <v>23</v>
      </c>
      <c r="H62" s="6">
        <v>71600</v>
      </c>
      <c r="I62" s="6" t="s">
        <v>23</v>
      </c>
      <c r="J62" s="213">
        <f>global!J62+'4 RPA COs'!M62+'95 COs'!J66</f>
        <v>9379</v>
      </c>
      <c r="K62" s="213">
        <f>global!K62+'4 RPA COs'!N62+'95 COs'!K66</f>
        <v>165021.74000000002</v>
      </c>
      <c r="L62" s="213">
        <f>global!L62+'4 RPA COs'!O62+'95 COs'!L66</f>
        <v>32288</v>
      </c>
      <c r="M62" s="213">
        <f>global!M62+'4 RPA COs'!P62+'95 COs'!M66</f>
        <v>32289.25999999998</v>
      </c>
      <c r="N62" s="213">
        <f t="shared" si="17"/>
        <v>238978</v>
      </c>
      <c r="O62" s="8"/>
      <c r="P62" s="9"/>
      <c r="R62" s="1"/>
      <c r="S62" s="1"/>
      <c r="T62" s="1"/>
      <c r="U62" s="1"/>
      <c r="V62" s="1"/>
      <c r="W62" s="1"/>
      <c r="X62" s="1"/>
      <c r="Y62" s="1"/>
      <c r="Z62" s="1"/>
      <c r="AA62" s="1"/>
      <c r="AB62" s="1"/>
      <c r="AC62" s="1"/>
      <c r="AD62" s="1"/>
      <c r="AE62" s="1"/>
      <c r="AF62" s="1"/>
      <c r="AG62" s="1"/>
      <c r="AH62" s="1"/>
      <c r="AI62" s="1"/>
      <c r="AJ62" s="1"/>
    </row>
    <row r="63" spans="1:36" s="2" customFormat="1" ht="21.95" customHeight="1" x14ac:dyDescent="0.2">
      <c r="A63" s="262"/>
      <c r="B63" s="262"/>
      <c r="C63" s="262"/>
      <c r="D63" s="262"/>
      <c r="E63" s="262"/>
      <c r="F63" s="6" t="s">
        <v>52</v>
      </c>
      <c r="G63" s="7" t="s">
        <v>24</v>
      </c>
      <c r="H63" s="6">
        <v>72500</v>
      </c>
      <c r="I63" s="6" t="s">
        <v>25</v>
      </c>
      <c r="J63" s="213">
        <f>global!J63+'4 RPA COs'!M63+'95 COs'!J67</f>
        <v>927</v>
      </c>
      <c r="K63" s="213">
        <f>global!K63+'4 RPA COs'!N63+'95 COs'!K67</f>
        <v>1442</v>
      </c>
      <c r="L63" s="213">
        <f>global!L63+'4 RPA COs'!O63+'95 COs'!L67</f>
        <v>1426</v>
      </c>
      <c r="M63" s="213">
        <f>global!M63+'4 RPA COs'!P63+'95 COs'!M67</f>
        <v>1427</v>
      </c>
      <c r="N63" s="213">
        <f t="shared" si="17"/>
        <v>5222</v>
      </c>
      <c r="O63" s="8"/>
      <c r="P63" s="9"/>
      <c r="R63" s="1"/>
      <c r="S63" s="1"/>
      <c r="T63" s="1"/>
      <c r="U63" s="1"/>
      <c r="V63" s="1"/>
      <c r="W63" s="1"/>
      <c r="X63" s="1"/>
      <c r="Y63" s="1"/>
      <c r="Z63" s="1"/>
      <c r="AA63" s="1"/>
      <c r="AB63" s="1"/>
      <c r="AC63" s="1"/>
      <c r="AD63" s="1"/>
      <c r="AE63" s="1"/>
      <c r="AF63" s="1"/>
      <c r="AG63" s="1"/>
      <c r="AH63" s="1"/>
      <c r="AI63" s="1"/>
      <c r="AJ63" s="1"/>
    </row>
    <row r="64" spans="1:36" s="2" customFormat="1" ht="21.95" customHeight="1" x14ac:dyDescent="0.2">
      <c r="A64" s="262"/>
      <c r="B64" s="262"/>
      <c r="C64" s="262"/>
      <c r="D64" s="262"/>
      <c r="E64" s="262"/>
      <c r="F64" s="6" t="s">
        <v>52</v>
      </c>
      <c r="G64" s="7" t="s">
        <v>23</v>
      </c>
      <c r="H64" s="6">
        <v>74500</v>
      </c>
      <c r="I64" s="6" t="s">
        <v>49</v>
      </c>
      <c r="J64" s="213">
        <f>global!J64+'4 RPA COs'!M64+'95 COs'!J68</f>
        <v>964</v>
      </c>
      <c r="K64" s="213">
        <f>global!K64+'4 RPA COs'!N64+'95 COs'!K68</f>
        <v>1500</v>
      </c>
      <c r="L64" s="213">
        <f>global!L64+'4 RPA COs'!O64+'95 COs'!L68</f>
        <v>1485</v>
      </c>
      <c r="M64" s="213">
        <f>global!M64+'4 RPA COs'!P64+'95 COs'!M68</f>
        <v>1488</v>
      </c>
      <c r="N64" s="213">
        <f t="shared" si="17"/>
        <v>5437</v>
      </c>
      <c r="O64" s="8"/>
      <c r="P64" s="9"/>
      <c r="R64" s="1"/>
      <c r="S64" s="1"/>
      <c r="T64" s="1"/>
      <c r="U64" s="1"/>
      <c r="V64" s="1"/>
      <c r="W64" s="1"/>
      <c r="X64" s="1"/>
      <c r="Y64" s="1"/>
      <c r="Z64" s="1"/>
      <c r="AA64" s="1"/>
      <c r="AB64" s="1"/>
      <c r="AC64" s="1"/>
      <c r="AD64" s="1"/>
      <c r="AE64" s="1"/>
      <c r="AF64" s="1"/>
      <c r="AG64" s="1"/>
      <c r="AH64" s="1"/>
      <c r="AI64" s="1"/>
      <c r="AJ64" s="1"/>
    </row>
    <row r="65" spans="1:36" s="2" customFormat="1" ht="21.95" customHeight="1" x14ac:dyDescent="0.2">
      <c r="A65" s="262"/>
      <c r="B65" s="262"/>
      <c r="C65" s="262"/>
      <c r="D65" s="262"/>
      <c r="E65" s="262"/>
      <c r="F65" s="6" t="s">
        <v>52</v>
      </c>
      <c r="G65" s="7" t="s">
        <v>26</v>
      </c>
      <c r="H65" s="6">
        <v>75700</v>
      </c>
      <c r="I65" s="6" t="s">
        <v>27</v>
      </c>
      <c r="J65" s="213">
        <f>global!J65+'4 RPA COs'!M65+'95 COs'!J69</f>
        <v>4689</v>
      </c>
      <c r="K65" s="213">
        <f>global!K65+'4 RPA COs'!N65+'95 COs'!K69</f>
        <v>7300</v>
      </c>
      <c r="L65" s="213">
        <f>global!L65+'4 RPA COs'!O65+'95 COs'!L69</f>
        <v>7224</v>
      </c>
      <c r="M65" s="213">
        <f>global!M65+'4 RPA COs'!P65+'95 COs'!M69</f>
        <v>7222</v>
      </c>
      <c r="N65" s="213">
        <f t="shared" si="17"/>
        <v>26435</v>
      </c>
      <c r="O65" s="8"/>
      <c r="P65" s="9"/>
      <c r="R65" s="1"/>
      <c r="S65" s="1"/>
      <c r="T65" s="1"/>
      <c r="U65" s="1"/>
      <c r="V65" s="1"/>
      <c r="W65" s="1"/>
      <c r="X65" s="1"/>
      <c r="Y65" s="1"/>
      <c r="Z65" s="1"/>
      <c r="AA65" s="1"/>
      <c r="AB65" s="1"/>
      <c r="AC65" s="1"/>
      <c r="AD65" s="1"/>
      <c r="AE65" s="1"/>
      <c r="AF65" s="1"/>
      <c r="AG65" s="1"/>
      <c r="AH65" s="1"/>
      <c r="AI65" s="1"/>
      <c r="AJ65" s="1"/>
    </row>
    <row r="66" spans="1:36" s="2" customFormat="1" ht="21.95" customHeight="1" x14ac:dyDescent="0.2">
      <c r="A66" s="262"/>
      <c r="B66" s="262"/>
      <c r="C66" s="262"/>
      <c r="D66" s="262"/>
      <c r="E66" s="262"/>
      <c r="F66" s="6" t="s">
        <v>52</v>
      </c>
      <c r="G66" s="7" t="s">
        <v>28</v>
      </c>
      <c r="H66" s="6">
        <v>61200</v>
      </c>
      <c r="I66" s="6" t="s">
        <v>29</v>
      </c>
      <c r="J66" s="213">
        <f>global!J66+'4 RPA COs'!M66+'95 COs'!J70</f>
        <v>42107</v>
      </c>
      <c r="K66" s="213">
        <f>global!K66+'4 RPA COs'!N66+'95 COs'!K70</f>
        <v>42107</v>
      </c>
      <c r="L66" s="213">
        <f>global!L66+'4 RPA COs'!O66+'95 COs'!L70</f>
        <v>42107</v>
      </c>
      <c r="M66" s="213">
        <f>global!M66+'4 RPA COs'!P66+'95 COs'!M70</f>
        <v>42107</v>
      </c>
      <c r="N66" s="213">
        <f t="shared" si="17"/>
        <v>168428</v>
      </c>
      <c r="O66" s="8"/>
      <c r="P66" s="9"/>
      <c r="R66" s="1"/>
      <c r="S66" s="1"/>
      <c r="T66" s="1"/>
      <c r="U66" s="1"/>
      <c r="V66" s="1"/>
      <c r="W66" s="1"/>
      <c r="X66" s="1"/>
      <c r="Y66" s="1"/>
      <c r="Z66" s="1"/>
      <c r="AA66" s="1"/>
      <c r="AB66" s="1"/>
      <c r="AC66" s="1"/>
      <c r="AD66" s="1"/>
      <c r="AE66" s="1"/>
      <c r="AF66" s="1"/>
      <c r="AG66" s="1"/>
      <c r="AH66" s="1"/>
      <c r="AI66" s="1"/>
      <c r="AJ66" s="1"/>
    </row>
    <row r="67" spans="1:36" s="2" customFormat="1" ht="21.95" customHeight="1" x14ac:dyDescent="0.2">
      <c r="A67" s="262"/>
      <c r="B67" s="262"/>
      <c r="C67" s="262"/>
      <c r="D67" s="262"/>
      <c r="E67" s="262"/>
      <c r="F67" s="6" t="s">
        <v>52</v>
      </c>
      <c r="G67" s="7" t="s">
        <v>28</v>
      </c>
      <c r="H67" s="6">
        <v>61300</v>
      </c>
      <c r="I67" s="6" t="s">
        <v>30</v>
      </c>
      <c r="J67" s="213">
        <f>global!J67+'4 RPA COs'!M67+'95 COs'!J71</f>
        <v>76988</v>
      </c>
      <c r="K67" s="213">
        <f>global!K67+'4 RPA COs'!N67+'95 COs'!K71</f>
        <v>76988</v>
      </c>
      <c r="L67" s="213">
        <f>global!L67+'4 RPA COs'!O67+'95 COs'!L71</f>
        <v>76988</v>
      </c>
      <c r="M67" s="213">
        <f>global!M67+'4 RPA COs'!P67+'95 COs'!M71</f>
        <v>76988</v>
      </c>
      <c r="N67" s="213">
        <f t="shared" si="17"/>
        <v>307952</v>
      </c>
      <c r="O67" s="8"/>
      <c r="P67" s="9"/>
      <c r="R67" s="1"/>
      <c r="S67" s="1"/>
      <c r="T67" s="1"/>
      <c r="U67" s="1"/>
      <c r="V67" s="1"/>
      <c r="W67" s="1"/>
      <c r="X67" s="1"/>
      <c r="Y67" s="1"/>
      <c r="Z67" s="1"/>
      <c r="AA67" s="1"/>
      <c r="AB67" s="1"/>
      <c r="AC67" s="1"/>
      <c r="AD67" s="1"/>
      <c r="AE67" s="1"/>
      <c r="AF67" s="1"/>
      <c r="AG67" s="1"/>
      <c r="AH67" s="1"/>
      <c r="AI67" s="1"/>
      <c r="AJ67" s="1"/>
    </row>
    <row r="68" spans="1:36" s="2" customFormat="1" ht="21.95" customHeight="1" x14ac:dyDescent="0.2">
      <c r="A68" s="262"/>
      <c r="B68" s="262"/>
      <c r="C68" s="263" t="s">
        <v>31</v>
      </c>
      <c r="D68" s="263"/>
      <c r="E68" s="263"/>
      <c r="F68" s="263"/>
      <c r="G68" s="263"/>
      <c r="H68" s="263"/>
      <c r="I68" s="263"/>
      <c r="J68" s="213">
        <f>SUM(J59:J67)</f>
        <v>390791</v>
      </c>
      <c r="K68" s="213">
        <f t="shared" ref="K68:N68" si="18">SUM(K59:K67)</f>
        <v>660901.74</v>
      </c>
      <c r="L68" s="213">
        <f t="shared" si="18"/>
        <v>524803</v>
      </c>
      <c r="M68" s="213">
        <f t="shared" si="18"/>
        <v>524806.26</v>
      </c>
      <c r="N68" s="213">
        <f t="shared" si="18"/>
        <v>2101302</v>
      </c>
      <c r="O68" s="8"/>
      <c r="P68" s="9"/>
      <c r="R68" s="1"/>
      <c r="S68" s="1"/>
      <c r="T68" s="1"/>
      <c r="U68" s="1"/>
      <c r="V68" s="1"/>
      <c r="W68" s="1"/>
      <c r="X68" s="1"/>
      <c r="Y68" s="1"/>
      <c r="Z68" s="1"/>
      <c r="AA68" s="1"/>
      <c r="AB68" s="1"/>
      <c r="AC68" s="1"/>
      <c r="AD68" s="1"/>
      <c r="AE68" s="1"/>
      <c r="AF68" s="1"/>
      <c r="AG68" s="1"/>
      <c r="AH68" s="1"/>
      <c r="AI68" s="1"/>
      <c r="AJ68" s="1"/>
    </row>
    <row r="69" spans="1:36" ht="21.95" customHeight="1" x14ac:dyDescent="0.2">
      <c r="A69" s="262"/>
      <c r="B69" s="263" t="s">
        <v>53</v>
      </c>
      <c r="C69" s="263"/>
      <c r="D69" s="263"/>
      <c r="E69" s="263"/>
      <c r="F69" s="263"/>
      <c r="G69" s="263"/>
      <c r="H69" s="263"/>
      <c r="I69" s="263"/>
      <c r="J69" s="213">
        <f>J68</f>
        <v>390791</v>
      </c>
      <c r="K69" s="213">
        <f t="shared" ref="K69:N69" si="19">K68</f>
        <v>660901.74</v>
      </c>
      <c r="L69" s="213">
        <f t="shared" si="19"/>
        <v>524803</v>
      </c>
      <c r="M69" s="213">
        <f t="shared" si="19"/>
        <v>524806.26</v>
      </c>
      <c r="N69" s="213">
        <f t="shared" si="19"/>
        <v>2101302</v>
      </c>
      <c r="O69" s="8"/>
      <c r="Q69" s="10"/>
      <c r="Z69" s="11"/>
      <c r="AC69" s="12"/>
      <c r="AD69" s="13"/>
    </row>
    <row r="70" spans="1:36" ht="21.95" customHeight="1" x14ac:dyDescent="0.2">
      <c r="A70" s="261" t="s">
        <v>54</v>
      </c>
      <c r="B70" s="261"/>
      <c r="C70" s="261"/>
      <c r="D70" s="261"/>
      <c r="E70" s="261"/>
      <c r="F70" s="261"/>
      <c r="G70" s="261"/>
      <c r="H70" s="261"/>
      <c r="I70" s="261"/>
      <c r="J70" s="213">
        <f>J58+J69</f>
        <v>838151</v>
      </c>
      <c r="K70" s="213">
        <f t="shared" ref="K70:N70" si="20">K58+K69</f>
        <v>1332068.6200000001</v>
      </c>
      <c r="L70" s="213">
        <f t="shared" si="20"/>
        <v>978040</v>
      </c>
      <c r="M70" s="213">
        <f t="shared" si="20"/>
        <v>978042.37999999989</v>
      </c>
      <c r="N70" s="213">
        <f t="shared" si="20"/>
        <v>4126302</v>
      </c>
      <c r="O70" s="8"/>
      <c r="R70" s="14"/>
      <c r="Z70" s="15"/>
      <c r="AJ70" s="16"/>
    </row>
    <row r="71" spans="1:36" ht="21.95" customHeight="1" x14ac:dyDescent="0.2">
      <c r="A71" s="262" t="s">
        <v>55</v>
      </c>
      <c r="B71" s="262" t="s">
        <v>56</v>
      </c>
      <c r="C71" s="262" t="s">
        <v>17</v>
      </c>
      <c r="D71" s="262">
        <v>62000</v>
      </c>
      <c r="E71" s="262">
        <v>10003</v>
      </c>
      <c r="F71" s="6" t="s">
        <v>57</v>
      </c>
      <c r="G71" s="7" t="s">
        <v>19</v>
      </c>
      <c r="H71" s="6">
        <v>71200</v>
      </c>
      <c r="I71" s="6" t="s">
        <v>19</v>
      </c>
      <c r="J71" s="213">
        <f>global!J71+'4 RPA COs'!M71+'95 COs'!J75</f>
        <v>9045</v>
      </c>
      <c r="K71" s="213">
        <f>global!K71+'4 RPA COs'!N71+'95 COs'!K75</f>
        <v>9045</v>
      </c>
      <c r="L71" s="213">
        <f>global!L71+'4 RPA COs'!O71+'95 COs'!L75</f>
        <v>9045</v>
      </c>
      <c r="M71" s="213">
        <f>global!M71+'4 RPA COs'!P71+'95 COs'!M75</f>
        <v>9046</v>
      </c>
      <c r="N71" s="213">
        <f t="shared" ref="N71:N79" si="21">SUM(J71:M71)</f>
        <v>36181</v>
      </c>
      <c r="O71" s="8"/>
      <c r="P71" s="9"/>
    </row>
    <row r="72" spans="1:36" ht="21.95" customHeight="1" x14ac:dyDescent="0.2">
      <c r="A72" s="262"/>
      <c r="B72" s="262"/>
      <c r="C72" s="262"/>
      <c r="D72" s="262"/>
      <c r="E72" s="262"/>
      <c r="F72" s="6" t="s">
        <v>57</v>
      </c>
      <c r="G72" s="7" t="s">
        <v>20</v>
      </c>
      <c r="H72" s="6">
        <v>71300</v>
      </c>
      <c r="I72" s="6" t="s">
        <v>20</v>
      </c>
      <c r="J72" s="213">
        <f>global!J72+'4 RPA COs'!M72+'95 COs'!J76</f>
        <v>35669</v>
      </c>
      <c r="K72" s="213">
        <f>global!K72+'4 RPA COs'!N72+'95 COs'!K76</f>
        <v>36233</v>
      </c>
      <c r="L72" s="213">
        <f>global!L72+'4 RPA COs'!O72+'95 COs'!L76</f>
        <v>36218</v>
      </c>
      <c r="M72" s="213">
        <f>global!M72+'4 RPA COs'!P72+'95 COs'!M76</f>
        <v>36218</v>
      </c>
      <c r="N72" s="213">
        <f t="shared" si="21"/>
        <v>144338</v>
      </c>
      <c r="O72" s="8"/>
      <c r="P72" s="9"/>
    </row>
    <row r="73" spans="1:36" ht="21.95" customHeight="1" x14ac:dyDescent="0.2">
      <c r="A73" s="262"/>
      <c r="B73" s="262"/>
      <c r="C73" s="262"/>
      <c r="D73" s="262"/>
      <c r="E73" s="262"/>
      <c r="F73" s="6" t="s">
        <v>57</v>
      </c>
      <c r="G73" s="7" t="s">
        <v>21</v>
      </c>
      <c r="H73" s="6">
        <v>71400</v>
      </c>
      <c r="I73" s="6" t="s">
        <v>22</v>
      </c>
      <c r="J73" s="213">
        <f>global!J73+'4 RPA COs'!M73+'95 COs'!J77</f>
        <v>100621</v>
      </c>
      <c r="K73" s="213">
        <f>global!K73+'4 RPA COs'!N73+'95 COs'!K77</f>
        <v>102217</v>
      </c>
      <c r="L73" s="213">
        <f>global!L73+'4 RPA COs'!O73+'95 COs'!L77</f>
        <v>102169</v>
      </c>
      <c r="M73" s="213">
        <f>global!M73+'4 RPA COs'!P73+'95 COs'!M77</f>
        <v>102168</v>
      </c>
      <c r="N73" s="213">
        <f t="shared" si="21"/>
        <v>407175</v>
      </c>
      <c r="O73" s="8"/>
      <c r="P73" s="9"/>
    </row>
    <row r="74" spans="1:36" ht="21.95" customHeight="1" x14ac:dyDescent="0.2">
      <c r="A74" s="262"/>
      <c r="B74" s="262"/>
      <c r="C74" s="262"/>
      <c r="D74" s="262"/>
      <c r="E74" s="262"/>
      <c r="F74" s="6" t="s">
        <v>57</v>
      </c>
      <c r="G74" s="7" t="s">
        <v>23</v>
      </c>
      <c r="H74" s="6">
        <v>71600</v>
      </c>
      <c r="I74" s="6" t="s">
        <v>23</v>
      </c>
      <c r="J74" s="213">
        <f>global!J74+'4 RPA COs'!M74+'95 COs'!J78</f>
        <v>60936</v>
      </c>
      <c r="K74" s="213">
        <f>global!K74+'4 RPA COs'!N74+'95 COs'!K78</f>
        <v>348743.88000000006</v>
      </c>
      <c r="L74" s="213">
        <f>global!L74+'4 RPA COs'!O74+'95 COs'!L78</f>
        <v>62973</v>
      </c>
      <c r="M74" s="213">
        <f>global!M74+'4 RPA COs'!P74+'95 COs'!M78</f>
        <v>62974.119999999937</v>
      </c>
      <c r="N74" s="213">
        <f t="shared" si="21"/>
        <v>535627</v>
      </c>
      <c r="O74" s="8"/>
      <c r="P74" s="9"/>
    </row>
    <row r="75" spans="1:36" ht="21.95" customHeight="1" x14ac:dyDescent="0.2">
      <c r="A75" s="262"/>
      <c r="B75" s="262"/>
      <c r="C75" s="262"/>
      <c r="D75" s="262"/>
      <c r="E75" s="262"/>
      <c r="F75" s="6" t="s">
        <v>57</v>
      </c>
      <c r="G75" s="7" t="s">
        <v>58</v>
      </c>
      <c r="H75" s="6">
        <v>72100</v>
      </c>
      <c r="I75" s="6" t="s">
        <v>59</v>
      </c>
      <c r="J75" s="213">
        <f>global!J75+'4 RPA COs'!M75+'95 COs'!J79</f>
        <v>41015</v>
      </c>
      <c r="K75" s="213">
        <f>global!K75+'4 RPA COs'!N75+'95 COs'!K79</f>
        <v>41015</v>
      </c>
      <c r="L75" s="213">
        <f>global!L75+'4 RPA COs'!O75+'95 COs'!L79</f>
        <v>41015</v>
      </c>
      <c r="M75" s="213">
        <f>global!M75+'4 RPA COs'!P75+'95 COs'!M79</f>
        <v>41014</v>
      </c>
      <c r="N75" s="213">
        <f t="shared" si="21"/>
        <v>164059</v>
      </c>
      <c r="O75" s="8"/>
      <c r="P75" s="9"/>
    </row>
    <row r="76" spans="1:36" ht="21.95" customHeight="1" x14ac:dyDescent="0.2">
      <c r="A76" s="262"/>
      <c r="B76" s="262"/>
      <c r="C76" s="262"/>
      <c r="D76" s="262"/>
      <c r="E76" s="262"/>
      <c r="F76" s="6" t="s">
        <v>57</v>
      </c>
      <c r="G76" s="7" t="s">
        <v>24</v>
      </c>
      <c r="H76" s="6">
        <v>72500</v>
      </c>
      <c r="I76" s="6" t="s">
        <v>25</v>
      </c>
      <c r="J76" s="213">
        <f>global!J76+'4 RPA COs'!M76+'95 COs'!J80</f>
        <v>11261</v>
      </c>
      <c r="K76" s="213">
        <f>global!K76+'4 RPA COs'!N76+'95 COs'!K80</f>
        <v>11441</v>
      </c>
      <c r="L76" s="213">
        <f>global!L76+'4 RPA COs'!O76+'95 COs'!L80</f>
        <v>11435</v>
      </c>
      <c r="M76" s="213">
        <f>global!M76+'4 RPA COs'!P76+'95 COs'!M80</f>
        <v>11432</v>
      </c>
      <c r="N76" s="213">
        <f t="shared" si="21"/>
        <v>45569</v>
      </c>
      <c r="O76" s="8"/>
      <c r="P76" s="9"/>
    </row>
    <row r="77" spans="1:36" ht="21.95" customHeight="1" x14ac:dyDescent="0.2">
      <c r="A77" s="262"/>
      <c r="B77" s="262"/>
      <c r="C77" s="262"/>
      <c r="D77" s="262"/>
      <c r="E77" s="262"/>
      <c r="F77" s="6" t="s">
        <v>57</v>
      </c>
      <c r="G77" s="7" t="s">
        <v>23</v>
      </c>
      <c r="H77" s="6">
        <v>74500</v>
      </c>
      <c r="I77" s="6" t="s">
        <v>49</v>
      </c>
      <c r="J77" s="213">
        <f>global!J77+'4 RPA COs'!M77+'95 COs'!J81</f>
        <v>32519</v>
      </c>
      <c r="K77" s="213">
        <f>global!K77+'4 RPA COs'!N77+'95 COs'!K81</f>
        <v>200782.90000000002</v>
      </c>
      <c r="L77" s="213">
        <f>global!L77+'4 RPA COs'!O77+'95 COs'!L81</f>
        <v>33662</v>
      </c>
      <c r="M77" s="213">
        <f>global!M77+'4 RPA COs'!P77+'95 COs'!M81</f>
        <v>33663.099999999977</v>
      </c>
      <c r="N77" s="213">
        <f t="shared" si="21"/>
        <v>300627</v>
      </c>
      <c r="O77" s="8"/>
      <c r="P77" s="9"/>
    </row>
    <row r="78" spans="1:36" ht="21.95" customHeight="1" x14ac:dyDescent="0.2">
      <c r="A78" s="262"/>
      <c r="B78" s="262"/>
      <c r="C78" s="262"/>
      <c r="D78" s="262"/>
      <c r="E78" s="262"/>
      <c r="F78" s="6" t="s">
        <v>57</v>
      </c>
      <c r="G78" s="7" t="s">
        <v>26</v>
      </c>
      <c r="H78" s="6">
        <v>75700</v>
      </c>
      <c r="I78" s="6" t="s">
        <v>27</v>
      </c>
      <c r="J78" s="213">
        <f>global!J78+'4 RPA COs'!M78+'95 COs'!J82</f>
        <v>19068</v>
      </c>
      <c r="K78" s="213">
        <f>global!K78+'4 RPA COs'!N78+'95 COs'!K82</f>
        <v>176693.13000000006</v>
      </c>
      <c r="L78" s="213">
        <f>global!L78+'4 RPA COs'!O78+'95 COs'!L82</f>
        <v>19965</v>
      </c>
      <c r="M78" s="213">
        <f>global!M78+'4 RPA COs'!P78+'95 COs'!M82</f>
        <v>19962.869999999937</v>
      </c>
      <c r="N78" s="213">
        <f t="shared" si="21"/>
        <v>235689</v>
      </c>
      <c r="O78" s="8"/>
      <c r="P78" s="9"/>
    </row>
    <row r="79" spans="1:36" ht="21.95" customHeight="1" x14ac:dyDescent="0.2">
      <c r="A79" s="262"/>
      <c r="B79" s="262"/>
      <c r="C79" s="262"/>
      <c r="D79" s="262"/>
      <c r="E79" s="262"/>
      <c r="F79" s="6" t="s">
        <v>57</v>
      </c>
      <c r="G79" s="7" t="s">
        <v>28</v>
      </c>
      <c r="H79" s="6">
        <v>61300</v>
      </c>
      <c r="I79" s="6" t="s">
        <v>30</v>
      </c>
      <c r="J79" s="213">
        <f>global!J79+'4 RPA COs'!M79+'95 COs'!J83</f>
        <v>38934</v>
      </c>
      <c r="K79" s="213">
        <f>global!K79+'4 RPA COs'!N79+'95 COs'!K83</f>
        <v>38934</v>
      </c>
      <c r="L79" s="213">
        <f>global!L79+'4 RPA COs'!O79+'95 COs'!L83</f>
        <v>38934</v>
      </c>
      <c r="M79" s="213">
        <f>global!M79+'4 RPA COs'!P79+'95 COs'!M83</f>
        <v>38933</v>
      </c>
      <c r="N79" s="213">
        <f t="shared" si="21"/>
        <v>155735</v>
      </c>
      <c r="O79" s="8"/>
      <c r="P79" s="9"/>
    </row>
    <row r="80" spans="1:36" ht="21.95" customHeight="1" x14ac:dyDescent="0.2">
      <c r="A80" s="262"/>
      <c r="B80" s="262"/>
      <c r="C80" s="261" t="s">
        <v>31</v>
      </c>
      <c r="D80" s="261"/>
      <c r="E80" s="261"/>
      <c r="F80" s="261"/>
      <c r="G80" s="261"/>
      <c r="H80" s="261"/>
      <c r="I80" s="261"/>
      <c r="J80" s="213">
        <f>SUM(J71:J79)</f>
        <v>349068</v>
      </c>
      <c r="K80" s="213">
        <f t="shared" ref="K80:N80" si="22">SUM(K71:K79)</f>
        <v>965104.91000000015</v>
      </c>
      <c r="L80" s="213">
        <f t="shared" si="22"/>
        <v>355416</v>
      </c>
      <c r="M80" s="213">
        <f t="shared" si="22"/>
        <v>355411.08999999985</v>
      </c>
      <c r="N80" s="213">
        <f t="shared" si="22"/>
        <v>2025000</v>
      </c>
      <c r="O80" s="8"/>
      <c r="P80" s="9"/>
    </row>
    <row r="81" spans="1:36" ht="21.95" customHeight="1" x14ac:dyDescent="0.2">
      <c r="A81" s="262"/>
      <c r="B81" s="261" t="s">
        <v>60</v>
      </c>
      <c r="C81" s="261"/>
      <c r="D81" s="261"/>
      <c r="E81" s="261"/>
      <c r="F81" s="261"/>
      <c r="G81" s="261"/>
      <c r="H81" s="261"/>
      <c r="I81" s="261"/>
      <c r="J81" s="213">
        <f>J80</f>
        <v>349068</v>
      </c>
      <c r="K81" s="213">
        <f t="shared" ref="K81:N81" si="23">K80</f>
        <v>965104.91000000015</v>
      </c>
      <c r="L81" s="213">
        <f t="shared" si="23"/>
        <v>355416</v>
      </c>
      <c r="M81" s="213">
        <f t="shared" si="23"/>
        <v>355411.08999999985</v>
      </c>
      <c r="N81" s="213">
        <f t="shared" si="23"/>
        <v>2025000</v>
      </c>
      <c r="O81" s="8"/>
      <c r="P81" s="9"/>
    </row>
    <row r="82" spans="1:36" ht="21.95" customHeight="1" x14ac:dyDescent="0.2">
      <c r="A82" s="262"/>
      <c r="B82" s="262" t="s">
        <v>61</v>
      </c>
      <c r="C82" s="262" t="s">
        <v>17</v>
      </c>
      <c r="D82" s="262">
        <v>62000</v>
      </c>
      <c r="E82" s="262">
        <v>10003</v>
      </c>
      <c r="F82" s="6" t="s">
        <v>62</v>
      </c>
      <c r="G82" s="7" t="s">
        <v>19</v>
      </c>
      <c r="H82" s="6">
        <v>71200</v>
      </c>
      <c r="I82" s="6" t="s">
        <v>19</v>
      </c>
      <c r="J82" s="213">
        <f>global!J82+'4 RPA COs'!M82+'95 COs'!J86</f>
        <v>9386</v>
      </c>
      <c r="K82" s="213">
        <f>global!K82+'4 RPA COs'!N82+'95 COs'!K86</f>
        <v>9386</v>
      </c>
      <c r="L82" s="213">
        <f>global!L82+'4 RPA COs'!O82+'95 COs'!L86</f>
        <v>9386</v>
      </c>
      <c r="M82" s="213">
        <f>global!M82+'4 RPA COs'!P82+'95 COs'!M86</f>
        <v>9386</v>
      </c>
      <c r="N82" s="213">
        <f t="shared" ref="N82:N90" si="24">SUM(J82:M82)</f>
        <v>37544</v>
      </c>
      <c r="O82" s="8"/>
      <c r="P82" s="9"/>
    </row>
    <row r="83" spans="1:36" ht="21.95" customHeight="1" x14ac:dyDescent="0.2">
      <c r="A83" s="262"/>
      <c r="B83" s="262"/>
      <c r="C83" s="262"/>
      <c r="D83" s="262"/>
      <c r="E83" s="262"/>
      <c r="F83" s="6" t="s">
        <v>62</v>
      </c>
      <c r="G83" s="7" t="s">
        <v>20</v>
      </c>
      <c r="H83" s="6">
        <v>71300</v>
      </c>
      <c r="I83" s="6" t="s">
        <v>20</v>
      </c>
      <c r="J83" s="213">
        <f>global!J83+'4 RPA COs'!M83+'95 COs'!J87</f>
        <v>26567</v>
      </c>
      <c r="K83" s="213">
        <f>global!K83+'4 RPA COs'!N83+'95 COs'!K87</f>
        <v>41361</v>
      </c>
      <c r="L83" s="213">
        <f>global!L83+'4 RPA COs'!O83+'95 COs'!L87</f>
        <v>40926</v>
      </c>
      <c r="M83" s="213">
        <f>global!M83+'4 RPA COs'!P83+'95 COs'!M87</f>
        <v>40922</v>
      </c>
      <c r="N83" s="213">
        <f t="shared" si="24"/>
        <v>149776</v>
      </c>
      <c r="O83" s="8"/>
      <c r="P83" s="9"/>
    </row>
    <row r="84" spans="1:36" ht="21.95" customHeight="1" x14ac:dyDescent="0.2">
      <c r="A84" s="262"/>
      <c r="B84" s="262"/>
      <c r="C84" s="262"/>
      <c r="D84" s="262"/>
      <c r="E84" s="262"/>
      <c r="F84" s="6" t="s">
        <v>62</v>
      </c>
      <c r="G84" s="7" t="s">
        <v>21</v>
      </c>
      <c r="H84" s="6">
        <v>71400</v>
      </c>
      <c r="I84" s="6" t="s">
        <v>22</v>
      </c>
      <c r="J84" s="213">
        <f>global!J84+'4 RPA COs'!M84+'95 COs'!J88</f>
        <v>80027</v>
      </c>
      <c r="K84" s="213">
        <f>global!K84+'4 RPA COs'!N84+'95 COs'!K88</f>
        <v>114847</v>
      </c>
      <c r="L84" s="213">
        <f>global!L84+'4 RPA COs'!O84+'95 COs'!L88</f>
        <v>113822</v>
      </c>
      <c r="M84" s="213">
        <f>global!M84+'4 RPA COs'!P84+'95 COs'!M88</f>
        <v>113821</v>
      </c>
      <c r="N84" s="213">
        <f t="shared" si="24"/>
        <v>422517</v>
      </c>
      <c r="O84" s="8"/>
      <c r="P84" s="9"/>
    </row>
    <row r="85" spans="1:36" ht="21.95" customHeight="1" x14ac:dyDescent="0.2">
      <c r="A85" s="262"/>
      <c r="B85" s="262"/>
      <c r="C85" s="262"/>
      <c r="D85" s="262"/>
      <c r="E85" s="262"/>
      <c r="F85" s="6" t="s">
        <v>62</v>
      </c>
      <c r="G85" s="7" t="s">
        <v>23</v>
      </c>
      <c r="H85" s="6">
        <v>71600</v>
      </c>
      <c r="I85" s="6" t="s">
        <v>23</v>
      </c>
      <c r="J85" s="213">
        <f>global!J85+'4 RPA COs'!M85+'95 COs'!J89</f>
        <v>59303</v>
      </c>
      <c r="K85" s="213">
        <f>global!K85+'4 RPA COs'!N85+'95 COs'!K89</f>
        <v>271335.87</v>
      </c>
      <c r="L85" s="213">
        <f>global!L85+'4 RPA COs'!O85+'95 COs'!L89</f>
        <v>112585</v>
      </c>
      <c r="M85" s="213">
        <f>global!M85+'4 RPA COs'!P85+'95 COs'!M89</f>
        <v>112585.13</v>
      </c>
      <c r="N85" s="213">
        <f t="shared" si="24"/>
        <v>555809</v>
      </c>
      <c r="O85" s="8"/>
      <c r="P85" s="9"/>
    </row>
    <row r="86" spans="1:36" ht="21.95" customHeight="1" x14ac:dyDescent="0.2">
      <c r="A86" s="262"/>
      <c r="B86" s="262"/>
      <c r="C86" s="262"/>
      <c r="D86" s="262"/>
      <c r="E86" s="262"/>
      <c r="F86" s="6" t="s">
        <v>62</v>
      </c>
      <c r="G86" s="7" t="s">
        <v>58</v>
      </c>
      <c r="H86" s="6">
        <v>72100</v>
      </c>
      <c r="I86" s="6" t="s">
        <v>59</v>
      </c>
      <c r="J86" s="213">
        <f>global!J86+'4 RPA COs'!M86+'95 COs'!J90</f>
        <v>42560</v>
      </c>
      <c r="K86" s="213">
        <f>global!K86+'4 RPA COs'!N86+'95 COs'!K90</f>
        <v>42560</v>
      </c>
      <c r="L86" s="213">
        <f>global!L86+'4 RPA COs'!O86+'95 COs'!L90</f>
        <v>42560</v>
      </c>
      <c r="M86" s="213">
        <f>global!M86+'4 RPA COs'!P86+'95 COs'!M90</f>
        <v>42560</v>
      </c>
      <c r="N86" s="213">
        <f t="shared" si="24"/>
        <v>170240</v>
      </c>
      <c r="O86" s="8"/>
      <c r="P86" s="9"/>
    </row>
    <row r="87" spans="1:36" ht="21.95" customHeight="1" x14ac:dyDescent="0.2">
      <c r="A87" s="262"/>
      <c r="B87" s="262"/>
      <c r="C87" s="262"/>
      <c r="D87" s="262"/>
      <c r="E87" s="262"/>
      <c r="F87" s="6" t="s">
        <v>62</v>
      </c>
      <c r="G87" s="7" t="s">
        <v>24</v>
      </c>
      <c r="H87" s="6">
        <v>72500</v>
      </c>
      <c r="I87" s="6" t="s">
        <v>25</v>
      </c>
      <c r="J87" s="213">
        <f>global!J87+'4 RPA COs'!M87+'95 COs'!J91</f>
        <v>8388</v>
      </c>
      <c r="K87" s="213">
        <f>global!K87+'4 RPA COs'!N87+'95 COs'!K91</f>
        <v>13059</v>
      </c>
      <c r="L87" s="213">
        <f>global!L87+'4 RPA COs'!O87+'95 COs'!L91</f>
        <v>12921</v>
      </c>
      <c r="M87" s="213">
        <f>global!M87+'4 RPA COs'!P87+'95 COs'!M91</f>
        <v>12919</v>
      </c>
      <c r="N87" s="213">
        <f t="shared" si="24"/>
        <v>47287</v>
      </c>
      <c r="O87" s="8"/>
      <c r="P87" s="9"/>
    </row>
    <row r="88" spans="1:36" ht="21.95" customHeight="1" x14ac:dyDescent="0.2">
      <c r="A88" s="262"/>
      <c r="B88" s="262"/>
      <c r="C88" s="262"/>
      <c r="D88" s="262"/>
      <c r="E88" s="262"/>
      <c r="F88" s="6" t="s">
        <v>62</v>
      </c>
      <c r="G88" s="7" t="s">
        <v>23</v>
      </c>
      <c r="H88" s="6">
        <v>74500</v>
      </c>
      <c r="I88" s="6" t="s">
        <v>49</v>
      </c>
      <c r="J88" s="213">
        <f>global!J88+'4 RPA COs'!M88+'95 COs'!J92</f>
        <v>30943</v>
      </c>
      <c r="K88" s="213">
        <f>global!K88+'4 RPA COs'!N88+'95 COs'!K92</f>
        <v>159314.16999999998</v>
      </c>
      <c r="L88" s="213">
        <f>global!L88+'4 RPA COs'!O88+'95 COs'!L92</f>
        <v>60848</v>
      </c>
      <c r="M88" s="213">
        <f>global!M88+'4 RPA COs'!P88+'95 COs'!M92</f>
        <v>60849.83</v>
      </c>
      <c r="N88" s="213">
        <f t="shared" si="24"/>
        <v>311955</v>
      </c>
      <c r="O88" s="8"/>
      <c r="P88" s="9"/>
    </row>
    <row r="89" spans="1:36" ht="21.95" customHeight="1" x14ac:dyDescent="0.2">
      <c r="A89" s="262"/>
      <c r="B89" s="262"/>
      <c r="C89" s="262"/>
      <c r="D89" s="262"/>
      <c r="E89" s="262"/>
      <c r="F89" s="6" t="s">
        <v>62</v>
      </c>
      <c r="G89" s="7" t="s">
        <v>26</v>
      </c>
      <c r="H89" s="6">
        <v>75700</v>
      </c>
      <c r="I89" s="6" t="s">
        <v>27</v>
      </c>
      <c r="J89" s="213">
        <f>global!J89+'4 RPA COs'!M89+'95 COs'!J93</f>
        <v>20507</v>
      </c>
      <c r="K89" s="213">
        <f>global!K89+'4 RPA COs'!N89+'95 COs'!K93</f>
        <v>136159.28000000003</v>
      </c>
      <c r="L89" s="213">
        <f>global!L89+'4 RPA COs'!O89+'95 COs'!L93</f>
        <v>43952</v>
      </c>
      <c r="M89" s="213">
        <f>global!M89+'4 RPA COs'!P89+'95 COs'!M93</f>
        <v>43950.719999999987</v>
      </c>
      <c r="N89" s="213">
        <f t="shared" si="24"/>
        <v>244569</v>
      </c>
      <c r="O89" s="8"/>
      <c r="P89" s="9"/>
    </row>
    <row r="90" spans="1:36" ht="21.95" customHeight="1" x14ac:dyDescent="0.2">
      <c r="A90" s="262"/>
      <c r="B90" s="262"/>
      <c r="C90" s="262"/>
      <c r="D90" s="262"/>
      <c r="E90" s="262"/>
      <c r="F90" s="6" t="s">
        <v>62</v>
      </c>
      <c r="G90" s="7" t="s">
        <v>28</v>
      </c>
      <c r="H90" s="6">
        <v>61300</v>
      </c>
      <c r="I90" s="6" t="s">
        <v>30</v>
      </c>
      <c r="J90" s="213">
        <f>global!J90+'4 RPA COs'!M90+'95 COs'!J94</f>
        <v>40401</v>
      </c>
      <c r="K90" s="213">
        <f>global!K90+'4 RPA COs'!N90+'95 COs'!K94</f>
        <v>40401</v>
      </c>
      <c r="L90" s="213">
        <f>global!L90+'4 RPA COs'!O90+'95 COs'!L94</f>
        <v>40401</v>
      </c>
      <c r="M90" s="213">
        <f>global!M90+'4 RPA COs'!P90+'95 COs'!M94</f>
        <v>40402</v>
      </c>
      <c r="N90" s="213">
        <f t="shared" si="24"/>
        <v>161605</v>
      </c>
      <c r="O90" s="8"/>
      <c r="P90" s="9"/>
    </row>
    <row r="91" spans="1:36" ht="21.95" customHeight="1" x14ac:dyDescent="0.2">
      <c r="A91" s="262"/>
      <c r="B91" s="262"/>
      <c r="C91" s="263" t="s">
        <v>31</v>
      </c>
      <c r="D91" s="263"/>
      <c r="E91" s="263"/>
      <c r="F91" s="263"/>
      <c r="G91" s="263"/>
      <c r="H91" s="263"/>
      <c r="I91" s="263"/>
      <c r="J91" s="213">
        <f>SUM(J82:J90)</f>
        <v>318082</v>
      </c>
      <c r="K91" s="213">
        <f t="shared" ref="K91:N91" si="25">SUM(K82:K90)</f>
        <v>828423.32000000007</v>
      </c>
      <c r="L91" s="213">
        <f t="shared" si="25"/>
        <v>477401</v>
      </c>
      <c r="M91" s="213">
        <f t="shared" si="25"/>
        <v>477395.68</v>
      </c>
      <c r="N91" s="213">
        <f t="shared" si="25"/>
        <v>2101302</v>
      </c>
      <c r="O91" s="8"/>
      <c r="Q91" s="17"/>
      <c r="Z91" s="11"/>
      <c r="AB91" s="15"/>
      <c r="AC91" s="12"/>
      <c r="AD91" s="13"/>
    </row>
    <row r="92" spans="1:36" ht="21.95" customHeight="1" x14ac:dyDescent="0.2">
      <c r="A92" s="262"/>
      <c r="B92" s="263" t="s">
        <v>63</v>
      </c>
      <c r="C92" s="263"/>
      <c r="D92" s="263"/>
      <c r="E92" s="263"/>
      <c r="F92" s="263"/>
      <c r="G92" s="263"/>
      <c r="H92" s="263"/>
      <c r="I92" s="263"/>
      <c r="J92" s="213">
        <f>J91</f>
        <v>318082</v>
      </c>
      <c r="K92" s="213">
        <f t="shared" ref="K92:N92" si="26">K91</f>
        <v>828423.32000000007</v>
      </c>
      <c r="L92" s="213">
        <f t="shared" si="26"/>
        <v>477401</v>
      </c>
      <c r="M92" s="213">
        <f t="shared" si="26"/>
        <v>477395.68</v>
      </c>
      <c r="N92" s="213">
        <f t="shared" si="26"/>
        <v>2101302</v>
      </c>
      <c r="O92" s="8"/>
      <c r="Q92" s="10"/>
      <c r="Z92" s="11"/>
      <c r="AC92" s="12"/>
      <c r="AD92" s="13"/>
    </row>
    <row r="93" spans="1:36" ht="21.95" customHeight="1" x14ac:dyDescent="0.2">
      <c r="A93" s="261" t="s">
        <v>64</v>
      </c>
      <c r="B93" s="261"/>
      <c r="C93" s="261"/>
      <c r="D93" s="261"/>
      <c r="E93" s="261"/>
      <c r="F93" s="261"/>
      <c r="G93" s="261"/>
      <c r="H93" s="261"/>
      <c r="I93" s="261"/>
      <c r="J93" s="213">
        <f>J81+J92</f>
        <v>667150</v>
      </c>
      <c r="K93" s="213">
        <f t="shared" ref="K93:N93" si="27">K81+K92</f>
        <v>1793528.2300000002</v>
      </c>
      <c r="L93" s="213">
        <f t="shared" si="27"/>
        <v>832817</v>
      </c>
      <c r="M93" s="213">
        <f t="shared" si="27"/>
        <v>832806.76999999979</v>
      </c>
      <c r="N93" s="213">
        <f t="shared" si="27"/>
        <v>4126302</v>
      </c>
      <c r="O93" s="8"/>
      <c r="R93" s="14"/>
      <c r="Z93" s="15"/>
      <c r="AJ93" s="16"/>
    </row>
    <row r="94" spans="1:36" ht="21.95" customHeight="1" x14ac:dyDescent="0.2">
      <c r="A94" s="262" t="s">
        <v>65</v>
      </c>
      <c r="B94" s="262" t="s">
        <v>66</v>
      </c>
      <c r="C94" s="262" t="s">
        <v>17</v>
      </c>
      <c r="D94" s="262">
        <v>62000</v>
      </c>
      <c r="E94" s="262">
        <v>10003</v>
      </c>
      <c r="F94" s="6" t="s">
        <v>66</v>
      </c>
      <c r="G94" s="7" t="s">
        <v>21</v>
      </c>
      <c r="H94" s="6">
        <v>71400</v>
      </c>
      <c r="I94" s="6" t="s">
        <v>22</v>
      </c>
      <c r="J94" s="213">
        <f>global!J94+'4 RPA COs'!M94+'95 COs'!J98</f>
        <v>628965</v>
      </c>
      <c r="K94" s="213">
        <f>global!K94+'4 RPA COs'!N94+'95 COs'!K98</f>
        <v>638934</v>
      </c>
      <c r="L94" s="213">
        <f>global!L94+'4 RPA COs'!O94+'95 COs'!L98</f>
        <v>638640</v>
      </c>
      <c r="M94" s="213">
        <f>global!M94+'4 RPA COs'!P94+'95 COs'!M98</f>
        <v>638639</v>
      </c>
      <c r="N94" s="213">
        <f t="shared" ref="N94:N108" si="28">SUM(J94:M94)</f>
        <v>2545178</v>
      </c>
      <c r="O94" s="8"/>
      <c r="P94" s="9"/>
    </row>
    <row r="95" spans="1:36" ht="21.95" customHeight="1" x14ac:dyDescent="0.2">
      <c r="A95" s="262"/>
      <c r="B95" s="262"/>
      <c r="C95" s="262"/>
      <c r="D95" s="262"/>
      <c r="E95" s="262"/>
      <c r="F95" s="6" t="s">
        <v>66</v>
      </c>
      <c r="G95" s="7" t="s">
        <v>23</v>
      </c>
      <c r="H95" s="6">
        <v>71600</v>
      </c>
      <c r="I95" s="6" t="s">
        <v>23</v>
      </c>
      <c r="J95" s="213">
        <f>global!J95+'4 RPA COs'!M95+'95 COs'!J99</f>
        <v>61425</v>
      </c>
      <c r="K95" s="213">
        <f>global!K95+'4 RPA COs'!N95+'95 COs'!K99</f>
        <v>62397</v>
      </c>
      <c r="L95" s="213">
        <f>global!L95+'4 RPA COs'!O95+'95 COs'!L99</f>
        <v>62370</v>
      </c>
      <c r="M95" s="213">
        <f>global!M95+'4 RPA COs'!P95+'95 COs'!M99</f>
        <v>62369</v>
      </c>
      <c r="N95" s="213">
        <f t="shared" si="28"/>
        <v>248561</v>
      </c>
      <c r="O95" s="8"/>
      <c r="P95" s="214"/>
    </row>
    <row r="96" spans="1:36" ht="21.95" customHeight="1" x14ac:dyDescent="0.2">
      <c r="A96" s="262"/>
      <c r="B96" s="262"/>
      <c r="C96" s="262"/>
      <c r="D96" s="262"/>
      <c r="E96" s="262"/>
      <c r="F96" s="6" t="s">
        <v>66</v>
      </c>
      <c r="G96" s="7" t="s">
        <v>58</v>
      </c>
      <c r="H96" s="6">
        <v>72200</v>
      </c>
      <c r="I96" s="6" t="s">
        <v>67</v>
      </c>
      <c r="J96" s="213">
        <f>global!J96+'4 RPA COs'!M96+'95 COs'!J100</f>
        <v>2459</v>
      </c>
      <c r="K96" s="213">
        <f>global!K96+'4 RPA COs'!N96+'95 COs'!K100</f>
        <v>10466.439999999999</v>
      </c>
      <c r="L96" s="213">
        <f>global!L96+'4 RPA COs'!O96+'95 COs'!L100</f>
        <v>2528</v>
      </c>
      <c r="M96" s="213">
        <f>global!M96+'4 RPA COs'!P96+'95 COs'!M100</f>
        <v>2528.5600000000013</v>
      </c>
      <c r="N96" s="213">
        <f t="shared" si="28"/>
        <v>17982</v>
      </c>
      <c r="O96" s="8"/>
      <c r="P96" s="9"/>
    </row>
    <row r="97" spans="1:36" ht="21.95" customHeight="1" x14ac:dyDescent="0.2">
      <c r="A97" s="262"/>
      <c r="B97" s="262"/>
      <c r="C97" s="262"/>
      <c r="D97" s="262"/>
      <c r="E97" s="262"/>
      <c r="F97" s="6" t="s">
        <v>66</v>
      </c>
      <c r="G97" s="7" t="s">
        <v>58</v>
      </c>
      <c r="H97" s="6">
        <v>72300</v>
      </c>
      <c r="I97" s="6" t="s">
        <v>68</v>
      </c>
      <c r="J97" s="213">
        <f>global!J97+'4 RPA COs'!M97+'95 COs'!J101</f>
        <v>10843</v>
      </c>
      <c r="K97" s="213">
        <f>global!K97+'4 RPA COs'!N97+'95 COs'!K101</f>
        <v>10843</v>
      </c>
      <c r="L97" s="213">
        <f>global!L97+'4 RPA COs'!O97+'95 COs'!L101</f>
        <v>10843</v>
      </c>
      <c r="M97" s="213">
        <f>global!M97+'4 RPA COs'!P97+'95 COs'!M101</f>
        <v>10841</v>
      </c>
      <c r="N97" s="213">
        <f t="shared" si="28"/>
        <v>43370</v>
      </c>
      <c r="O97" s="8"/>
      <c r="P97" s="9"/>
    </row>
    <row r="98" spans="1:36" ht="21.95" customHeight="1" x14ac:dyDescent="0.2">
      <c r="A98" s="262"/>
      <c r="B98" s="262"/>
      <c r="C98" s="262"/>
      <c r="D98" s="262"/>
      <c r="E98" s="262"/>
      <c r="F98" s="6" t="s">
        <v>66</v>
      </c>
      <c r="G98" s="7" t="s">
        <v>58</v>
      </c>
      <c r="H98" s="6">
        <v>72400</v>
      </c>
      <c r="I98" s="6" t="s">
        <v>69</v>
      </c>
      <c r="J98" s="213">
        <f>global!J98+'4 RPA COs'!M98+'95 COs'!J102</f>
        <v>17504</v>
      </c>
      <c r="K98" s="213">
        <f>global!K98+'4 RPA COs'!N98+'95 COs'!K102</f>
        <v>74509.870000000024</v>
      </c>
      <c r="L98" s="213">
        <f>global!L98+'4 RPA COs'!O98+'95 COs'!L102</f>
        <v>17990</v>
      </c>
      <c r="M98" s="213">
        <f>global!M98+'4 RPA COs'!P98+'95 COs'!M102</f>
        <v>17991.129999999976</v>
      </c>
      <c r="N98" s="213">
        <f t="shared" si="28"/>
        <v>127995</v>
      </c>
      <c r="O98" s="8"/>
      <c r="P98" s="9"/>
    </row>
    <row r="99" spans="1:36" ht="21.95" customHeight="1" x14ac:dyDescent="0.2">
      <c r="A99" s="262"/>
      <c r="B99" s="262"/>
      <c r="C99" s="262"/>
      <c r="D99" s="262"/>
      <c r="E99" s="262"/>
      <c r="F99" s="6" t="s">
        <v>66</v>
      </c>
      <c r="G99" s="7" t="s">
        <v>24</v>
      </c>
      <c r="H99" s="6">
        <v>72500</v>
      </c>
      <c r="I99" s="6" t="s">
        <v>25</v>
      </c>
      <c r="J99" s="213">
        <f>global!J99+'4 RPA COs'!M99+'95 COs'!J103</f>
        <v>8282</v>
      </c>
      <c r="K99" s="213">
        <f>global!K99+'4 RPA COs'!N99+'95 COs'!K103</f>
        <v>90620.73000000004</v>
      </c>
      <c r="L99" s="213">
        <f>global!L99+'4 RPA COs'!O99+'95 COs'!L103</f>
        <v>8726</v>
      </c>
      <c r="M99" s="213">
        <f>global!M99+'4 RPA COs'!P99+'95 COs'!M103</f>
        <v>8721.2699999999604</v>
      </c>
      <c r="N99" s="213">
        <f t="shared" si="28"/>
        <v>116350</v>
      </c>
      <c r="O99" s="8"/>
      <c r="P99" s="9"/>
    </row>
    <row r="100" spans="1:36" ht="21.95" customHeight="1" x14ac:dyDescent="0.2">
      <c r="A100" s="262"/>
      <c r="B100" s="262"/>
      <c r="C100" s="262"/>
      <c r="D100" s="262"/>
      <c r="E100" s="262"/>
      <c r="F100" s="6" t="s">
        <v>66</v>
      </c>
      <c r="G100" s="7" t="s">
        <v>58</v>
      </c>
      <c r="H100" s="6">
        <v>72800</v>
      </c>
      <c r="I100" s="6" t="s">
        <v>70</v>
      </c>
      <c r="J100" s="213">
        <f>global!J100+'4 RPA COs'!M100+'95 COs'!J104</f>
        <v>11164</v>
      </c>
      <c r="K100" s="213">
        <f>global!K100+'4 RPA COs'!N100+'95 COs'!K104</f>
        <v>47518.52</v>
      </c>
      <c r="L100" s="213">
        <f>global!L100+'4 RPA COs'!O100+'95 COs'!L104</f>
        <v>11473</v>
      </c>
      <c r="M100" s="213">
        <f>global!M100+'4 RPA COs'!P100+'95 COs'!M104</f>
        <v>11474.480000000003</v>
      </c>
      <c r="N100" s="213">
        <f t="shared" si="28"/>
        <v>81630</v>
      </c>
      <c r="O100" s="8"/>
      <c r="P100" s="9"/>
    </row>
    <row r="101" spans="1:36" ht="21.95" customHeight="1" x14ac:dyDescent="0.2">
      <c r="A101" s="262"/>
      <c r="B101" s="262"/>
      <c r="C101" s="262"/>
      <c r="D101" s="262"/>
      <c r="E101" s="262"/>
      <c r="F101" s="6" t="s">
        <v>66</v>
      </c>
      <c r="G101" s="7" t="s">
        <v>71</v>
      </c>
      <c r="H101" s="6">
        <v>73100</v>
      </c>
      <c r="I101" s="6" t="s">
        <v>72</v>
      </c>
      <c r="J101" s="213">
        <f>global!J101+'4 RPA COs'!M101+'95 COs'!J105</f>
        <v>143738</v>
      </c>
      <c r="K101" s="213">
        <f>global!K101+'4 RPA COs'!N101+'95 COs'!K105</f>
        <v>611858.41</v>
      </c>
      <c r="L101" s="213">
        <f>global!L101+'4 RPA COs'!O101+'95 COs'!L105</f>
        <v>147734</v>
      </c>
      <c r="M101" s="213">
        <f>global!M101+'4 RPA COs'!P101+'95 COs'!M105</f>
        <v>147733.58999999997</v>
      </c>
      <c r="N101" s="213">
        <f t="shared" si="28"/>
        <v>1051064</v>
      </c>
      <c r="O101" s="8"/>
      <c r="P101" s="9"/>
    </row>
    <row r="102" spans="1:36" ht="21.95" customHeight="1" x14ac:dyDescent="0.2">
      <c r="A102" s="262"/>
      <c r="B102" s="262"/>
      <c r="C102" s="262"/>
      <c r="D102" s="262"/>
      <c r="E102" s="262"/>
      <c r="F102" s="6" t="s">
        <v>66</v>
      </c>
      <c r="G102" s="7" t="s">
        <v>58</v>
      </c>
      <c r="H102" s="6">
        <v>73400</v>
      </c>
      <c r="I102" s="6" t="s">
        <v>73</v>
      </c>
      <c r="J102" s="213">
        <f>global!J102+'4 RPA COs'!M102+'95 COs'!J106</f>
        <v>8451</v>
      </c>
      <c r="K102" s="213">
        <f>global!K102+'4 RPA COs'!N102+'95 COs'!K106</f>
        <v>35973.239999999991</v>
      </c>
      <c r="L102" s="213">
        <f>global!L102+'4 RPA COs'!O102+'95 COs'!L106</f>
        <v>8685</v>
      </c>
      <c r="M102" s="213">
        <f>global!M102+'4 RPA COs'!P102+'95 COs'!M106</f>
        <v>8683.7600000000093</v>
      </c>
      <c r="N102" s="213">
        <f t="shared" si="28"/>
        <v>61793</v>
      </c>
      <c r="O102" s="8"/>
      <c r="P102" s="9"/>
    </row>
    <row r="103" spans="1:36" ht="21.95" customHeight="1" x14ac:dyDescent="0.2">
      <c r="A103" s="262"/>
      <c r="B103" s="262"/>
      <c r="C103" s="262"/>
      <c r="D103" s="262"/>
      <c r="E103" s="262"/>
      <c r="F103" s="6" t="s">
        <v>66</v>
      </c>
      <c r="G103" s="7" t="s">
        <v>74</v>
      </c>
      <c r="H103" s="6">
        <v>74100</v>
      </c>
      <c r="I103" s="6" t="s">
        <v>75</v>
      </c>
      <c r="J103" s="213">
        <f>global!J103+'4 RPA COs'!M103+'95 COs'!J107</f>
        <v>39946</v>
      </c>
      <c r="K103" s="213">
        <f>global!K103+'4 RPA COs'!N103+'95 COs'!K107</f>
        <v>45537.120000000003</v>
      </c>
      <c r="L103" s="213">
        <f>global!L103+'4 RPA COs'!O103+'95 COs'!L107</f>
        <v>40579</v>
      </c>
      <c r="M103" s="213">
        <f>global!M103+'4 RPA COs'!P103+'95 COs'!M107</f>
        <v>40577.880000000005</v>
      </c>
      <c r="N103" s="213">
        <f t="shared" si="28"/>
        <v>166640</v>
      </c>
      <c r="O103" s="8"/>
      <c r="P103" s="9"/>
    </row>
    <row r="104" spans="1:36" ht="21.95" customHeight="1" x14ac:dyDescent="0.2">
      <c r="A104" s="262"/>
      <c r="B104" s="262"/>
      <c r="C104" s="262"/>
      <c r="D104" s="262"/>
      <c r="E104" s="262"/>
      <c r="F104" s="6" t="s">
        <v>66</v>
      </c>
      <c r="G104" s="7" t="s">
        <v>58</v>
      </c>
      <c r="H104" s="6">
        <v>74200</v>
      </c>
      <c r="I104" s="6" t="s">
        <v>76</v>
      </c>
      <c r="J104" s="213">
        <f>global!J104+'4 RPA COs'!M104+'95 COs'!J108</f>
        <v>7930</v>
      </c>
      <c r="K104" s="213">
        <f>global!K104+'4 RPA COs'!N104+'95 COs'!K108</f>
        <v>33757.080000000009</v>
      </c>
      <c r="L104" s="213">
        <f>global!L104+'4 RPA COs'!O104+'95 COs'!L108</f>
        <v>8152</v>
      </c>
      <c r="M104" s="213">
        <f>global!M104+'4 RPA COs'!P104+'95 COs'!M108</f>
        <v>8147.919999999991</v>
      </c>
      <c r="N104" s="213">
        <f t="shared" si="28"/>
        <v>57987</v>
      </c>
      <c r="O104" s="8"/>
      <c r="P104" s="9"/>
    </row>
    <row r="105" spans="1:36" ht="21.95" customHeight="1" x14ac:dyDescent="0.2">
      <c r="A105" s="262"/>
      <c r="B105" s="262"/>
      <c r="C105" s="262"/>
      <c r="D105" s="262"/>
      <c r="E105" s="262"/>
      <c r="F105" s="6" t="s">
        <v>66</v>
      </c>
      <c r="G105" s="7" t="s">
        <v>23</v>
      </c>
      <c r="H105" s="6">
        <v>74500</v>
      </c>
      <c r="I105" s="6" t="s">
        <v>49</v>
      </c>
      <c r="J105" s="213">
        <f>global!J105+'4 RPA COs'!M105+'95 COs'!J109</f>
        <v>17945</v>
      </c>
      <c r="K105" s="213">
        <f>global!K105+'4 RPA COs'!N105+'95 COs'!K109</f>
        <v>18233</v>
      </c>
      <c r="L105" s="213">
        <f>global!L105+'4 RPA COs'!O105+'95 COs'!L109</f>
        <v>18224</v>
      </c>
      <c r="M105" s="213">
        <f>global!M105+'4 RPA COs'!P105+'95 COs'!M109</f>
        <v>18220</v>
      </c>
      <c r="N105" s="213">
        <f t="shared" si="28"/>
        <v>72622</v>
      </c>
      <c r="O105" s="8"/>
      <c r="P105" s="9"/>
    </row>
    <row r="106" spans="1:36" ht="21.95" customHeight="1" x14ac:dyDescent="0.2">
      <c r="A106" s="262"/>
      <c r="B106" s="262"/>
      <c r="C106" s="262"/>
      <c r="D106" s="262"/>
      <c r="E106" s="262"/>
      <c r="F106" s="6" t="s">
        <v>66</v>
      </c>
      <c r="G106" s="7" t="s">
        <v>23</v>
      </c>
      <c r="H106" s="6">
        <v>74700</v>
      </c>
      <c r="I106" s="6" t="s">
        <v>77</v>
      </c>
      <c r="J106" s="213">
        <f>global!J106+'4 RPA COs'!M106+'95 COs'!J110</f>
        <v>5839</v>
      </c>
      <c r="K106" s="213">
        <f>global!K106+'4 RPA COs'!N106+'95 COs'!K110</f>
        <v>5839</v>
      </c>
      <c r="L106" s="213">
        <f>global!L106+'4 RPA COs'!O106+'95 COs'!L110</f>
        <v>5839</v>
      </c>
      <c r="M106" s="213">
        <f>global!M106+'4 RPA COs'!P106+'95 COs'!M110</f>
        <v>5838</v>
      </c>
      <c r="N106" s="213">
        <f t="shared" si="28"/>
        <v>23355</v>
      </c>
      <c r="O106" s="8"/>
      <c r="P106" s="9"/>
    </row>
    <row r="107" spans="1:36" ht="21.95" customHeight="1" x14ac:dyDescent="0.2">
      <c r="A107" s="262"/>
      <c r="B107" s="262"/>
      <c r="C107" s="262"/>
      <c r="D107" s="262"/>
      <c r="E107" s="262"/>
      <c r="F107" s="6" t="s">
        <v>66</v>
      </c>
      <c r="G107" s="7" t="s">
        <v>28</v>
      </c>
      <c r="H107" s="6">
        <v>61200</v>
      </c>
      <c r="I107" s="6" t="s">
        <v>29</v>
      </c>
      <c r="J107" s="213">
        <f>global!J107+'4 RPA COs'!M107+'95 COs'!J111</f>
        <v>107949</v>
      </c>
      <c r="K107" s="213">
        <f>global!K107+'4 RPA COs'!N107+'95 COs'!K111</f>
        <v>107949</v>
      </c>
      <c r="L107" s="213">
        <f>global!L107+'4 RPA COs'!O107+'95 COs'!L111</f>
        <v>107949</v>
      </c>
      <c r="M107" s="213">
        <f>global!M107+'4 RPA COs'!P107+'95 COs'!M111</f>
        <v>107950</v>
      </c>
      <c r="N107" s="213">
        <f t="shared" si="28"/>
        <v>431797</v>
      </c>
      <c r="O107" s="8"/>
      <c r="P107" s="9"/>
    </row>
    <row r="108" spans="1:36" s="2" customFormat="1" ht="21.95" customHeight="1" x14ac:dyDescent="0.2">
      <c r="A108" s="262"/>
      <c r="B108" s="262"/>
      <c r="C108" s="262"/>
      <c r="D108" s="262"/>
      <c r="E108" s="262"/>
      <c r="F108" s="6" t="s">
        <v>66</v>
      </c>
      <c r="G108" s="7" t="s">
        <v>28</v>
      </c>
      <c r="H108" s="6">
        <v>61300</v>
      </c>
      <c r="I108" s="6" t="s">
        <v>30</v>
      </c>
      <c r="J108" s="213">
        <f>global!J108+'4 RPA COs'!M108+'95 COs'!J112</f>
        <v>145842</v>
      </c>
      <c r="K108" s="213">
        <f>global!K108+'4 RPA COs'!N108+'95 COs'!K112</f>
        <v>145842</v>
      </c>
      <c r="L108" s="213">
        <f>global!L108+'4 RPA COs'!O108+'95 COs'!L112</f>
        <v>145842</v>
      </c>
      <c r="M108" s="213">
        <f>global!M108+'4 RPA COs'!P108+'95 COs'!M112</f>
        <v>145841</v>
      </c>
      <c r="N108" s="213">
        <f t="shared" si="28"/>
        <v>583367</v>
      </c>
      <c r="O108" s="8"/>
      <c r="P108" s="9"/>
      <c r="R108" s="1"/>
      <c r="S108" s="1"/>
      <c r="T108" s="1"/>
      <c r="U108" s="1"/>
      <c r="V108" s="1"/>
      <c r="W108" s="1"/>
      <c r="X108" s="1"/>
      <c r="Y108" s="1"/>
      <c r="Z108" s="1"/>
      <c r="AA108" s="1"/>
      <c r="AB108" s="1"/>
      <c r="AC108" s="1"/>
      <c r="AD108" s="1"/>
      <c r="AE108" s="1"/>
      <c r="AF108" s="1"/>
      <c r="AG108" s="1"/>
      <c r="AH108" s="1"/>
      <c r="AI108" s="1"/>
      <c r="AJ108" s="1"/>
    </row>
    <row r="109" spans="1:36" s="2" customFormat="1" ht="21.95" customHeight="1" x14ac:dyDescent="0.2">
      <c r="A109" s="262"/>
      <c r="B109" s="262"/>
      <c r="C109" s="261" t="s">
        <v>31</v>
      </c>
      <c r="D109" s="261"/>
      <c r="E109" s="261"/>
      <c r="F109" s="261"/>
      <c r="G109" s="261"/>
      <c r="H109" s="261"/>
      <c r="I109" s="261"/>
      <c r="J109" s="213">
        <f>SUM(J94:J108)</f>
        <v>1218282</v>
      </c>
      <c r="K109" s="213">
        <f t="shared" ref="K109:N109" si="29">SUM(K94:K108)</f>
        <v>1940278.4100000004</v>
      </c>
      <c r="L109" s="213">
        <f t="shared" si="29"/>
        <v>1235574</v>
      </c>
      <c r="M109" s="213">
        <f t="shared" si="29"/>
        <v>1235556.5899999999</v>
      </c>
      <c r="N109" s="213">
        <f t="shared" si="29"/>
        <v>5629691</v>
      </c>
      <c r="O109" s="8"/>
      <c r="P109" s="9"/>
      <c r="R109" s="1"/>
      <c r="S109" s="1"/>
      <c r="T109" s="1"/>
      <c r="U109" s="1"/>
      <c r="V109" s="1"/>
      <c r="W109" s="1"/>
      <c r="X109" s="1"/>
      <c r="Y109" s="1"/>
      <c r="Z109" s="1"/>
      <c r="AA109" s="1"/>
      <c r="AB109" s="1"/>
      <c r="AC109" s="1"/>
      <c r="AD109" s="1"/>
      <c r="AE109" s="1"/>
      <c r="AF109" s="1"/>
      <c r="AG109" s="1"/>
      <c r="AH109" s="1"/>
      <c r="AI109" s="1"/>
      <c r="AJ109" s="1"/>
    </row>
    <row r="110" spans="1:36" s="2" customFormat="1" ht="21.95" customHeight="1" x14ac:dyDescent="0.2">
      <c r="A110" s="262"/>
      <c r="B110" s="261" t="s">
        <v>78</v>
      </c>
      <c r="C110" s="261"/>
      <c r="D110" s="261"/>
      <c r="E110" s="261"/>
      <c r="F110" s="261"/>
      <c r="G110" s="261"/>
      <c r="H110" s="261"/>
      <c r="I110" s="261"/>
      <c r="J110" s="213">
        <f>J109</f>
        <v>1218282</v>
      </c>
      <c r="K110" s="213">
        <f t="shared" ref="K110:N110" si="30">K109</f>
        <v>1940278.4100000004</v>
      </c>
      <c r="L110" s="213">
        <f t="shared" si="30"/>
        <v>1235574</v>
      </c>
      <c r="M110" s="213">
        <f t="shared" si="30"/>
        <v>1235556.5899999999</v>
      </c>
      <c r="N110" s="213">
        <f t="shared" si="30"/>
        <v>5629691</v>
      </c>
      <c r="O110" s="8"/>
      <c r="P110" s="9"/>
      <c r="R110" s="1"/>
      <c r="S110" s="1"/>
      <c r="T110" s="1"/>
      <c r="U110" s="1"/>
      <c r="V110" s="1"/>
      <c r="W110" s="1"/>
      <c r="X110" s="1"/>
      <c r="Y110" s="1"/>
      <c r="Z110" s="1"/>
      <c r="AA110" s="1"/>
      <c r="AB110" s="1"/>
      <c r="AC110" s="1"/>
      <c r="AD110" s="1"/>
      <c r="AE110" s="1"/>
      <c r="AF110" s="1"/>
      <c r="AG110" s="1"/>
      <c r="AH110" s="1"/>
      <c r="AI110" s="1"/>
      <c r="AJ110" s="1"/>
    </row>
    <row r="111" spans="1:36" s="2" customFormat="1" ht="21.95" customHeight="1" x14ac:dyDescent="0.2">
      <c r="A111" s="262"/>
      <c r="B111" s="262" t="s">
        <v>79</v>
      </c>
      <c r="C111" s="262" t="s">
        <v>17</v>
      </c>
      <c r="D111" s="262">
        <v>62000</v>
      </c>
      <c r="E111" s="262">
        <v>10003</v>
      </c>
      <c r="F111" s="6" t="s">
        <v>79</v>
      </c>
      <c r="G111" s="7" t="s">
        <v>21</v>
      </c>
      <c r="H111" s="6">
        <v>71400</v>
      </c>
      <c r="I111" s="6" t="s">
        <v>22</v>
      </c>
      <c r="J111" s="213">
        <f>global!J111+'4 RPA COs'!M111+'95 COs'!J115</f>
        <v>500237</v>
      </c>
      <c r="K111" s="213">
        <f>global!K111+'4 RPA COs'!N111+'95 COs'!K115</f>
        <v>717882</v>
      </c>
      <c r="L111" s="213">
        <f>global!L111+'4 RPA COs'!O111+'95 COs'!L115</f>
        <v>711482</v>
      </c>
      <c r="M111" s="213">
        <f>global!M111+'4 RPA COs'!P111+'95 COs'!M115</f>
        <v>711479</v>
      </c>
      <c r="N111" s="213">
        <f t="shared" ref="N111:N125" si="31">SUM(J111:M111)</f>
        <v>2641080</v>
      </c>
      <c r="O111" s="8"/>
      <c r="P111" s="9"/>
      <c r="R111" s="1"/>
      <c r="S111" s="1"/>
      <c r="T111" s="1"/>
      <c r="U111" s="1"/>
      <c r="V111" s="1"/>
      <c r="W111" s="1"/>
      <c r="X111" s="1"/>
      <c r="Y111" s="1"/>
      <c r="Z111" s="1"/>
      <c r="AA111" s="1"/>
      <c r="AB111" s="1"/>
      <c r="AC111" s="1"/>
      <c r="AD111" s="1"/>
      <c r="AE111" s="1"/>
      <c r="AF111" s="1"/>
      <c r="AG111" s="1"/>
      <c r="AH111" s="1"/>
      <c r="AI111" s="1"/>
      <c r="AJ111" s="1"/>
    </row>
    <row r="112" spans="1:36" s="2" customFormat="1" ht="21.95" customHeight="1" x14ac:dyDescent="0.2">
      <c r="A112" s="262"/>
      <c r="B112" s="262"/>
      <c r="C112" s="262"/>
      <c r="D112" s="262"/>
      <c r="E112" s="262"/>
      <c r="F112" s="6" t="s">
        <v>79</v>
      </c>
      <c r="G112" s="7" t="s">
        <v>23</v>
      </c>
      <c r="H112" s="6">
        <v>71600</v>
      </c>
      <c r="I112" s="6" t="s">
        <v>23</v>
      </c>
      <c r="J112" s="213">
        <f>global!J112+'4 RPA COs'!M112+'95 COs'!J116</f>
        <v>45750</v>
      </c>
      <c r="K112" s="213">
        <f>global!K112+'4 RPA COs'!N112+'95 COs'!K116</f>
        <v>71225</v>
      </c>
      <c r="L112" s="213">
        <f>global!L112+'4 RPA COs'!O112+'95 COs'!L116</f>
        <v>70476</v>
      </c>
      <c r="M112" s="213">
        <f>global!M112+'4 RPA COs'!P112+'95 COs'!M116</f>
        <v>70475</v>
      </c>
      <c r="N112" s="213">
        <f t="shared" si="31"/>
        <v>257926</v>
      </c>
      <c r="O112" s="8"/>
      <c r="P112" s="9"/>
      <c r="R112" s="1"/>
      <c r="S112" s="1"/>
      <c r="T112" s="1"/>
      <c r="U112" s="1"/>
      <c r="V112" s="1"/>
      <c r="W112" s="1"/>
      <c r="X112" s="1"/>
      <c r="Y112" s="1"/>
      <c r="Z112" s="1"/>
      <c r="AA112" s="1"/>
      <c r="AB112" s="1"/>
      <c r="AC112" s="1"/>
      <c r="AD112" s="1"/>
      <c r="AE112" s="1"/>
      <c r="AF112" s="1"/>
      <c r="AG112" s="1"/>
      <c r="AH112" s="1"/>
      <c r="AI112" s="1"/>
      <c r="AJ112" s="1"/>
    </row>
    <row r="113" spans="1:36" s="2" customFormat="1" ht="21.95" customHeight="1" x14ac:dyDescent="0.2">
      <c r="A113" s="262"/>
      <c r="B113" s="262"/>
      <c r="C113" s="262"/>
      <c r="D113" s="262"/>
      <c r="E113" s="262"/>
      <c r="F113" s="6" t="s">
        <v>79</v>
      </c>
      <c r="G113" s="7" t="s">
        <v>58</v>
      </c>
      <c r="H113" s="6">
        <v>72200</v>
      </c>
      <c r="I113" s="6" t="s">
        <v>67</v>
      </c>
      <c r="J113" s="213">
        <f>global!J113+'4 RPA COs'!M113+'95 COs'!J117</f>
        <v>2151</v>
      </c>
      <c r="K113" s="213">
        <f>global!K113+'4 RPA COs'!N113+'95 COs'!K117</f>
        <v>8629.2099999999991</v>
      </c>
      <c r="L113" s="213">
        <f>global!L113+'4 RPA COs'!O113+'95 COs'!L117</f>
        <v>3940</v>
      </c>
      <c r="M113" s="213">
        <f>global!M113+'4 RPA COs'!P113+'95 COs'!M117</f>
        <v>3939.7900000000009</v>
      </c>
      <c r="N113" s="213">
        <f t="shared" si="31"/>
        <v>18660</v>
      </c>
      <c r="O113" s="8"/>
      <c r="P113" s="9"/>
      <c r="R113" s="1"/>
      <c r="S113" s="1"/>
      <c r="T113" s="1"/>
      <c r="U113" s="1"/>
      <c r="V113" s="1"/>
      <c r="W113" s="1"/>
      <c r="X113" s="1"/>
      <c r="Y113" s="1"/>
      <c r="Z113" s="1"/>
      <c r="AA113" s="1"/>
      <c r="AB113" s="1"/>
      <c r="AC113" s="1"/>
      <c r="AD113" s="1"/>
      <c r="AE113" s="1"/>
      <c r="AF113" s="1"/>
      <c r="AG113" s="1"/>
      <c r="AH113" s="1"/>
      <c r="AI113" s="1"/>
      <c r="AJ113" s="1"/>
    </row>
    <row r="114" spans="1:36" s="2" customFormat="1" ht="21.95" customHeight="1" x14ac:dyDescent="0.2">
      <c r="A114" s="262"/>
      <c r="B114" s="262"/>
      <c r="C114" s="262"/>
      <c r="D114" s="262"/>
      <c r="E114" s="262"/>
      <c r="F114" s="6" t="s">
        <v>79</v>
      </c>
      <c r="G114" s="7" t="s">
        <v>58</v>
      </c>
      <c r="H114" s="6">
        <v>72300</v>
      </c>
      <c r="I114" s="6" t="s">
        <v>68</v>
      </c>
      <c r="J114" s="213">
        <f>global!J114+'4 RPA COs'!M114+'95 COs'!J118</f>
        <v>11251</v>
      </c>
      <c r="K114" s="213">
        <f>global!K114+'4 RPA COs'!N114+'95 COs'!K118</f>
        <v>11251</v>
      </c>
      <c r="L114" s="213">
        <f>global!L114+'4 RPA COs'!O114+'95 COs'!L118</f>
        <v>11251</v>
      </c>
      <c r="M114" s="213">
        <f>global!M114+'4 RPA COs'!P114+'95 COs'!M118</f>
        <v>11251</v>
      </c>
      <c r="N114" s="213">
        <f t="shared" si="31"/>
        <v>45004</v>
      </c>
      <c r="O114" s="8"/>
      <c r="P114" s="9"/>
      <c r="R114" s="1"/>
      <c r="S114" s="1"/>
      <c r="T114" s="1"/>
      <c r="U114" s="1"/>
      <c r="V114" s="1"/>
      <c r="W114" s="1"/>
      <c r="X114" s="1"/>
      <c r="Y114" s="1"/>
      <c r="Z114" s="1"/>
      <c r="AA114" s="1"/>
      <c r="AB114" s="1"/>
      <c r="AC114" s="1"/>
      <c r="AD114" s="1"/>
      <c r="AE114" s="1"/>
      <c r="AF114" s="1"/>
      <c r="AG114" s="1"/>
      <c r="AH114" s="1"/>
      <c r="AI114" s="1"/>
      <c r="AJ114" s="1"/>
    </row>
    <row r="115" spans="1:36" s="2" customFormat="1" ht="21.95" customHeight="1" x14ac:dyDescent="0.2">
      <c r="A115" s="262"/>
      <c r="B115" s="262"/>
      <c r="C115" s="262"/>
      <c r="D115" s="262"/>
      <c r="E115" s="262"/>
      <c r="F115" s="6" t="s">
        <v>79</v>
      </c>
      <c r="G115" s="7" t="s">
        <v>58</v>
      </c>
      <c r="H115" s="6">
        <v>72400</v>
      </c>
      <c r="I115" s="6" t="s">
        <v>69</v>
      </c>
      <c r="J115" s="213">
        <f>global!J115+'4 RPA COs'!M115+'95 COs'!J119</f>
        <v>15310</v>
      </c>
      <c r="K115" s="213">
        <f>global!K115+'4 RPA COs'!N115+'95 COs'!K119</f>
        <v>61420.090000000004</v>
      </c>
      <c r="L115" s="213">
        <f>global!L115+'4 RPA COs'!O115+'95 COs'!L119</f>
        <v>28042</v>
      </c>
      <c r="M115" s="213">
        <f>global!M115+'4 RPA COs'!P115+'95 COs'!M119</f>
        <v>28044.909999999996</v>
      </c>
      <c r="N115" s="213">
        <f t="shared" si="31"/>
        <v>132817</v>
      </c>
      <c r="O115" s="8"/>
      <c r="P115" s="9"/>
      <c r="R115" s="1"/>
      <c r="S115" s="1"/>
      <c r="T115" s="1"/>
      <c r="U115" s="1"/>
      <c r="V115" s="1"/>
      <c r="W115" s="1"/>
      <c r="X115" s="1"/>
      <c r="Y115" s="1"/>
      <c r="Z115" s="1"/>
      <c r="AA115" s="1"/>
      <c r="AB115" s="1"/>
      <c r="AC115" s="1"/>
      <c r="AD115" s="1"/>
      <c r="AE115" s="1"/>
      <c r="AF115" s="1"/>
      <c r="AG115" s="1"/>
      <c r="AH115" s="1"/>
      <c r="AI115" s="1"/>
      <c r="AJ115" s="1"/>
    </row>
    <row r="116" spans="1:36" s="2" customFormat="1" ht="21.95" customHeight="1" x14ac:dyDescent="0.2">
      <c r="A116" s="262"/>
      <c r="B116" s="262"/>
      <c r="C116" s="262"/>
      <c r="D116" s="262"/>
      <c r="E116" s="262"/>
      <c r="F116" s="6" t="s">
        <v>79</v>
      </c>
      <c r="G116" s="7" t="s">
        <v>24</v>
      </c>
      <c r="H116" s="6">
        <v>72500</v>
      </c>
      <c r="I116" s="6" t="s">
        <v>25</v>
      </c>
      <c r="J116" s="213">
        <f>global!J116+'4 RPA COs'!M116+'95 COs'!J120</f>
        <v>9463</v>
      </c>
      <c r="K116" s="213">
        <f>global!K116+'4 RPA COs'!N116+'95 COs'!K120</f>
        <v>69198.820000000007</v>
      </c>
      <c r="L116" s="213">
        <f>global!L116+'4 RPA COs'!O116+'95 COs'!L120</f>
        <v>21038</v>
      </c>
      <c r="M116" s="213">
        <f>global!M116+'4 RPA COs'!P116+'95 COs'!M120</f>
        <v>21034.179999999993</v>
      </c>
      <c r="N116" s="213">
        <f t="shared" si="31"/>
        <v>120734</v>
      </c>
      <c r="O116" s="8"/>
      <c r="P116" s="9"/>
      <c r="R116" s="1"/>
      <c r="S116" s="1"/>
      <c r="T116" s="1"/>
      <c r="U116" s="1"/>
      <c r="V116" s="1"/>
      <c r="W116" s="1"/>
      <c r="X116" s="1"/>
      <c r="Y116" s="1"/>
      <c r="Z116" s="1"/>
      <c r="AA116" s="1"/>
      <c r="AB116" s="1"/>
      <c r="AC116" s="1"/>
      <c r="AD116" s="1"/>
      <c r="AE116" s="1"/>
      <c r="AF116" s="1"/>
      <c r="AG116" s="1"/>
      <c r="AH116" s="1"/>
      <c r="AI116" s="1"/>
      <c r="AJ116" s="1"/>
    </row>
    <row r="117" spans="1:36" s="2" customFormat="1" ht="21.95" customHeight="1" x14ac:dyDescent="0.2">
      <c r="A117" s="262"/>
      <c r="B117" s="262"/>
      <c r="C117" s="262"/>
      <c r="D117" s="262"/>
      <c r="E117" s="262"/>
      <c r="F117" s="6" t="s">
        <v>79</v>
      </c>
      <c r="G117" s="7" t="s">
        <v>58</v>
      </c>
      <c r="H117" s="6">
        <v>72800</v>
      </c>
      <c r="I117" s="6" t="s">
        <v>70</v>
      </c>
      <c r="J117" s="213">
        <f>global!J117+'4 RPA COs'!M117+'95 COs'!J121</f>
        <v>9764</v>
      </c>
      <c r="K117" s="213">
        <f>global!K117+'4 RPA COs'!N117+'95 COs'!K121</f>
        <v>39172.21</v>
      </c>
      <c r="L117" s="213">
        <f>global!L117+'4 RPA COs'!O117+'95 COs'!L121</f>
        <v>17884</v>
      </c>
      <c r="M117" s="213">
        <f>global!M117+'4 RPA COs'!P117+'95 COs'!M121</f>
        <v>17885.79</v>
      </c>
      <c r="N117" s="213">
        <f t="shared" si="31"/>
        <v>84706</v>
      </c>
      <c r="O117" s="8"/>
      <c r="P117" s="9"/>
      <c r="R117" s="1"/>
      <c r="S117" s="1"/>
      <c r="T117" s="1"/>
      <c r="U117" s="1"/>
      <c r="V117" s="1"/>
      <c r="W117" s="1"/>
      <c r="X117" s="1"/>
      <c r="Y117" s="1"/>
      <c r="Z117" s="1"/>
      <c r="AA117" s="1"/>
      <c r="AB117" s="1"/>
      <c r="AC117" s="1"/>
      <c r="AD117" s="1"/>
      <c r="AE117" s="1"/>
      <c r="AF117" s="1"/>
      <c r="AG117" s="1"/>
      <c r="AH117" s="1"/>
      <c r="AI117" s="1"/>
      <c r="AJ117" s="1"/>
    </row>
    <row r="118" spans="1:36" s="2" customFormat="1" ht="21.95" customHeight="1" x14ac:dyDescent="0.2">
      <c r="A118" s="262"/>
      <c r="B118" s="262"/>
      <c r="C118" s="262"/>
      <c r="D118" s="262"/>
      <c r="E118" s="262"/>
      <c r="F118" s="6" t="s">
        <v>79</v>
      </c>
      <c r="G118" s="7" t="s">
        <v>71</v>
      </c>
      <c r="H118" s="6">
        <v>73100</v>
      </c>
      <c r="I118" s="6" t="s">
        <v>72</v>
      </c>
      <c r="J118" s="213">
        <f>global!J118+'4 RPA COs'!M118+'95 COs'!J122</f>
        <v>125726</v>
      </c>
      <c r="K118" s="213">
        <f>global!K118+'4 RPA COs'!N118+'95 COs'!K122</f>
        <v>504377.00000000006</v>
      </c>
      <c r="L118" s="213">
        <f>global!L118+'4 RPA COs'!O118+'95 COs'!L122</f>
        <v>230284</v>
      </c>
      <c r="M118" s="213">
        <f>global!M118+'4 RPA COs'!P118+'95 COs'!M122</f>
        <v>230280.99999999994</v>
      </c>
      <c r="N118" s="213">
        <f t="shared" si="31"/>
        <v>1090668</v>
      </c>
      <c r="O118" s="8"/>
      <c r="P118" s="9"/>
      <c r="R118" s="1"/>
      <c r="S118" s="1"/>
      <c r="T118" s="1"/>
      <c r="U118" s="1"/>
      <c r="V118" s="1"/>
      <c r="W118" s="1"/>
      <c r="X118" s="1"/>
      <c r="Y118" s="1"/>
      <c r="Z118" s="1"/>
      <c r="AA118" s="1"/>
      <c r="AB118" s="1"/>
      <c r="AC118" s="1"/>
      <c r="AD118" s="1"/>
      <c r="AE118" s="1"/>
      <c r="AF118" s="1"/>
      <c r="AG118" s="1"/>
      <c r="AH118" s="1"/>
      <c r="AI118" s="1"/>
      <c r="AJ118" s="1"/>
    </row>
    <row r="119" spans="1:36" s="2" customFormat="1" ht="21.95" customHeight="1" x14ac:dyDescent="0.2">
      <c r="A119" s="262"/>
      <c r="B119" s="262"/>
      <c r="C119" s="262"/>
      <c r="D119" s="262"/>
      <c r="E119" s="262"/>
      <c r="F119" s="6" t="s">
        <v>79</v>
      </c>
      <c r="G119" s="7" t="s">
        <v>58</v>
      </c>
      <c r="H119" s="6">
        <v>73400</v>
      </c>
      <c r="I119" s="6" t="s">
        <v>73</v>
      </c>
      <c r="J119" s="213">
        <f>global!J119+'4 RPA COs'!M119+'95 COs'!J123</f>
        <v>7392</v>
      </c>
      <c r="K119" s="213">
        <f>global!K119+'4 RPA COs'!N119+'95 COs'!K123</f>
        <v>29653.03</v>
      </c>
      <c r="L119" s="213">
        <f>global!L119+'4 RPA COs'!O119+'95 COs'!L123</f>
        <v>13538</v>
      </c>
      <c r="M119" s="213">
        <f>global!M119+'4 RPA COs'!P119+'95 COs'!M123</f>
        <v>13538.970000000001</v>
      </c>
      <c r="N119" s="213">
        <f t="shared" si="31"/>
        <v>64122</v>
      </c>
      <c r="O119" s="8"/>
      <c r="P119" s="9"/>
      <c r="R119" s="1"/>
      <c r="S119" s="1"/>
      <c r="T119" s="1"/>
      <c r="U119" s="1"/>
      <c r="V119" s="1"/>
      <c r="W119" s="1"/>
      <c r="X119" s="1"/>
      <c r="Y119" s="1"/>
      <c r="Z119" s="1"/>
      <c r="AA119" s="1"/>
      <c r="AB119" s="1"/>
      <c r="AC119" s="1"/>
      <c r="AD119" s="1"/>
      <c r="AE119" s="1"/>
      <c r="AF119" s="1"/>
      <c r="AG119" s="1"/>
      <c r="AH119" s="1"/>
      <c r="AI119" s="1"/>
      <c r="AJ119" s="1"/>
    </row>
    <row r="120" spans="1:36" s="2" customFormat="1" ht="21.95" customHeight="1" x14ac:dyDescent="0.2">
      <c r="A120" s="262"/>
      <c r="B120" s="262"/>
      <c r="C120" s="262"/>
      <c r="D120" s="262"/>
      <c r="E120" s="262"/>
      <c r="F120" s="6" t="s">
        <v>79</v>
      </c>
      <c r="G120" s="7" t="s">
        <v>74</v>
      </c>
      <c r="H120" s="6">
        <v>74100</v>
      </c>
      <c r="I120" s="6" t="s">
        <v>75</v>
      </c>
      <c r="J120" s="213">
        <f>global!J120+'4 RPA COs'!M120+'95 COs'!J124</f>
        <v>29223</v>
      </c>
      <c r="K120" s="213">
        <f>global!K120+'4 RPA COs'!N120+'95 COs'!K124</f>
        <v>52093.88</v>
      </c>
      <c r="L120" s="213">
        <f>global!L120+'4 RPA COs'!O120+'95 COs'!L124</f>
        <v>45799</v>
      </c>
      <c r="M120" s="213">
        <f>global!M120+'4 RPA COs'!P120+'95 COs'!M124</f>
        <v>45802.119999999995</v>
      </c>
      <c r="N120" s="213">
        <f t="shared" si="31"/>
        <v>172918</v>
      </c>
      <c r="O120" s="8"/>
      <c r="P120" s="9"/>
      <c r="R120" s="1"/>
      <c r="S120" s="1"/>
      <c r="T120" s="1"/>
      <c r="U120" s="1"/>
      <c r="V120" s="1"/>
      <c r="W120" s="1"/>
      <c r="X120" s="1"/>
      <c r="Y120" s="1"/>
      <c r="Z120" s="1"/>
      <c r="AA120" s="1"/>
      <c r="AB120" s="1"/>
      <c r="AC120" s="1"/>
      <c r="AD120" s="1"/>
      <c r="AE120" s="1"/>
      <c r="AF120" s="1"/>
      <c r="AG120" s="1"/>
      <c r="AH120" s="1"/>
      <c r="AI120" s="1"/>
      <c r="AJ120" s="1"/>
    </row>
    <row r="121" spans="1:36" s="2" customFormat="1" ht="21.95" customHeight="1" x14ac:dyDescent="0.2">
      <c r="A121" s="262"/>
      <c r="B121" s="262"/>
      <c r="C121" s="262"/>
      <c r="D121" s="262"/>
      <c r="E121" s="262"/>
      <c r="F121" s="6" t="s">
        <v>79</v>
      </c>
      <c r="G121" s="7" t="s">
        <v>58</v>
      </c>
      <c r="H121" s="6">
        <v>74200</v>
      </c>
      <c r="I121" s="6" t="s">
        <v>76</v>
      </c>
      <c r="J121" s="213">
        <f>global!J121+'4 RPA COs'!M121+'95 COs'!J125</f>
        <v>6936</v>
      </c>
      <c r="K121" s="213">
        <f>global!K121+'4 RPA COs'!N121+'95 COs'!K125</f>
        <v>27827.660000000003</v>
      </c>
      <c r="L121" s="213">
        <f>global!L121+'4 RPA COs'!O121+'95 COs'!L125</f>
        <v>12704</v>
      </c>
      <c r="M121" s="213">
        <f>global!M121+'4 RPA COs'!P121+'95 COs'!M125</f>
        <v>12703.339999999997</v>
      </c>
      <c r="N121" s="213">
        <f t="shared" si="31"/>
        <v>60171</v>
      </c>
      <c r="O121" s="8"/>
      <c r="P121" s="9"/>
      <c r="R121" s="1"/>
      <c r="S121" s="1"/>
      <c r="T121" s="1"/>
      <c r="U121" s="1"/>
      <c r="V121" s="1"/>
      <c r="W121" s="1"/>
      <c r="X121" s="1"/>
      <c r="Y121" s="1"/>
      <c r="Z121" s="1"/>
      <c r="AA121" s="1"/>
      <c r="AB121" s="1"/>
      <c r="AC121" s="1"/>
      <c r="AD121" s="1"/>
      <c r="AE121" s="1"/>
      <c r="AF121" s="1"/>
      <c r="AG121" s="1"/>
      <c r="AH121" s="1"/>
      <c r="AI121" s="1"/>
      <c r="AJ121" s="1"/>
    </row>
    <row r="122" spans="1:36" s="2" customFormat="1" ht="21.95" customHeight="1" x14ac:dyDescent="0.2">
      <c r="A122" s="262"/>
      <c r="B122" s="262"/>
      <c r="C122" s="262"/>
      <c r="D122" s="262"/>
      <c r="E122" s="262"/>
      <c r="F122" s="6" t="s">
        <v>79</v>
      </c>
      <c r="G122" s="7" t="s">
        <v>23</v>
      </c>
      <c r="H122" s="6">
        <v>74500</v>
      </c>
      <c r="I122" s="6" t="s">
        <v>49</v>
      </c>
      <c r="J122" s="213">
        <f>global!J122+'4 RPA COs'!M122+'95 COs'!J126</f>
        <v>13366</v>
      </c>
      <c r="K122" s="213">
        <f>global!K122+'4 RPA COs'!N122+'95 COs'!K126</f>
        <v>20810</v>
      </c>
      <c r="L122" s="213">
        <f>global!L122+'4 RPA COs'!O122+'95 COs'!L126</f>
        <v>20591</v>
      </c>
      <c r="M122" s="213">
        <f>global!M122+'4 RPA COs'!P122+'95 COs'!M126</f>
        <v>20591</v>
      </c>
      <c r="N122" s="213">
        <f t="shared" si="31"/>
        <v>75358</v>
      </c>
      <c r="O122" s="8"/>
      <c r="P122" s="9"/>
      <c r="R122" s="1"/>
      <c r="S122" s="1"/>
      <c r="T122" s="1"/>
      <c r="U122" s="1"/>
      <c r="V122" s="1"/>
      <c r="W122" s="1"/>
      <c r="X122" s="1"/>
      <c r="Y122" s="1"/>
      <c r="Z122" s="1"/>
      <c r="AA122" s="1"/>
      <c r="AB122" s="1"/>
      <c r="AC122" s="1"/>
      <c r="AD122" s="1"/>
      <c r="AE122" s="1"/>
      <c r="AF122" s="1"/>
      <c r="AG122" s="1"/>
      <c r="AH122" s="1"/>
      <c r="AI122" s="1"/>
      <c r="AJ122" s="1"/>
    </row>
    <row r="123" spans="1:36" s="2" customFormat="1" ht="21.95" customHeight="1" x14ac:dyDescent="0.2">
      <c r="A123" s="262"/>
      <c r="B123" s="262"/>
      <c r="C123" s="262"/>
      <c r="D123" s="262"/>
      <c r="E123" s="262"/>
      <c r="F123" s="6" t="s">
        <v>79</v>
      </c>
      <c r="G123" s="7" t="s">
        <v>23</v>
      </c>
      <c r="H123" s="6">
        <v>74700</v>
      </c>
      <c r="I123" s="6" t="s">
        <v>77</v>
      </c>
      <c r="J123" s="213">
        <f>global!J123+'4 RPA COs'!M123+'95 COs'!J127</f>
        <v>6059</v>
      </c>
      <c r="K123" s="213">
        <f>global!K123+'4 RPA COs'!N123+'95 COs'!K127</f>
        <v>6059</v>
      </c>
      <c r="L123" s="213">
        <f>global!L123+'4 RPA COs'!O123+'95 COs'!L127</f>
        <v>6059</v>
      </c>
      <c r="M123" s="213">
        <f>global!M123+'4 RPA COs'!P123+'95 COs'!M127</f>
        <v>6057</v>
      </c>
      <c r="N123" s="213">
        <f t="shared" si="31"/>
        <v>24234</v>
      </c>
      <c r="O123" s="8"/>
      <c r="P123" s="9"/>
      <c r="R123" s="1"/>
      <c r="S123" s="1"/>
      <c r="T123" s="1"/>
      <c r="U123" s="1"/>
      <c r="V123" s="1"/>
      <c r="W123" s="1"/>
      <c r="X123" s="1"/>
      <c r="Y123" s="1"/>
      <c r="Z123" s="1"/>
      <c r="AA123" s="1"/>
      <c r="AB123" s="1"/>
      <c r="AC123" s="1"/>
      <c r="AD123" s="1"/>
      <c r="AE123" s="1"/>
      <c r="AF123" s="1"/>
      <c r="AG123" s="1"/>
      <c r="AH123" s="1"/>
      <c r="AI123" s="1"/>
      <c r="AJ123" s="1"/>
    </row>
    <row r="124" spans="1:36" s="2" customFormat="1" ht="21.95" customHeight="1" x14ac:dyDescent="0.2">
      <c r="A124" s="262"/>
      <c r="B124" s="262"/>
      <c r="C124" s="262"/>
      <c r="D124" s="262"/>
      <c r="E124" s="262"/>
      <c r="F124" s="6" t="s">
        <v>79</v>
      </c>
      <c r="G124" s="7" t="s">
        <v>28</v>
      </c>
      <c r="H124" s="6">
        <v>61200</v>
      </c>
      <c r="I124" s="6" t="s">
        <v>29</v>
      </c>
      <c r="J124" s="213">
        <f>global!J124+'4 RPA COs'!M124+'95 COs'!J128</f>
        <v>112017</v>
      </c>
      <c r="K124" s="213">
        <f>global!K124+'4 RPA COs'!N124+'95 COs'!K128</f>
        <v>112017</v>
      </c>
      <c r="L124" s="213">
        <f>global!L124+'4 RPA COs'!O124+'95 COs'!L128</f>
        <v>112017</v>
      </c>
      <c r="M124" s="213">
        <f>global!M124+'4 RPA COs'!P124+'95 COs'!M128</f>
        <v>112016</v>
      </c>
      <c r="N124" s="213">
        <f t="shared" si="31"/>
        <v>448067</v>
      </c>
      <c r="O124" s="8"/>
      <c r="P124" s="9"/>
      <c r="R124" s="1"/>
      <c r="S124" s="1"/>
      <c r="T124" s="1"/>
      <c r="U124" s="1"/>
      <c r="V124" s="1"/>
      <c r="W124" s="1"/>
      <c r="X124" s="1"/>
      <c r="Y124" s="1"/>
      <c r="Z124" s="1"/>
      <c r="AA124" s="1"/>
      <c r="AB124" s="1"/>
      <c r="AC124" s="1"/>
      <c r="AD124" s="1"/>
      <c r="AE124" s="1"/>
      <c r="AF124" s="1"/>
      <c r="AG124" s="1"/>
      <c r="AH124" s="1"/>
      <c r="AI124" s="1"/>
      <c r="AJ124" s="1"/>
    </row>
    <row r="125" spans="1:36" s="2" customFormat="1" ht="21.95" customHeight="1" x14ac:dyDescent="0.2">
      <c r="A125" s="262"/>
      <c r="B125" s="262"/>
      <c r="C125" s="262"/>
      <c r="D125" s="262"/>
      <c r="E125" s="262"/>
      <c r="F125" s="6" t="s">
        <v>79</v>
      </c>
      <c r="G125" s="7" t="s">
        <v>28</v>
      </c>
      <c r="H125" s="6">
        <v>61300</v>
      </c>
      <c r="I125" s="6" t="s">
        <v>30</v>
      </c>
      <c r="J125" s="213">
        <f>global!J125+'4 RPA COs'!M125+'95 COs'!J129</f>
        <v>151338</v>
      </c>
      <c r="K125" s="213">
        <f>global!K125+'4 RPA COs'!N125+'95 COs'!K129</f>
        <v>151338</v>
      </c>
      <c r="L125" s="213">
        <f>global!L125+'4 RPA COs'!O125+'95 COs'!L129</f>
        <v>151338</v>
      </c>
      <c r="M125" s="213">
        <f>global!M125+'4 RPA COs'!P125+'95 COs'!M129</f>
        <v>151339</v>
      </c>
      <c r="N125" s="213">
        <f t="shared" si="31"/>
        <v>605353</v>
      </c>
      <c r="O125" s="8"/>
      <c r="P125" s="9"/>
      <c r="R125" s="1"/>
      <c r="S125" s="1"/>
      <c r="T125" s="1"/>
      <c r="U125" s="1"/>
      <c r="V125" s="1"/>
      <c r="W125" s="1"/>
      <c r="X125" s="1"/>
      <c r="Y125" s="1"/>
      <c r="Z125" s="1"/>
      <c r="AA125" s="1"/>
      <c r="AB125" s="1"/>
      <c r="AC125" s="1"/>
      <c r="AD125" s="1"/>
      <c r="AE125" s="1"/>
      <c r="AF125" s="1"/>
      <c r="AG125" s="1"/>
      <c r="AH125" s="1"/>
      <c r="AI125" s="1"/>
      <c r="AJ125" s="1"/>
    </row>
    <row r="126" spans="1:36" s="2" customFormat="1" ht="21.95" customHeight="1" x14ac:dyDescent="0.2">
      <c r="A126" s="262"/>
      <c r="B126" s="262"/>
      <c r="C126" s="263" t="s">
        <v>31</v>
      </c>
      <c r="D126" s="263"/>
      <c r="E126" s="263"/>
      <c r="F126" s="263"/>
      <c r="G126" s="263"/>
      <c r="H126" s="263"/>
      <c r="I126" s="263"/>
      <c r="J126" s="213">
        <f>SUM(J111:J125)</f>
        <v>1045983</v>
      </c>
      <c r="K126" s="213">
        <f t="shared" ref="K126:N126" si="32">SUM(K111:K125)</f>
        <v>1882953.8999999997</v>
      </c>
      <c r="L126" s="213">
        <f t="shared" si="32"/>
        <v>1456443</v>
      </c>
      <c r="M126" s="213">
        <f t="shared" si="32"/>
        <v>1456438.1000000003</v>
      </c>
      <c r="N126" s="213">
        <f t="shared" si="32"/>
        <v>5841818</v>
      </c>
      <c r="O126" s="8"/>
      <c r="P126" s="9"/>
      <c r="R126" s="1"/>
      <c r="S126" s="1"/>
      <c r="T126" s="1"/>
      <c r="U126" s="1"/>
      <c r="V126" s="1"/>
      <c r="W126" s="1"/>
      <c r="X126" s="1"/>
      <c r="Y126" s="1"/>
      <c r="Z126" s="1"/>
      <c r="AA126" s="1"/>
      <c r="AB126" s="1"/>
      <c r="AC126" s="1"/>
      <c r="AD126" s="1"/>
      <c r="AE126" s="1"/>
      <c r="AF126" s="1"/>
      <c r="AG126" s="1"/>
      <c r="AH126" s="1"/>
      <c r="AI126" s="1"/>
      <c r="AJ126" s="1"/>
    </row>
    <row r="127" spans="1:36" ht="21.95" customHeight="1" x14ac:dyDescent="0.2">
      <c r="A127" s="262"/>
      <c r="B127" s="263" t="s">
        <v>80</v>
      </c>
      <c r="C127" s="263"/>
      <c r="D127" s="263"/>
      <c r="E127" s="263"/>
      <c r="F127" s="263"/>
      <c r="G127" s="263"/>
      <c r="H127" s="263"/>
      <c r="I127" s="263"/>
      <c r="J127" s="213">
        <f>J126</f>
        <v>1045983</v>
      </c>
      <c r="K127" s="213">
        <f t="shared" ref="K127:N127" si="33">K126</f>
        <v>1882953.8999999997</v>
      </c>
      <c r="L127" s="213">
        <f t="shared" si="33"/>
        <v>1456443</v>
      </c>
      <c r="M127" s="213">
        <f t="shared" si="33"/>
        <v>1456438.1000000003</v>
      </c>
      <c r="N127" s="213">
        <f t="shared" si="33"/>
        <v>5841818</v>
      </c>
      <c r="O127" s="8"/>
      <c r="Q127" s="10"/>
      <c r="Z127" s="11"/>
      <c r="AC127" s="12"/>
      <c r="AD127" s="13"/>
    </row>
    <row r="128" spans="1:36" ht="21.95" customHeight="1" x14ac:dyDescent="0.2">
      <c r="A128" s="261" t="s">
        <v>81</v>
      </c>
      <c r="B128" s="261"/>
      <c r="C128" s="261"/>
      <c r="D128" s="261"/>
      <c r="E128" s="261"/>
      <c r="F128" s="261"/>
      <c r="G128" s="261"/>
      <c r="H128" s="261"/>
      <c r="I128" s="261"/>
      <c r="J128" s="213">
        <f>J110+J127</f>
        <v>2264265</v>
      </c>
      <c r="K128" s="213">
        <f t="shared" ref="K128:N128" si="34">K110+K127</f>
        <v>3823232.31</v>
      </c>
      <c r="L128" s="213">
        <f t="shared" si="34"/>
        <v>2692017</v>
      </c>
      <c r="M128" s="213">
        <f t="shared" si="34"/>
        <v>2691994.6900000004</v>
      </c>
      <c r="N128" s="213">
        <f t="shared" si="34"/>
        <v>11471509</v>
      </c>
      <c r="O128" s="8"/>
      <c r="R128" s="14"/>
      <c r="Z128" s="15"/>
      <c r="AJ128" s="16"/>
    </row>
    <row r="129" spans="1:36" ht="21.95" customHeight="1" x14ac:dyDescent="0.2">
      <c r="A129" s="261" t="s">
        <v>82</v>
      </c>
      <c r="B129" s="261"/>
      <c r="C129" s="261"/>
      <c r="D129" s="261"/>
      <c r="E129" s="261"/>
      <c r="F129" s="261"/>
      <c r="G129" s="261"/>
      <c r="H129" s="261"/>
      <c r="I129" s="261"/>
      <c r="J129" s="213">
        <f>SUM(J24,J47,J70,J93,J128)</f>
        <v>14950079.308999997</v>
      </c>
      <c r="K129" s="213">
        <f t="shared" ref="K129:N129" si="35">SUM(K24,K47,K70,K93,K128)</f>
        <v>47637170.925999984</v>
      </c>
      <c r="L129" s="213">
        <f t="shared" si="35"/>
        <v>41015109.581499994</v>
      </c>
      <c r="M129" s="213">
        <f t="shared" si="35"/>
        <v>22584243.003499996</v>
      </c>
      <c r="N129" s="213">
        <f t="shared" si="35"/>
        <v>126186602.81999998</v>
      </c>
      <c r="O129" s="215"/>
      <c r="Q129" s="18"/>
      <c r="R129" s="19"/>
    </row>
    <row r="130" spans="1:36" s="2" customFormat="1" x14ac:dyDescent="0.2">
      <c r="A130" s="26" t="s">
        <v>83</v>
      </c>
      <c r="B130" s="1"/>
      <c r="C130" s="1"/>
      <c r="D130" s="1"/>
      <c r="E130" s="1"/>
      <c r="F130" s="1"/>
      <c r="G130" s="1"/>
      <c r="H130" s="1"/>
      <c r="I130" s="1"/>
      <c r="J130" s="1"/>
      <c r="K130" s="1"/>
      <c r="L130" s="1"/>
      <c r="M130" s="1"/>
      <c r="N130" s="15">
        <f>'TBWP_OP8 part 1_CORE&amp;STAR'!N129</f>
        <v>126186603</v>
      </c>
      <c r="O130" s="15" t="s">
        <v>84</v>
      </c>
      <c r="P130" s="1"/>
      <c r="R130" s="1"/>
      <c r="S130" s="1"/>
      <c r="T130" s="1"/>
      <c r="U130" s="1"/>
      <c r="V130" s="1"/>
      <c r="W130" s="1"/>
      <c r="X130" s="1"/>
      <c r="Y130" s="1"/>
      <c r="Z130" s="1"/>
      <c r="AA130" s="1"/>
      <c r="AB130" s="1"/>
      <c r="AC130" s="1"/>
      <c r="AD130" s="1"/>
      <c r="AE130" s="1"/>
      <c r="AF130" s="1"/>
      <c r="AG130" s="1"/>
      <c r="AH130" s="1"/>
      <c r="AI130" s="1"/>
      <c r="AJ130" s="1"/>
    </row>
    <row r="131" spans="1:36" s="2" customFormat="1" x14ac:dyDescent="0.2">
      <c r="A131" s="26" t="s">
        <v>85</v>
      </c>
      <c r="B131" s="1"/>
      <c r="C131" s="1"/>
      <c r="D131" s="1"/>
      <c r="E131" s="1"/>
      <c r="F131" s="1"/>
      <c r="G131" s="1"/>
      <c r="H131" s="1"/>
      <c r="I131" s="1"/>
      <c r="J131" s="1"/>
      <c r="K131" s="1"/>
      <c r="L131" s="1"/>
      <c r="M131" s="1"/>
      <c r="N131" s="229">
        <f>N129-N130</f>
        <v>-0.18000002205371857</v>
      </c>
      <c r="O131" s="15" t="s">
        <v>86</v>
      </c>
      <c r="P131" s="1"/>
      <c r="R131" s="1"/>
      <c r="S131" s="1"/>
      <c r="T131" s="1"/>
      <c r="U131" s="1"/>
      <c r="V131" s="1"/>
      <c r="W131" s="1"/>
      <c r="X131" s="1"/>
      <c r="Y131" s="1"/>
      <c r="Z131" s="1"/>
      <c r="AA131" s="1"/>
      <c r="AB131" s="1"/>
      <c r="AC131" s="1"/>
      <c r="AD131" s="1"/>
      <c r="AE131" s="1"/>
      <c r="AF131" s="1"/>
      <c r="AG131" s="1"/>
      <c r="AH131" s="1"/>
      <c r="AI131" s="1"/>
      <c r="AJ131" s="1"/>
    </row>
    <row r="132" spans="1:36" s="2" customFormat="1" x14ac:dyDescent="0.2">
      <c r="A132" s="27" t="s">
        <v>87</v>
      </c>
      <c r="B132" s="1"/>
      <c r="C132" s="1"/>
      <c r="D132" s="1"/>
      <c r="E132" s="1"/>
      <c r="F132" s="1"/>
      <c r="G132" s="1"/>
      <c r="H132" s="1"/>
      <c r="I132" s="1"/>
      <c r="J132" s="1"/>
      <c r="K132" s="1"/>
      <c r="L132" s="1"/>
      <c r="M132" s="1"/>
      <c r="N132" s="1"/>
      <c r="O132" s="1"/>
      <c r="P132" s="1"/>
      <c r="R132" s="1"/>
      <c r="S132" s="1"/>
      <c r="T132" s="1"/>
      <c r="U132" s="1"/>
      <c r="V132" s="1"/>
      <c r="W132" s="1"/>
      <c r="X132" s="1"/>
      <c r="Y132" s="1"/>
      <c r="Z132" s="1"/>
      <c r="AA132" s="1"/>
      <c r="AB132" s="1"/>
      <c r="AC132" s="1"/>
      <c r="AD132" s="1"/>
      <c r="AE132" s="1"/>
      <c r="AF132" s="1"/>
      <c r="AG132" s="1"/>
      <c r="AH132" s="1"/>
      <c r="AI132" s="1"/>
      <c r="AJ132" s="1"/>
    </row>
    <row r="133" spans="1:36" s="2" customFormat="1" x14ac:dyDescent="0.2">
      <c r="A133" s="27" t="s">
        <v>88</v>
      </c>
      <c r="B133" s="1"/>
      <c r="C133" s="1"/>
      <c r="D133" s="1"/>
      <c r="E133" s="1"/>
      <c r="F133" s="1"/>
      <c r="G133" s="1"/>
      <c r="H133" s="1"/>
      <c r="I133" s="1"/>
      <c r="J133" s="1"/>
      <c r="K133" s="1"/>
      <c r="L133" s="1"/>
      <c r="M133" s="1"/>
      <c r="N133" s="1"/>
      <c r="O133" s="1"/>
      <c r="P133" s="1"/>
      <c r="R133" s="1"/>
      <c r="S133" s="1"/>
      <c r="T133" s="1"/>
      <c r="U133" s="1"/>
      <c r="V133" s="1"/>
      <c r="W133" s="1"/>
      <c r="X133" s="1"/>
      <c r="Y133" s="1"/>
      <c r="Z133" s="1"/>
      <c r="AA133" s="1"/>
      <c r="AB133" s="1"/>
      <c r="AC133" s="1"/>
      <c r="AD133" s="1"/>
      <c r="AE133" s="1"/>
      <c r="AF133" s="1"/>
      <c r="AG133" s="1"/>
      <c r="AH133" s="1"/>
      <c r="AI133" s="1"/>
      <c r="AJ133" s="1"/>
    </row>
    <row r="134" spans="1:36" s="2" customFormat="1" x14ac:dyDescent="0.2">
      <c r="A134" s="27" t="s">
        <v>89</v>
      </c>
      <c r="B134" s="1"/>
      <c r="C134" s="1"/>
      <c r="D134" s="1"/>
      <c r="E134" s="1"/>
      <c r="F134" s="1"/>
      <c r="G134" s="1"/>
      <c r="H134" s="1"/>
      <c r="I134" s="1"/>
      <c r="J134" s="1"/>
      <c r="K134" s="1"/>
      <c r="L134" s="1"/>
      <c r="M134" s="1"/>
      <c r="N134" s="1"/>
      <c r="O134" s="1"/>
      <c r="P134" s="1"/>
      <c r="R134" s="1"/>
      <c r="S134" s="1"/>
      <c r="T134" s="1"/>
      <c r="U134" s="1"/>
      <c r="V134" s="1"/>
      <c r="W134" s="1"/>
      <c r="X134" s="1"/>
      <c r="Y134" s="1"/>
      <c r="Z134" s="1"/>
      <c r="AA134" s="1"/>
      <c r="AB134" s="1"/>
      <c r="AC134" s="1"/>
      <c r="AD134" s="1"/>
      <c r="AE134" s="1"/>
      <c r="AF134" s="1"/>
      <c r="AG134" s="1"/>
      <c r="AH134" s="1"/>
      <c r="AI134" s="1"/>
      <c r="AJ134" s="1"/>
    </row>
    <row r="135" spans="1:36" s="2" customFormat="1" x14ac:dyDescent="0.2">
      <c r="A135" s="27" t="s">
        <v>90</v>
      </c>
      <c r="B135" s="1"/>
      <c r="C135" s="1"/>
      <c r="D135" s="1"/>
      <c r="E135" s="1"/>
      <c r="F135" s="1"/>
      <c r="G135" s="1"/>
      <c r="H135" s="1"/>
      <c r="I135" s="1"/>
      <c r="J135" s="1"/>
      <c r="K135" s="1"/>
      <c r="L135" s="1"/>
      <c r="M135" s="1"/>
      <c r="N135" s="1"/>
      <c r="O135" s="1"/>
      <c r="P135" s="1"/>
      <c r="R135" s="1"/>
      <c r="S135" s="1"/>
      <c r="T135" s="1"/>
      <c r="U135" s="1"/>
      <c r="V135" s="1"/>
      <c r="W135" s="1"/>
      <c r="X135" s="1"/>
      <c r="Y135" s="1"/>
      <c r="Z135" s="1"/>
      <c r="AA135" s="1"/>
      <c r="AB135" s="1"/>
      <c r="AC135" s="1"/>
      <c r="AD135" s="1"/>
      <c r="AE135" s="1"/>
      <c r="AF135" s="1"/>
      <c r="AG135" s="1"/>
      <c r="AH135" s="1"/>
      <c r="AI135" s="1"/>
      <c r="AJ135" s="1"/>
    </row>
    <row r="136" spans="1:36" s="2" customFormat="1" x14ac:dyDescent="0.2">
      <c r="A136" s="27" t="s">
        <v>91</v>
      </c>
      <c r="B136" s="1"/>
      <c r="C136" s="1"/>
      <c r="D136" s="1"/>
      <c r="E136" s="1"/>
      <c r="F136" s="1"/>
      <c r="G136" s="1"/>
      <c r="H136" s="1"/>
      <c r="I136" s="1"/>
      <c r="J136" s="1"/>
      <c r="K136" s="1"/>
      <c r="L136" s="1"/>
      <c r="M136" s="1"/>
      <c r="N136" s="1"/>
      <c r="O136" s="1"/>
      <c r="P136" s="1"/>
      <c r="R136" s="1"/>
      <c r="S136" s="1"/>
      <c r="T136" s="1"/>
      <c r="U136" s="1"/>
      <c r="V136" s="1"/>
      <c r="W136" s="1"/>
      <c r="X136" s="1"/>
      <c r="Y136" s="1"/>
      <c r="Z136" s="1"/>
      <c r="AA136" s="1"/>
      <c r="AB136" s="1"/>
      <c r="AC136" s="1"/>
      <c r="AD136" s="1"/>
      <c r="AE136" s="1"/>
      <c r="AF136" s="1"/>
      <c r="AG136" s="1"/>
      <c r="AH136" s="1"/>
      <c r="AI136" s="1"/>
      <c r="AJ136" s="1"/>
    </row>
    <row r="137" spans="1:36" s="2" customFormat="1" x14ac:dyDescent="0.2">
      <c r="A137" s="27" t="s">
        <v>92</v>
      </c>
      <c r="B137" s="1"/>
      <c r="C137" s="1"/>
      <c r="D137" s="1"/>
      <c r="E137" s="1"/>
      <c r="F137" s="1"/>
      <c r="G137" s="1"/>
      <c r="H137" s="1"/>
      <c r="I137" s="1"/>
      <c r="J137" s="1"/>
      <c r="K137" s="1"/>
      <c r="L137" s="1"/>
      <c r="M137" s="1"/>
      <c r="N137" s="1"/>
      <c r="O137" s="1"/>
      <c r="P137" s="1"/>
      <c r="R137" s="1"/>
      <c r="S137" s="1"/>
      <c r="T137" s="1"/>
      <c r="U137" s="1"/>
      <c r="V137" s="1"/>
      <c r="W137" s="1"/>
      <c r="X137" s="1"/>
      <c r="Y137" s="1"/>
      <c r="Z137" s="1"/>
      <c r="AA137" s="1"/>
      <c r="AB137" s="1"/>
      <c r="AC137" s="1"/>
      <c r="AD137" s="1"/>
      <c r="AE137" s="1"/>
      <c r="AF137" s="1"/>
      <c r="AG137" s="1"/>
      <c r="AH137" s="1"/>
      <c r="AI137" s="1"/>
      <c r="AJ137" s="1"/>
    </row>
    <row r="138" spans="1:36" s="2" customFormat="1" x14ac:dyDescent="0.2">
      <c r="A138" s="27" t="s">
        <v>93</v>
      </c>
      <c r="B138" s="1"/>
      <c r="C138" s="1"/>
      <c r="D138" s="1"/>
      <c r="E138" s="1"/>
      <c r="F138" s="1"/>
      <c r="G138" s="1"/>
      <c r="H138" s="1"/>
      <c r="I138" s="1"/>
      <c r="J138" s="1"/>
      <c r="K138" s="1"/>
      <c r="L138" s="1"/>
      <c r="M138" s="1"/>
      <c r="N138" s="1"/>
      <c r="O138" s="1"/>
      <c r="P138" s="1"/>
      <c r="R138" s="1"/>
      <c r="S138" s="1"/>
      <c r="T138" s="1"/>
      <c r="U138" s="1"/>
      <c r="V138" s="1"/>
      <c r="W138" s="1"/>
      <c r="X138" s="1"/>
      <c r="Y138" s="1"/>
      <c r="Z138" s="1"/>
      <c r="AA138" s="1"/>
      <c r="AB138" s="1"/>
      <c r="AC138" s="1"/>
      <c r="AD138" s="1"/>
      <c r="AE138" s="1"/>
      <c r="AF138" s="1"/>
      <c r="AG138" s="1"/>
      <c r="AH138" s="1"/>
      <c r="AI138" s="1"/>
      <c r="AJ138" s="1"/>
    </row>
    <row r="139" spans="1:36" s="2" customFormat="1" x14ac:dyDescent="0.2">
      <c r="A139" s="27" t="s">
        <v>94</v>
      </c>
      <c r="B139" s="1"/>
      <c r="C139" s="1"/>
      <c r="D139" s="1"/>
      <c r="E139" s="1"/>
      <c r="F139" s="1"/>
      <c r="G139" s="1"/>
      <c r="H139" s="1"/>
      <c r="I139" s="1"/>
      <c r="J139" s="1"/>
      <c r="K139" s="1"/>
      <c r="L139" s="1"/>
      <c r="M139" s="1"/>
      <c r="N139" s="1"/>
      <c r="O139" s="1"/>
      <c r="P139" s="1"/>
      <c r="R139" s="1"/>
      <c r="S139" s="1"/>
      <c r="T139" s="1"/>
      <c r="U139" s="1"/>
      <c r="V139" s="1"/>
      <c r="W139" s="1"/>
      <c r="X139" s="1"/>
      <c r="Y139" s="1"/>
      <c r="Z139" s="1"/>
      <c r="AA139" s="1"/>
      <c r="AB139" s="1"/>
      <c r="AC139" s="1"/>
      <c r="AD139" s="1"/>
      <c r="AE139" s="1"/>
      <c r="AF139" s="1"/>
      <c r="AG139" s="1"/>
      <c r="AH139" s="1"/>
      <c r="AI139" s="1"/>
      <c r="AJ139" s="1"/>
    </row>
    <row r="140" spans="1:36" s="2" customFormat="1" x14ac:dyDescent="0.2">
      <c r="A140" s="27" t="s">
        <v>95</v>
      </c>
      <c r="B140" s="1"/>
      <c r="C140" s="1"/>
      <c r="D140" s="1"/>
      <c r="E140" s="1"/>
      <c r="F140" s="1"/>
      <c r="G140" s="1"/>
      <c r="H140" s="1"/>
      <c r="I140" s="1"/>
      <c r="J140" s="1"/>
      <c r="K140" s="1"/>
      <c r="L140" s="1"/>
      <c r="M140" s="1"/>
      <c r="N140" s="1"/>
      <c r="O140" s="1"/>
      <c r="P140" s="1"/>
      <c r="R140" s="1"/>
      <c r="S140" s="1"/>
      <c r="T140" s="1"/>
      <c r="U140" s="1"/>
      <c r="V140" s="1"/>
      <c r="W140" s="1"/>
      <c r="X140" s="1"/>
      <c r="Y140" s="1"/>
      <c r="Z140" s="1"/>
      <c r="AA140" s="1"/>
      <c r="AB140" s="1"/>
      <c r="AC140" s="1"/>
      <c r="AD140" s="1"/>
      <c r="AE140" s="1"/>
      <c r="AF140" s="1"/>
      <c r="AG140" s="1"/>
      <c r="AH140" s="1"/>
      <c r="AI140" s="1"/>
      <c r="AJ140" s="1"/>
    </row>
    <row r="141" spans="1:36" s="2" customFormat="1" x14ac:dyDescent="0.2">
      <c r="A141" s="27" t="s">
        <v>96</v>
      </c>
      <c r="B141" s="1"/>
      <c r="C141" s="1"/>
      <c r="D141" s="1"/>
      <c r="E141" s="1"/>
      <c r="F141" s="1"/>
      <c r="G141" s="1"/>
      <c r="H141" s="1"/>
      <c r="I141" s="1"/>
      <c r="J141" s="1"/>
      <c r="K141" s="1"/>
      <c r="L141" s="1"/>
      <c r="M141" s="1"/>
      <c r="N141" s="1"/>
      <c r="O141" s="1"/>
      <c r="P141" s="1"/>
      <c r="R141" s="1"/>
      <c r="S141" s="1"/>
      <c r="T141" s="1"/>
      <c r="U141" s="1"/>
      <c r="V141" s="1"/>
      <c r="W141" s="1"/>
      <c r="X141" s="1"/>
      <c r="Y141" s="1"/>
      <c r="Z141" s="1"/>
      <c r="AA141" s="1"/>
      <c r="AB141" s="1"/>
      <c r="AC141" s="1"/>
      <c r="AD141" s="1"/>
      <c r="AE141" s="1"/>
      <c r="AF141" s="1"/>
      <c r="AG141" s="1"/>
      <c r="AH141" s="1"/>
      <c r="AI141" s="1"/>
      <c r="AJ141" s="1"/>
    </row>
    <row r="142" spans="1:36" s="2" customFormat="1" x14ac:dyDescent="0.2">
      <c r="A142" s="27" t="s">
        <v>97</v>
      </c>
      <c r="B142" s="1"/>
      <c r="C142" s="1"/>
      <c r="D142" s="1"/>
      <c r="E142" s="1"/>
      <c r="F142" s="1"/>
      <c r="G142" s="1"/>
      <c r="H142" s="1"/>
      <c r="I142" s="1"/>
      <c r="J142" s="1"/>
      <c r="K142" s="1"/>
      <c r="L142" s="1"/>
      <c r="M142" s="1"/>
      <c r="N142" s="1"/>
      <c r="O142" s="1"/>
      <c r="P142" s="1"/>
      <c r="R142" s="1"/>
      <c r="S142" s="1"/>
      <c r="T142" s="1"/>
      <c r="U142" s="1"/>
      <c r="V142" s="1"/>
      <c r="W142" s="1"/>
      <c r="X142" s="1"/>
      <c r="Y142" s="1"/>
      <c r="Z142" s="1"/>
      <c r="AA142" s="1"/>
      <c r="AB142" s="1"/>
      <c r="AC142" s="1"/>
      <c r="AD142" s="1"/>
      <c r="AE142" s="1"/>
      <c r="AF142" s="1"/>
      <c r="AG142" s="1"/>
      <c r="AH142" s="1"/>
      <c r="AI142" s="1"/>
      <c r="AJ142" s="1"/>
    </row>
    <row r="143" spans="1:36" s="2" customFormat="1" x14ac:dyDescent="0.2">
      <c r="A143" s="27" t="s">
        <v>98</v>
      </c>
      <c r="B143" s="1"/>
      <c r="C143" s="1"/>
      <c r="D143" s="1"/>
      <c r="E143" s="1"/>
      <c r="F143" s="1"/>
      <c r="G143" s="1"/>
      <c r="H143" s="1"/>
      <c r="I143" s="1"/>
      <c r="J143" s="1"/>
      <c r="K143" s="1"/>
      <c r="L143" s="1"/>
      <c r="M143" s="1"/>
      <c r="N143" s="1"/>
      <c r="O143" s="1"/>
      <c r="P143" s="1"/>
      <c r="R143" s="1"/>
      <c r="S143" s="1"/>
      <c r="T143" s="1"/>
      <c r="U143" s="1"/>
      <c r="V143" s="1"/>
      <c r="W143" s="1"/>
      <c r="X143" s="1"/>
      <c r="Y143" s="1"/>
      <c r="Z143" s="1"/>
      <c r="AA143" s="1"/>
      <c r="AB143" s="1"/>
      <c r="AC143" s="1"/>
      <c r="AD143" s="1"/>
      <c r="AE143" s="1"/>
      <c r="AF143" s="1"/>
      <c r="AG143" s="1"/>
      <c r="AH143" s="1"/>
      <c r="AI143" s="1"/>
      <c r="AJ143" s="1"/>
    </row>
    <row r="144" spans="1:36" s="2" customFormat="1" x14ac:dyDescent="0.2">
      <c r="A144" s="27" t="s">
        <v>99</v>
      </c>
      <c r="B144" s="1"/>
      <c r="C144" s="1"/>
      <c r="D144" s="1"/>
      <c r="E144" s="1"/>
      <c r="F144" s="1"/>
      <c r="G144" s="1"/>
      <c r="H144" s="1"/>
      <c r="I144" s="1"/>
      <c r="J144" s="1"/>
      <c r="K144" s="1"/>
      <c r="L144" s="1"/>
      <c r="M144" s="1"/>
      <c r="N144" s="1"/>
      <c r="O144" s="1"/>
      <c r="P144" s="1"/>
      <c r="R144" s="1"/>
      <c r="S144" s="1"/>
      <c r="T144" s="1"/>
      <c r="U144" s="1"/>
      <c r="V144" s="1"/>
      <c r="W144" s="1"/>
      <c r="X144" s="1"/>
      <c r="Y144" s="1"/>
      <c r="Z144" s="1"/>
      <c r="AA144" s="1"/>
      <c r="AB144" s="1"/>
      <c r="AC144" s="1"/>
      <c r="AD144" s="1"/>
      <c r="AE144" s="1"/>
      <c r="AF144" s="1"/>
      <c r="AG144" s="1"/>
      <c r="AH144" s="1"/>
      <c r="AI144" s="1"/>
      <c r="AJ144" s="1"/>
    </row>
    <row r="145" spans="1:1" x14ac:dyDescent="0.2">
      <c r="A145" s="27" t="s">
        <v>100</v>
      </c>
    </row>
    <row r="146" spans="1:1" x14ac:dyDescent="0.2">
      <c r="A146" s="27" t="s">
        <v>101</v>
      </c>
    </row>
    <row r="147" spans="1:1" x14ac:dyDescent="0.2">
      <c r="A147" s="27" t="s">
        <v>102</v>
      </c>
    </row>
    <row r="148" spans="1:1" x14ac:dyDescent="0.2">
      <c r="A148" s="27" t="s">
        <v>103</v>
      </c>
    </row>
    <row r="149" spans="1:1" x14ac:dyDescent="0.2">
      <c r="A149" s="27" t="s">
        <v>104</v>
      </c>
    </row>
    <row r="150" spans="1:1" x14ac:dyDescent="0.2">
      <c r="A150" s="27" t="s">
        <v>105</v>
      </c>
    </row>
  </sheetData>
  <sheetProtection formatCells="0" formatColumns="0" formatRows="0" insertColumns="0" insertRows="0" insertHyperlinks="0" deleteColumns="0" deleteRows="0" sort="0" autoFilter="0" pivotTables="0"/>
  <mergeCells count="71">
    <mergeCell ref="B13:I13"/>
    <mergeCell ref="B14:B22"/>
    <mergeCell ref="C14:C21"/>
    <mergeCell ref="D14:D21"/>
    <mergeCell ref="E14:E21"/>
    <mergeCell ref="C22:I22"/>
    <mergeCell ref="B23:I23"/>
    <mergeCell ref="A24:I24"/>
    <mergeCell ref="A25:A46"/>
    <mergeCell ref="B25:B34"/>
    <mergeCell ref="C25:C33"/>
    <mergeCell ref="D25:D33"/>
    <mergeCell ref="E25:E33"/>
    <mergeCell ref="C34:I34"/>
    <mergeCell ref="A4:A23"/>
    <mergeCell ref="B4:B12"/>
    <mergeCell ref="C4:C11"/>
    <mergeCell ref="D4:D11"/>
    <mergeCell ref="E4:E11"/>
    <mergeCell ref="C12:I12"/>
    <mergeCell ref="B35:I35"/>
    <mergeCell ref="B36:B45"/>
    <mergeCell ref="C36:C44"/>
    <mergeCell ref="D36:D44"/>
    <mergeCell ref="E36:E44"/>
    <mergeCell ref="C45:I45"/>
    <mergeCell ref="B46:I46"/>
    <mergeCell ref="A47:I47"/>
    <mergeCell ref="A48:A69"/>
    <mergeCell ref="B48:B57"/>
    <mergeCell ref="C48:C56"/>
    <mergeCell ref="D48:D56"/>
    <mergeCell ref="E48:E56"/>
    <mergeCell ref="C57:I57"/>
    <mergeCell ref="B58:I58"/>
    <mergeCell ref="B59:B68"/>
    <mergeCell ref="E59:E67"/>
    <mergeCell ref="C68:I68"/>
    <mergeCell ref="B69:I69"/>
    <mergeCell ref="C59:C67"/>
    <mergeCell ref="D59:D67"/>
    <mergeCell ref="A70:I70"/>
    <mergeCell ref="E82:E90"/>
    <mergeCell ref="B82:B91"/>
    <mergeCell ref="C82:C90"/>
    <mergeCell ref="D82:D90"/>
    <mergeCell ref="C91:I91"/>
    <mergeCell ref="B92:I92"/>
    <mergeCell ref="A93:I93"/>
    <mergeCell ref="A94:A127"/>
    <mergeCell ref="B94:B109"/>
    <mergeCell ref="C94:C108"/>
    <mergeCell ref="D94:D108"/>
    <mergeCell ref="E94:E108"/>
    <mergeCell ref="C109:I109"/>
    <mergeCell ref="A71:A92"/>
    <mergeCell ref="B71:B80"/>
    <mergeCell ref="C71:C79"/>
    <mergeCell ref="D71:D79"/>
    <mergeCell ref="E71:E79"/>
    <mergeCell ref="C80:I80"/>
    <mergeCell ref="B127:I127"/>
    <mergeCell ref="B81:I81"/>
    <mergeCell ref="A128:I128"/>
    <mergeCell ref="A129:I129"/>
    <mergeCell ref="B110:I110"/>
    <mergeCell ref="B111:B126"/>
    <mergeCell ref="C111:C125"/>
    <mergeCell ref="D111:D125"/>
    <mergeCell ref="E111:E125"/>
    <mergeCell ref="C126:I1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A49B-6A53-4700-B65A-E37766B162E0}">
  <dimension ref="A1:AJ162"/>
  <sheetViews>
    <sheetView topLeftCell="C1" zoomScale="90" zoomScaleNormal="90" workbookViewId="0">
      <selection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6" width="9.5703125" style="1" customWidth="1"/>
    <col min="7" max="7" width="8.7109375" style="1"/>
    <col min="8" max="8" width="18.28515625" style="1" customWidth="1"/>
    <col min="9" max="9" width="9.5703125" style="1" customWidth="1"/>
    <col min="10" max="10" width="11.85546875" style="1" customWidth="1"/>
    <col min="11" max="14" width="12.5703125" style="1" bestFit="1" customWidth="1"/>
    <col min="15" max="15" width="11.85546875" style="1" bestFit="1" customWidth="1"/>
    <col min="16" max="16" width="18.57031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x14ac:dyDescent="0.2">
      <c r="I1" s="209" t="s">
        <v>106</v>
      </c>
      <c r="J1" s="210">
        <v>0.1</v>
      </c>
      <c r="K1" s="210">
        <v>0.4</v>
      </c>
      <c r="L1" s="210">
        <v>0.35</v>
      </c>
      <c r="M1" s="210">
        <v>0.15</v>
      </c>
      <c r="N1" s="210">
        <v>1</v>
      </c>
    </row>
    <row r="2" spans="1:36" x14ac:dyDescent="0.2">
      <c r="I2" s="209" t="s">
        <v>107</v>
      </c>
      <c r="J2" s="211">
        <v>0.25</v>
      </c>
      <c r="K2" s="211">
        <v>0.25</v>
      </c>
      <c r="L2" s="211">
        <v>0.25</v>
      </c>
      <c r="M2" s="211">
        <v>0.25</v>
      </c>
      <c r="N2" s="210">
        <v>1</v>
      </c>
    </row>
    <row r="3" spans="1:36" s="5" customFormat="1" ht="52.5" customHeight="1" x14ac:dyDescent="0.2">
      <c r="A3" s="3" t="s">
        <v>0</v>
      </c>
      <c r="B3" s="3" t="s">
        <v>1</v>
      </c>
      <c r="C3" s="3" t="s">
        <v>2</v>
      </c>
      <c r="D3" s="3" t="s">
        <v>3</v>
      </c>
      <c r="E3" s="3" t="s">
        <v>4</v>
      </c>
      <c r="F3" s="3" t="s">
        <v>5</v>
      </c>
      <c r="G3" s="3" t="s">
        <v>6</v>
      </c>
      <c r="H3" s="3" t="s">
        <v>7</v>
      </c>
      <c r="I3" s="3" t="s">
        <v>8</v>
      </c>
      <c r="J3" s="3" t="s">
        <v>9</v>
      </c>
      <c r="K3" s="3" t="s">
        <v>10</v>
      </c>
      <c r="L3" s="3" t="s">
        <v>11</v>
      </c>
      <c r="M3" s="3" t="s">
        <v>12</v>
      </c>
      <c r="N3" s="4" t="s">
        <v>13</v>
      </c>
      <c r="O3" s="3" t="s">
        <v>14</v>
      </c>
      <c r="Q3" s="212"/>
    </row>
    <row r="4" spans="1:36" ht="21.95" customHeight="1" x14ac:dyDescent="0.2">
      <c r="A4" s="262" t="s">
        <v>15</v>
      </c>
      <c r="B4" s="262" t="s">
        <v>16</v>
      </c>
      <c r="C4" s="262" t="s">
        <v>17</v>
      </c>
      <c r="D4" s="262">
        <v>62000</v>
      </c>
      <c r="E4" s="262">
        <v>10003</v>
      </c>
      <c r="F4" s="6" t="s">
        <v>18</v>
      </c>
      <c r="G4" s="7" t="s">
        <v>19</v>
      </c>
      <c r="H4" s="6">
        <v>71200</v>
      </c>
      <c r="I4" s="6" t="s">
        <v>19</v>
      </c>
      <c r="J4" s="213">
        <f>ROUND($N4*J$2,0)</f>
        <v>9336</v>
      </c>
      <c r="K4" s="213">
        <f t="shared" ref="K4:L11" si="0">ROUND($N4*K$2,0)</f>
        <v>9336</v>
      </c>
      <c r="L4" s="213">
        <f t="shared" si="0"/>
        <v>9336</v>
      </c>
      <c r="M4" s="213">
        <f>N4-SUM(J4:L4)</f>
        <v>9337</v>
      </c>
      <c r="N4" s="213">
        <f>'TBWP_OP8 part 1_CORE&amp;STAR'!N4-'4 RPA COs'!Q4-'95 COs'!N8</f>
        <v>37345</v>
      </c>
      <c r="O4" s="8"/>
      <c r="P4" s="9"/>
    </row>
    <row r="5" spans="1:36" ht="21.95" customHeight="1" x14ac:dyDescent="0.2">
      <c r="A5" s="262"/>
      <c r="B5" s="262"/>
      <c r="C5" s="262"/>
      <c r="D5" s="262"/>
      <c r="E5" s="262"/>
      <c r="F5" s="6" t="s">
        <v>18</v>
      </c>
      <c r="G5" s="7" t="s">
        <v>20</v>
      </c>
      <c r="H5" s="6">
        <v>71300</v>
      </c>
      <c r="I5" s="6" t="s">
        <v>20</v>
      </c>
      <c r="J5" s="213">
        <f t="shared" ref="J5:J11" si="1">ROUND($N5*J$2,0)</f>
        <v>36956</v>
      </c>
      <c r="K5" s="213">
        <f t="shared" si="0"/>
        <v>36956</v>
      </c>
      <c r="L5" s="213">
        <f t="shared" si="0"/>
        <v>36956</v>
      </c>
      <c r="M5" s="213">
        <f t="shared" ref="M5:M11" si="2">N5-SUM(J5:L5)</f>
        <v>36954</v>
      </c>
      <c r="N5" s="213">
        <f>'TBWP_OP8 part 1_CORE&amp;STAR'!N5-'4 RPA COs'!Q5-'95 COs'!N9</f>
        <v>147822</v>
      </c>
      <c r="O5" s="8"/>
      <c r="P5" s="9"/>
    </row>
    <row r="6" spans="1:36" ht="21.95" customHeight="1" x14ac:dyDescent="0.2">
      <c r="A6" s="262"/>
      <c r="B6" s="262"/>
      <c r="C6" s="262"/>
      <c r="D6" s="262"/>
      <c r="E6" s="262"/>
      <c r="F6" s="6" t="s">
        <v>18</v>
      </c>
      <c r="G6" s="7" t="s">
        <v>21</v>
      </c>
      <c r="H6" s="6">
        <v>71400</v>
      </c>
      <c r="I6" s="6" t="s">
        <v>22</v>
      </c>
      <c r="J6" s="213">
        <f t="shared" si="1"/>
        <v>567651</v>
      </c>
      <c r="K6" s="213">
        <f t="shared" si="0"/>
        <v>567651</v>
      </c>
      <c r="L6" s="213">
        <f t="shared" si="0"/>
        <v>567651</v>
      </c>
      <c r="M6" s="213">
        <f t="shared" si="2"/>
        <v>567651</v>
      </c>
      <c r="N6" s="213">
        <f>'TBWP_OP8 part 1_CORE&amp;STAR'!N6-'4 RPA COs'!Q6-'95 COs'!N10</f>
        <v>2270604</v>
      </c>
      <c r="O6" s="8"/>
      <c r="P6" s="9"/>
    </row>
    <row r="7" spans="1:36" ht="21.95" customHeight="1" x14ac:dyDescent="0.2">
      <c r="A7" s="262"/>
      <c r="B7" s="262"/>
      <c r="C7" s="262"/>
      <c r="D7" s="262"/>
      <c r="E7" s="262"/>
      <c r="F7" s="6" t="s">
        <v>18</v>
      </c>
      <c r="G7" s="7" t="s">
        <v>23</v>
      </c>
      <c r="H7" s="6">
        <v>71600</v>
      </c>
      <c r="I7" s="6" t="s">
        <v>23</v>
      </c>
      <c r="J7" s="213">
        <f t="shared" si="1"/>
        <v>60385</v>
      </c>
      <c r="K7" s="213">
        <f t="shared" si="0"/>
        <v>60385</v>
      </c>
      <c r="L7" s="213">
        <f t="shared" si="0"/>
        <v>60385</v>
      </c>
      <c r="M7" s="213">
        <f t="shared" si="2"/>
        <v>60385</v>
      </c>
      <c r="N7" s="213">
        <f>'TBWP_OP8 part 1_CORE&amp;STAR'!N7-'4 RPA COs'!Q7-'95 COs'!N11</f>
        <v>241540</v>
      </c>
      <c r="O7" s="8"/>
      <c r="P7" s="9"/>
    </row>
    <row r="8" spans="1:36" ht="21.95" customHeight="1" x14ac:dyDescent="0.2">
      <c r="A8" s="262"/>
      <c r="B8" s="262"/>
      <c r="C8" s="262"/>
      <c r="D8" s="262"/>
      <c r="E8" s="262"/>
      <c r="F8" s="6" t="s">
        <v>18</v>
      </c>
      <c r="G8" s="7" t="s">
        <v>24</v>
      </c>
      <c r="H8" s="6">
        <v>72500</v>
      </c>
      <c r="I8" s="6" t="s">
        <v>25</v>
      </c>
      <c r="J8" s="213">
        <f t="shared" si="1"/>
        <v>2334</v>
      </c>
      <c r="K8" s="213">
        <f t="shared" si="0"/>
        <v>2334</v>
      </c>
      <c r="L8" s="213">
        <f t="shared" si="0"/>
        <v>2334</v>
      </c>
      <c r="M8" s="213">
        <f t="shared" si="2"/>
        <v>2332</v>
      </c>
      <c r="N8" s="213">
        <f>'TBWP_OP8 part 1_CORE&amp;STAR'!N8-'4 RPA COs'!Q8-'95 COs'!N12</f>
        <v>9334</v>
      </c>
      <c r="O8" s="8"/>
      <c r="P8" s="9"/>
    </row>
    <row r="9" spans="1:36" ht="21.95" customHeight="1" x14ac:dyDescent="0.2">
      <c r="A9" s="262"/>
      <c r="B9" s="262"/>
      <c r="C9" s="262"/>
      <c r="D9" s="262"/>
      <c r="E9" s="262"/>
      <c r="F9" s="6" t="s">
        <v>18</v>
      </c>
      <c r="G9" s="7" t="s">
        <v>26</v>
      </c>
      <c r="H9" s="6">
        <v>75700</v>
      </c>
      <c r="I9" s="6" t="s">
        <v>27</v>
      </c>
      <c r="J9" s="213">
        <f t="shared" si="1"/>
        <v>11812</v>
      </c>
      <c r="K9" s="213">
        <f t="shared" si="0"/>
        <v>11812</v>
      </c>
      <c r="L9" s="213">
        <f t="shared" si="0"/>
        <v>11812</v>
      </c>
      <c r="M9" s="213">
        <f t="shared" si="2"/>
        <v>11811</v>
      </c>
      <c r="N9" s="213">
        <f>'TBWP_OP8 part 1_CORE&amp;STAR'!N9-'4 RPA COs'!Q9-'95 COs'!N13</f>
        <v>47247</v>
      </c>
      <c r="O9" s="8"/>
      <c r="P9" s="9"/>
    </row>
    <row r="10" spans="1:36" ht="21.95" customHeight="1" x14ac:dyDescent="0.2">
      <c r="A10" s="262"/>
      <c r="B10" s="262"/>
      <c r="C10" s="262"/>
      <c r="D10" s="262"/>
      <c r="E10" s="262"/>
      <c r="F10" s="6" t="s">
        <v>18</v>
      </c>
      <c r="G10" s="7" t="s">
        <v>28</v>
      </c>
      <c r="H10" s="6">
        <v>61200</v>
      </c>
      <c r="I10" s="6" t="s">
        <v>29</v>
      </c>
      <c r="J10" s="213">
        <f t="shared" si="1"/>
        <v>76136</v>
      </c>
      <c r="K10" s="213">
        <f t="shared" si="0"/>
        <v>76136</v>
      </c>
      <c r="L10" s="213">
        <f t="shared" si="0"/>
        <v>76136</v>
      </c>
      <c r="M10" s="213">
        <f t="shared" si="2"/>
        <v>76135</v>
      </c>
      <c r="N10" s="213">
        <f>'TBWP_OP8 part 1_CORE&amp;STAR'!N10-'4 RPA COs'!Q10-'95 COs'!N14</f>
        <v>304543</v>
      </c>
      <c r="O10" s="8"/>
      <c r="P10" s="9"/>
    </row>
    <row r="11" spans="1:36" ht="21.95" customHeight="1" x14ac:dyDescent="0.2">
      <c r="A11" s="262"/>
      <c r="B11" s="262"/>
      <c r="C11" s="262"/>
      <c r="D11" s="262"/>
      <c r="E11" s="262"/>
      <c r="F11" s="6" t="s">
        <v>18</v>
      </c>
      <c r="G11" s="7" t="s">
        <v>28</v>
      </c>
      <c r="H11" s="6">
        <v>61300</v>
      </c>
      <c r="I11" s="6" t="s">
        <v>30</v>
      </c>
      <c r="J11" s="213">
        <f t="shared" si="1"/>
        <v>139206</v>
      </c>
      <c r="K11" s="213">
        <f t="shared" si="0"/>
        <v>139206</v>
      </c>
      <c r="L11" s="213">
        <f t="shared" si="0"/>
        <v>139206</v>
      </c>
      <c r="M11" s="213">
        <f t="shared" si="2"/>
        <v>139205</v>
      </c>
      <c r="N11" s="213">
        <f>'TBWP_OP8 part 1_CORE&amp;STAR'!N11-'4 RPA COs'!Q11-'95 COs'!N15</f>
        <v>556823</v>
      </c>
      <c r="O11" s="8"/>
      <c r="P11" s="9"/>
    </row>
    <row r="12" spans="1:36" ht="21.95" customHeight="1" x14ac:dyDescent="0.2">
      <c r="A12" s="262"/>
      <c r="B12" s="262"/>
      <c r="C12" s="261" t="s">
        <v>31</v>
      </c>
      <c r="D12" s="261"/>
      <c r="E12" s="261"/>
      <c r="F12" s="261"/>
      <c r="G12" s="261"/>
      <c r="H12" s="261"/>
      <c r="I12" s="261"/>
      <c r="J12" s="213">
        <f>SUM(J4:J11)</f>
        <v>903816</v>
      </c>
      <c r="K12" s="213">
        <f t="shared" ref="K12:N12" si="3">SUM(K4:K11)</f>
        <v>903816</v>
      </c>
      <c r="L12" s="213">
        <f t="shared" si="3"/>
        <v>903816</v>
      </c>
      <c r="M12" s="213">
        <f t="shared" si="3"/>
        <v>903810</v>
      </c>
      <c r="N12" s="213">
        <f t="shared" si="3"/>
        <v>3615258</v>
      </c>
      <c r="O12" s="8"/>
      <c r="P12" s="9"/>
    </row>
    <row r="13" spans="1:36" s="2" customFormat="1" ht="21.95" customHeight="1" x14ac:dyDescent="0.2">
      <c r="A13" s="262"/>
      <c r="B13" s="261" t="s">
        <v>32</v>
      </c>
      <c r="C13" s="261"/>
      <c r="D13" s="261"/>
      <c r="E13" s="261"/>
      <c r="F13" s="261"/>
      <c r="G13" s="261"/>
      <c r="H13" s="261"/>
      <c r="I13" s="261"/>
      <c r="J13" s="213">
        <f>J12</f>
        <v>903816</v>
      </c>
      <c r="K13" s="213">
        <f t="shared" ref="K13:N13" si="4">K12</f>
        <v>903816</v>
      </c>
      <c r="L13" s="213">
        <f t="shared" si="4"/>
        <v>903816</v>
      </c>
      <c r="M13" s="213">
        <f t="shared" si="4"/>
        <v>903810</v>
      </c>
      <c r="N13" s="213">
        <f t="shared" si="4"/>
        <v>3615258</v>
      </c>
      <c r="O13" s="8"/>
      <c r="P13" s="9"/>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t="s">
        <v>33</v>
      </c>
      <c r="C14" s="262" t="s">
        <v>17</v>
      </c>
      <c r="D14" s="262">
        <v>62000</v>
      </c>
      <c r="E14" s="262">
        <v>10003</v>
      </c>
      <c r="F14" s="6" t="s">
        <v>34</v>
      </c>
      <c r="G14" s="7" t="s">
        <v>19</v>
      </c>
      <c r="H14" s="6">
        <v>71200</v>
      </c>
      <c r="I14" s="6" t="s">
        <v>19</v>
      </c>
      <c r="J14" s="213">
        <f t="shared" ref="J14:L21" si="5">ROUND($N14*J$2,0)</f>
        <v>9688</v>
      </c>
      <c r="K14" s="213">
        <f t="shared" si="5"/>
        <v>9688</v>
      </c>
      <c r="L14" s="213">
        <f t="shared" si="5"/>
        <v>9688</v>
      </c>
      <c r="M14" s="213">
        <f t="shared" ref="M14:M21" si="6">N14-SUM(J14:L14)</f>
        <v>9688</v>
      </c>
      <c r="N14" s="213">
        <f>'TBWP_OP8 part 1_CORE&amp;STAR'!N14-'4 RPA COs'!Q14-'95 COs'!N18</f>
        <v>38752</v>
      </c>
      <c r="O14" s="8"/>
      <c r="P14" s="9"/>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20</v>
      </c>
      <c r="H15" s="6">
        <v>71300</v>
      </c>
      <c r="I15" s="6" t="s">
        <v>20</v>
      </c>
      <c r="J15" s="213">
        <f t="shared" si="5"/>
        <v>27525</v>
      </c>
      <c r="K15" s="213">
        <f t="shared" si="5"/>
        <v>27525</v>
      </c>
      <c r="L15" s="213">
        <f t="shared" si="5"/>
        <v>27525</v>
      </c>
      <c r="M15" s="213">
        <f t="shared" si="6"/>
        <v>27524</v>
      </c>
      <c r="N15" s="213">
        <f>'TBWP_OP8 part 1_CORE&amp;STAR'!N15-'4 RPA COs'!Q15-'95 COs'!N19</f>
        <v>110099</v>
      </c>
      <c r="O15" s="8"/>
      <c r="P15" s="9"/>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2"/>
      <c r="D16" s="262"/>
      <c r="E16" s="262"/>
      <c r="F16" s="6" t="s">
        <v>34</v>
      </c>
      <c r="G16" s="7" t="s">
        <v>21</v>
      </c>
      <c r="H16" s="6">
        <v>71400</v>
      </c>
      <c r="I16" s="6" t="s">
        <v>22</v>
      </c>
      <c r="J16" s="213">
        <f t="shared" si="5"/>
        <v>451472</v>
      </c>
      <c r="K16" s="213">
        <f t="shared" si="5"/>
        <v>451472</v>
      </c>
      <c r="L16" s="213">
        <f t="shared" si="5"/>
        <v>451472</v>
      </c>
      <c r="M16" s="213">
        <f t="shared" si="6"/>
        <v>451470</v>
      </c>
      <c r="N16" s="213">
        <f>'TBWP_OP8 part 1_CORE&amp;STAR'!N16-'4 RPA COs'!Q16-'95 COs'!N20</f>
        <v>1805886</v>
      </c>
      <c r="O16" s="8"/>
      <c r="P16" s="9"/>
      <c r="R16" s="1"/>
      <c r="S16" s="1"/>
      <c r="T16" s="1"/>
      <c r="U16" s="1"/>
      <c r="V16" s="1"/>
      <c r="W16" s="1"/>
      <c r="X16" s="1"/>
      <c r="Y16" s="1"/>
      <c r="Z16" s="1"/>
      <c r="AA16" s="1"/>
      <c r="AB16" s="1"/>
      <c r="AC16" s="1"/>
      <c r="AD16" s="1"/>
      <c r="AE16" s="1"/>
      <c r="AF16" s="1"/>
      <c r="AG16" s="1"/>
      <c r="AH16" s="1"/>
      <c r="AI16" s="1"/>
      <c r="AJ16" s="1"/>
    </row>
    <row r="17" spans="1:36" s="2" customFormat="1" ht="21.95" customHeight="1" x14ac:dyDescent="0.2">
      <c r="A17" s="262"/>
      <c r="B17" s="262"/>
      <c r="C17" s="262"/>
      <c r="D17" s="262"/>
      <c r="E17" s="262"/>
      <c r="F17" s="6" t="s">
        <v>34</v>
      </c>
      <c r="G17" s="7" t="s">
        <v>23</v>
      </c>
      <c r="H17" s="6">
        <v>71600</v>
      </c>
      <c r="I17" s="6" t="s">
        <v>23</v>
      </c>
      <c r="J17" s="213">
        <f t="shared" si="5"/>
        <v>44975</v>
      </c>
      <c r="K17" s="213">
        <f t="shared" si="5"/>
        <v>44975</v>
      </c>
      <c r="L17" s="213">
        <f t="shared" si="5"/>
        <v>44975</v>
      </c>
      <c r="M17" s="213">
        <f t="shared" si="6"/>
        <v>44976</v>
      </c>
      <c r="N17" s="213">
        <f>'TBWP_OP8 part 1_CORE&amp;STAR'!N17-'4 RPA COs'!Q17-'95 COs'!N21</f>
        <v>179901</v>
      </c>
      <c r="O17" s="8"/>
      <c r="P17" s="9"/>
      <c r="R17" s="1"/>
      <c r="S17" s="1"/>
      <c r="T17" s="1"/>
      <c r="U17" s="1"/>
      <c r="V17" s="1"/>
      <c r="W17" s="1"/>
      <c r="X17" s="1"/>
      <c r="Y17" s="1"/>
      <c r="Z17" s="1"/>
      <c r="AA17" s="1"/>
      <c r="AB17" s="1"/>
      <c r="AC17" s="1"/>
      <c r="AD17" s="1"/>
      <c r="AE17" s="1"/>
      <c r="AF17" s="1"/>
      <c r="AG17" s="1"/>
      <c r="AH17" s="1"/>
      <c r="AI17" s="1"/>
      <c r="AJ17" s="1"/>
    </row>
    <row r="18" spans="1:36" s="2" customFormat="1" ht="21.95" customHeight="1" x14ac:dyDescent="0.2">
      <c r="A18" s="262"/>
      <c r="B18" s="262"/>
      <c r="C18" s="262"/>
      <c r="D18" s="262"/>
      <c r="E18" s="262"/>
      <c r="F18" s="6" t="s">
        <v>34</v>
      </c>
      <c r="G18" s="7" t="s">
        <v>24</v>
      </c>
      <c r="H18" s="6">
        <v>72500</v>
      </c>
      <c r="I18" s="6" t="s">
        <v>25</v>
      </c>
      <c r="J18" s="213">
        <f t="shared" si="5"/>
        <v>1738</v>
      </c>
      <c r="K18" s="213">
        <f t="shared" si="5"/>
        <v>1738</v>
      </c>
      <c r="L18" s="213">
        <f t="shared" si="5"/>
        <v>1738</v>
      </c>
      <c r="M18" s="213">
        <f t="shared" si="6"/>
        <v>1736</v>
      </c>
      <c r="N18" s="213">
        <f>'TBWP_OP8 part 1_CORE&amp;STAR'!N18-'4 RPA COs'!Q18-'95 COs'!N22</f>
        <v>6950</v>
      </c>
      <c r="O18" s="8"/>
      <c r="P18" s="9"/>
      <c r="R18" s="1"/>
      <c r="S18" s="1"/>
      <c r="T18" s="1"/>
      <c r="U18" s="1"/>
      <c r="V18" s="1"/>
      <c r="W18" s="1"/>
      <c r="X18" s="1"/>
      <c r="Y18" s="1"/>
      <c r="Z18" s="1"/>
      <c r="AA18" s="1"/>
      <c r="AB18" s="1"/>
      <c r="AC18" s="1"/>
      <c r="AD18" s="1"/>
      <c r="AE18" s="1"/>
      <c r="AF18" s="1"/>
      <c r="AG18" s="1"/>
      <c r="AH18" s="1"/>
      <c r="AI18" s="1"/>
      <c r="AJ18" s="1"/>
    </row>
    <row r="19" spans="1:36" s="2" customFormat="1" ht="21.95" customHeight="1" x14ac:dyDescent="0.2">
      <c r="A19" s="262"/>
      <c r="B19" s="262"/>
      <c r="C19" s="262"/>
      <c r="D19" s="262"/>
      <c r="E19" s="262"/>
      <c r="F19" s="6" t="s">
        <v>34</v>
      </c>
      <c r="G19" s="7" t="s">
        <v>26</v>
      </c>
      <c r="H19" s="6">
        <v>75700</v>
      </c>
      <c r="I19" s="6" t="s">
        <v>27</v>
      </c>
      <c r="J19" s="213">
        <f t="shared" si="5"/>
        <v>8798</v>
      </c>
      <c r="K19" s="213">
        <f t="shared" si="5"/>
        <v>8798</v>
      </c>
      <c r="L19" s="213">
        <f t="shared" si="5"/>
        <v>8798</v>
      </c>
      <c r="M19" s="213">
        <f t="shared" si="6"/>
        <v>8797</v>
      </c>
      <c r="N19" s="213">
        <f>'TBWP_OP8 part 1_CORE&amp;STAR'!N19-'4 RPA COs'!Q19-'95 COs'!N23</f>
        <v>35191</v>
      </c>
      <c r="O19" s="8"/>
      <c r="P19" s="9"/>
      <c r="R19" s="1"/>
      <c r="S19" s="1"/>
      <c r="T19" s="1"/>
      <c r="U19" s="1"/>
      <c r="V19" s="1"/>
      <c r="W19" s="1"/>
      <c r="X19" s="1"/>
      <c r="Y19" s="1"/>
      <c r="Z19" s="1"/>
      <c r="AA19" s="1"/>
      <c r="AB19" s="1"/>
      <c r="AC19" s="1"/>
      <c r="AD19" s="1"/>
      <c r="AE19" s="1"/>
      <c r="AF19" s="1"/>
      <c r="AG19" s="1"/>
      <c r="AH19" s="1"/>
      <c r="AI19" s="1"/>
      <c r="AJ19" s="1"/>
    </row>
    <row r="20" spans="1:36" s="2" customFormat="1" ht="21.95" customHeight="1" x14ac:dyDescent="0.2">
      <c r="A20" s="262"/>
      <c r="B20" s="262"/>
      <c r="C20" s="262"/>
      <c r="D20" s="262"/>
      <c r="E20" s="262"/>
      <c r="F20" s="6" t="s">
        <v>34</v>
      </c>
      <c r="G20" s="7" t="s">
        <v>28</v>
      </c>
      <c r="H20" s="6">
        <v>61200</v>
      </c>
      <c r="I20" s="6" t="s">
        <v>29</v>
      </c>
      <c r="J20" s="213">
        <f t="shared" si="5"/>
        <v>79005</v>
      </c>
      <c r="K20" s="213">
        <f t="shared" si="5"/>
        <v>79005</v>
      </c>
      <c r="L20" s="213">
        <f t="shared" si="5"/>
        <v>79005</v>
      </c>
      <c r="M20" s="213">
        <f t="shared" si="6"/>
        <v>79004</v>
      </c>
      <c r="N20" s="213">
        <f>'TBWP_OP8 part 1_CORE&amp;STAR'!N20-'4 RPA COs'!Q20-'95 COs'!N24</f>
        <v>316019</v>
      </c>
      <c r="O20" s="8"/>
      <c r="P20" s="9"/>
      <c r="R20" s="1"/>
      <c r="S20" s="1"/>
      <c r="T20" s="1"/>
      <c r="U20" s="1"/>
      <c r="V20" s="1"/>
      <c r="W20" s="1"/>
      <c r="X20" s="1"/>
      <c r="Y20" s="1"/>
      <c r="Z20" s="1"/>
      <c r="AA20" s="1"/>
      <c r="AB20" s="1"/>
      <c r="AC20" s="1"/>
      <c r="AD20" s="1"/>
      <c r="AE20" s="1"/>
      <c r="AF20" s="1"/>
      <c r="AG20" s="1"/>
      <c r="AH20" s="1"/>
      <c r="AI20" s="1"/>
      <c r="AJ20" s="1"/>
    </row>
    <row r="21" spans="1:36" s="2" customFormat="1" ht="21.95" customHeight="1" x14ac:dyDescent="0.2">
      <c r="A21" s="262"/>
      <c r="B21" s="262"/>
      <c r="C21" s="262"/>
      <c r="D21" s="262"/>
      <c r="E21" s="262"/>
      <c r="F21" s="6" t="s">
        <v>34</v>
      </c>
      <c r="G21" s="7" t="s">
        <v>28</v>
      </c>
      <c r="H21" s="6">
        <v>61300</v>
      </c>
      <c r="I21" s="6" t="s">
        <v>30</v>
      </c>
      <c r="J21" s="213">
        <f t="shared" si="5"/>
        <v>144452</v>
      </c>
      <c r="K21" s="213">
        <f t="shared" si="5"/>
        <v>144452</v>
      </c>
      <c r="L21" s="213">
        <f t="shared" si="5"/>
        <v>144452</v>
      </c>
      <c r="M21" s="213">
        <f t="shared" si="6"/>
        <v>144450</v>
      </c>
      <c r="N21" s="213">
        <f>'TBWP_OP8 part 1_CORE&amp;STAR'!N21-'4 RPA COs'!Q21-'95 COs'!N25</f>
        <v>577806</v>
      </c>
      <c r="O21" s="8"/>
      <c r="P21" s="9"/>
      <c r="R21" s="1"/>
      <c r="S21" s="1"/>
      <c r="T21" s="1"/>
      <c r="U21" s="1"/>
      <c r="V21" s="1"/>
      <c r="W21" s="1"/>
      <c r="X21" s="1"/>
      <c r="Y21" s="1"/>
      <c r="Z21" s="1"/>
      <c r="AA21" s="1"/>
      <c r="AB21" s="1"/>
      <c r="AC21" s="1"/>
      <c r="AD21" s="1"/>
      <c r="AE21" s="1"/>
      <c r="AF21" s="1"/>
      <c r="AG21" s="1"/>
      <c r="AH21" s="1"/>
      <c r="AI21" s="1"/>
      <c r="AJ21" s="1"/>
    </row>
    <row r="22" spans="1:36" s="2" customFormat="1" ht="21.95" customHeight="1" x14ac:dyDescent="0.2">
      <c r="A22" s="262"/>
      <c r="B22" s="262"/>
      <c r="C22" s="263" t="s">
        <v>31</v>
      </c>
      <c r="D22" s="263"/>
      <c r="E22" s="263"/>
      <c r="F22" s="263"/>
      <c r="G22" s="263"/>
      <c r="H22" s="263"/>
      <c r="I22" s="263"/>
      <c r="J22" s="213">
        <f>SUM(J14:J21)</f>
        <v>767653</v>
      </c>
      <c r="K22" s="213">
        <f t="shared" ref="K22:N22" si="7">SUM(K14:K21)</f>
        <v>767653</v>
      </c>
      <c r="L22" s="213">
        <f t="shared" si="7"/>
        <v>767653</v>
      </c>
      <c r="M22" s="213">
        <f t="shared" si="7"/>
        <v>767645</v>
      </c>
      <c r="N22" s="213">
        <f t="shared" si="7"/>
        <v>3070604</v>
      </c>
      <c r="O22" s="8"/>
      <c r="P22" s="9"/>
      <c r="R22" s="1"/>
      <c r="S22" s="1"/>
      <c r="T22" s="1"/>
      <c r="U22" s="1"/>
      <c r="V22" s="1"/>
      <c r="W22" s="1"/>
      <c r="X22" s="1"/>
      <c r="Y22" s="1"/>
      <c r="Z22" s="1"/>
      <c r="AA22" s="1"/>
      <c r="AB22" s="1"/>
      <c r="AC22" s="1"/>
      <c r="AD22" s="1"/>
      <c r="AE22" s="1"/>
      <c r="AF22" s="1"/>
      <c r="AG22" s="1"/>
      <c r="AH22" s="1"/>
      <c r="AI22" s="1"/>
      <c r="AJ22" s="1"/>
    </row>
    <row r="23" spans="1:36" ht="21.95" customHeight="1" x14ac:dyDescent="0.2">
      <c r="A23" s="262"/>
      <c r="B23" s="263" t="s">
        <v>35</v>
      </c>
      <c r="C23" s="263"/>
      <c r="D23" s="263"/>
      <c r="E23" s="263"/>
      <c r="F23" s="263"/>
      <c r="G23" s="263"/>
      <c r="H23" s="263"/>
      <c r="I23" s="263"/>
      <c r="J23" s="213">
        <f>J22</f>
        <v>767653</v>
      </c>
      <c r="K23" s="213">
        <f t="shared" ref="K23:N23" si="8">K22</f>
        <v>767653</v>
      </c>
      <c r="L23" s="213">
        <f t="shared" si="8"/>
        <v>767653</v>
      </c>
      <c r="M23" s="213">
        <f t="shared" si="8"/>
        <v>767645</v>
      </c>
      <c r="N23" s="213">
        <f t="shared" si="8"/>
        <v>3070604</v>
      </c>
      <c r="O23" s="8"/>
      <c r="Q23" s="10"/>
      <c r="Z23" s="11"/>
      <c r="AC23" s="12"/>
      <c r="AD23" s="13"/>
    </row>
    <row r="24" spans="1:36" ht="21.95" customHeight="1" x14ac:dyDescent="0.2">
      <c r="A24" s="261" t="s">
        <v>36</v>
      </c>
      <c r="B24" s="261"/>
      <c r="C24" s="261"/>
      <c r="D24" s="261"/>
      <c r="E24" s="261"/>
      <c r="F24" s="261"/>
      <c r="G24" s="261"/>
      <c r="H24" s="261"/>
      <c r="I24" s="261"/>
      <c r="J24" s="213">
        <f>J13+J23</f>
        <v>1671469</v>
      </c>
      <c r="K24" s="213">
        <f t="shared" ref="K24:N24" si="9">K13+K23</f>
        <v>1671469</v>
      </c>
      <c r="L24" s="213">
        <f t="shared" si="9"/>
        <v>1671469</v>
      </c>
      <c r="M24" s="213">
        <f t="shared" si="9"/>
        <v>1671455</v>
      </c>
      <c r="N24" s="213">
        <f t="shared" si="9"/>
        <v>6685862</v>
      </c>
      <c r="O24" s="8"/>
      <c r="R24" s="14"/>
      <c r="Z24" s="15"/>
      <c r="AJ24" s="16"/>
    </row>
    <row r="25" spans="1:36" ht="21.95" customHeight="1" x14ac:dyDescent="0.2">
      <c r="A25" s="262" t="s">
        <v>37</v>
      </c>
      <c r="B25" s="262" t="s">
        <v>38</v>
      </c>
      <c r="C25" s="262" t="s">
        <v>17</v>
      </c>
      <c r="D25" s="262">
        <v>62000</v>
      </c>
      <c r="E25" s="262">
        <v>10003</v>
      </c>
      <c r="F25" s="6" t="s">
        <v>39</v>
      </c>
      <c r="G25" s="7" t="s">
        <v>19</v>
      </c>
      <c r="H25" s="6">
        <v>71200</v>
      </c>
      <c r="I25" s="6" t="s">
        <v>19</v>
      </c>
      <c r="J25" s="213">
        <f t="shared" ref="J25:L32" si="10">ROUND($N25*J$2,0)</f>
        <v>8984</v>
      </c>
      <c r="K25" s="213">
        <f t="shared" si="10"/>
        <v>8984</v>
      </c>
      <c r="L25" s="213">
        <f t="shared" si="10"/>
        <v>8984</v>
      </c>
      <c r="M25" s="213">
        <f t="shared" ref="M25:M32" si="11">N25-SUM(J25:L25)</f>
        <v>8985</v>
      </c>
      <c r="N25" s="213">
        <f>'TBWP_OP8 part 1_CORE&amp;STAR'!N25-'4 RPA COs'!Q25-'95 COs'!N29</f>
        <v>35937</v>
      </c>
      <c r="O25" s="8"/>
      <c r="P25" s="9"/>
    </row>
    <row r="26" spans="1:36" ht="21.95" customHeight="1" x14ac:dyDescent="0.2">
      <c r="A26" s="262"/>
      <c r="B26" s="262"/>
      <c r="C26" s="262"/>
      <c r="D26" s="262"/>
      <c r="E26" s="262"/>
      <c r="F26" s="6" t="s">
        <v>39</v>
      </c>
      <c r="G26" s="7" t="s">
        <v>20</v>
      </c>
      <c r="H26" s="6">
        <v>71300</v>
      </c>
      <c r="I26" s="6" t="s">
        <v>20</v>
      </c>
      <c r="J26" s="213">
        <f t="shared" si="10"/>
        <v>35562</v>
      </c>
      <c r="K26" s="213">
        <f t="shared" si="10"/>
        <v>35562</v>
      </c>
      <c r="L26" s="213">
        <f t="shared" si="10"/>
        <v>35562</v>
      </c>
      <c r="M26" s="213">
        <f t="shared" si="11"/>
        <v>35563</v>
      </c>
      <c r="N26" s="213">
        <f>'TBWP_OP8 part 1_CORE&amp;STAR'!N26-'4 RPA COs'!Q26-'95 COs'!N30</f>
        <v>142249</v>
      </c>
      <c r="O26" s="8"/>
      <c r="P26" s="9"/>
    </row>
    <row r="27" spans="1:36" ht="21.95" customHeight="1" x14ac:dyDescent="0.2">
      <c r="A27" s="262"/>
      <c r="B27" s="262"/>
      <c r="C27" s="262"/>
      <c r="D27" s="262"/>
      <c r="E27" s="262"/>
      <c r="F27" s="6" t="s">
        <v>39</v>
      </c>
      <c r="G27" s="7" t="s">
        <v>21</v>
      </c>
      <c r="H27" s="6">
        <v>71400</v>
      </c>
      <c r="I27" s="6" t="s">
        <v>22</v>
      </c>
      <c r="J27" s="213">
        <f t="shared" si="10"/>
        <v>544728</v>
      </c>
      <c r="K27" s="213">
        <f t="shared" si="10"/>
        <v>544728</v>
      </c>
      <c r="L27" s="213">
        <f t="shared" si="10"/>
        <v>544728</v>
      </c>
      <c r="M27" s="213">
        <f t="shared" si="11"/>
        <v>544728</v>
      </c>
      <c r="N27" s="213">
        <f>'TBWP_OP8 part 1_CORE&amp;STAR'!N27-'4 RPA COs'!Q27-'95 COs'!N31</f>
        <v>2178912</v>
      </c>
      <c r="O27" s="8"/>
      <c r="P27" s="9"/>
    </row>
    <row r="28" spans="1:36" ht="21.95" customHeight="1" x14ac:dyDescent="0.2">
      <c r="A28" s="262"/>
      <c r="B28" s="262"/>
      <c r="C28" s="262"/>
      <c r="D28" s="262"/>
      <c r="E28" s="262"/>
      <c r="F28" s="6" t="s">
        <v>39</v>
      </c>
      <c r="G28" s="7" t="s">
        <v>23</v>
      </c>
      <c r="H28" s="6">
        <v>71600</v>
      </c>
      <c r="I28" s="6" t="s">
        <v>23</v>
      </c>
      <c r="J28" s="213">
        <f t="shared" si="10"/>
        <v>1548</v>
      </c>
      <c r="K28" s="213">
        <f t="shared" si="10"/>
        <v>1548</v>
      </c>
      <c r="L28" s="213">
        <f t="shared" si="10"/>
        <v>1548</v>
      </c>
      <c r="M28" s="213">
        <f t="shared" si="11"/>
        <v>1548.109999999986</v>
      </c>
      <c r="N28" s="213">
        <f>'TBWP_OP8 part 1_CORE&amp;STAR'!N28-'4 RPA COs'!Q28-'95 COs'!N32</f>
        <v>6192.109999999986</v>
      </c>
      <c r="O28" s="8"/>
      <c r="P28" s="9"/>
    </row>
    <row r="29" spans="1:36" ht="21.95" customHeight="1" x14ac:dyDescent="0.2">
      <c r="A29" s="262"/>
      <c r="B29" s="262"/>
      <c r="C29" s="262"/>
      <c r="D29" s="262"/>
      <c r="E29" s="262"/>
      <c r="F29" s="6" t="s">
        <v>39</v>
      </c>
      <c r="G29" s="6" t="s">
        <v>24</v>
      </c>
      <c r="H29" s="6">
        <v>72500</v>
      </c>
      <c r="I29" s="6" t="s">
        <v>25</v>
      </c>
      <c r="J29" s="213">
        <f t="shared" si="10"/>
        <v>2246</v>
      </c>
      <c r="K29" s="213">
        <f t="shared" si="10"/>
        <v>2246</v>
      </c>
      <c r="L29" s="213">
        <f t="shared" si="10"/>
        <v>2246</v>
      </c>
      <c r="M29" s="213">
        <f t="shared" si="11"/>
        <v>2244</v>
      </c>
      <c r="N29" s="213">
        <f>'TBWP_OP8 part 1_CORE&amp;STAR'!N29-'4 RPA COs'!Q29-'95 COs'!N33</f>
        <v>8982</v>
      </c>
      <c r="O29" s="8"/>
      <c r="P29" s="9"/>
    </row>
    <row r="30" spans="1:36" ht="21.95" customHeight="1" x14ac:dyDescent="0.2">
      <c r="A30" s="262"/>
      <c r="B30" s="262"/>
      <c r="C30" s="262"/>
      <c r="D30" s="262"/>
      <c r="E30" s="262"/>
      <c r="F30" s="6" t="s">
        <v>39</v>
      </c>
      <c r="G30" s="7" t="s">
        <v>26</v>
      </c>
      <c r="H30" s="6">
        <v>75700</v>
      </c>
      <c r="I30" s="6" t="s">
        <v>27</v>
      </c>
      <c r="J30" s="213">
        <f t="shared" si="10"/>
        <v>11367</v>
      </c>
      <c r="K30" s="213">
        <f t="shared" si="10"/>
        <v>11367</v>
      </c>
      <c r="L30" s="213">
        <f t="shared" si="10"/>
        <v>11367</v>
      </c>
      <c r="M30" s="213">
        <f t="shared" si="11"/>
        <v>11365</v>
      </c>
      <c r="N30" s="213">
        <f>'TBWP_OP8 part 1_CORE&amp;STAR'!N30-'4 RPA COs'!Q30-'95 COs'!N34</f>
        <v>45466</v>
      </c>
      <c r="O30" s="8"/>
      <c r="P30" s="9"/>
    </row>
    <row r="31" spans="1:36" ht="21.95" customHeight="1" x14ac:dyDescent="0.2">
      <c r="A31" s="262"/>
      <c r="B31" s="262"/>
      <c r="C31" s="262"/>
      <c r="D31" s="262"/>
      <c r="E31" s="262"/>
      <c r="F31" s="6" t="s">
        <v>39</v>
      </c>
      <c r="G31" s="7" t="s">
        <v>28</v>
      </c>
      <c r="H31" s="6">
        <v>61200</v>
      </c>
      <c r="I31" s="6" t="s">
        <v>29</v>
      </c>
      <c r="J31" s="213">
        <f t="shared" si="10"/>
        <v>73266</v>
      </c>
      <c r="K31" s="213">
        <f t="shared" si="10"/>
        <v>73266</v>
      </c>
      <c r="L31" s="213">
        <f t="shared" si="10"/>
        <v>73266</v>
      </c>
      <c r="M31" s="213">
        <f t="shared" si="11"/>
        <v>73267</v>
      </c>
      <c r="N31" s="213">
        <f>'TBWP_OP8 part 1_CORE&amp;STAR'!N31-'4 RPA COs'!Q31-'95 COs'!N35</f>
        <v>293065</v>
      </c>
      <c r="O31" s="8"/>
      <c r="P31" s="9"/>
    </row>
    <row r="32" spans="1:36" ht="21.95" customHeight="1" x14ac:dyDescent="0.2">
      <c r="A32" s="262"/>
      <c r="B32" s="262"/>
      <c r="C32" s="262"/>
      <c r="D32" s="262"/>
      <c r="E32" s="262"/>
      <c r="F32" s="6" t="s">
        <v>39</v>
      </c>
      <c r="G32" s="7" t="s">
        <v>28</v>
      </c>
      <c r="H32" s="6">
        <v>61300</v>
      </c>
      <c r="I32" s="6" t="s">
        <v>30</v>
      </c>
      <c r="J32" s="213">
        <f t="shared" si="10"/>
        <v>133959</v>
      </c>
      <c r="K32" s="213">
        <f t="shared" si="10"/>
        <v>133959</v>
      </c>
      <c r="L32" s="213">
        <f t="shared" si="10"/>
        <v>133959</v>
      </c>
      <c r="M32" s="213">
        <f t="shared" si="11"/>
        <v>133959</v>
      </c>
      <c r="N32" s="213">
        <f>'TBWP_OP8 part 1_CORE&amp;STAR'!N32-'4 RPA COs'!Q32-'95 COs'!N36</f>
        <v>535836</v>
      </c>
      <c r="O32" s="8"/>
      <c r="P32" s="9"/>
    </row>
    <row r="33" spans="1:36" s="2" customFormat="1" ht="21.95" customHeight="1" x14ac:dyDescent="0.2">
      <c r="A33" s="262"/>
      <c r="B33" s="262"/>
      <c r="C33" s="262"/>
      <c r="D33" s="262"/>
      <c r="E33" s="262"/>
      <c r="F33" s="6" t="s">
        <v>39</v>
      </c>
      <c r="G33" s="7" t="s">
        <v>40</v>
      </c>
      <c r="H33" s="6">
        <v>72600</v>
      </c>
      <c r="I33" s="6" t="s">
        <v>40</v>
      </c>
      <c r="J33" s="213">
        <f>ROUND($N33*J$1,0)</f>
        <v>0</v>
      </c>
      <c r="K33" s="213">
        <f t="shared" ref="K33:M33" si="12">ROUND($N33*K$1,0)</f>
        <v>0</v>
      </c>
      <c r="L33" s="213">
        <f t="shared" si="12"/>
        <v>0</v>
      </c>
      <c r="M33" s="213">
        <f t="shared" si="12"/>
        <v>0</v>
      </c>
      <c r="N33" s="213">
        <f>'TBWP_OP8 part 1_CORE&amp;STAR'!N33-'4 RPA COs'!Q33-'95 COs'!N37</f>
        <v>0.18000002205371857</v>
      </c>
      <c r="O33" s="8"/>
      <c r="P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1" t="s">
        <v>31</v>
      </c>
      <c r="D34" s="261"/>
      <c r="E34" s="261"/>
      <c r="F34" s="261"/>
      <c r="G34" s="261"/>
      <c r="H34" s="261"/>
      <c r="I34" s="261"/>
      <c r="J34" s="213">
        <f>SUM(J25:J33)</f>
        <v>811660</v>
      </c>
      <c r="K34" s="213">
        <f t="shared" ref="K34:N34" si="13">SUM(K25:K33)</f>
        <v>811660</v>
      </c>
      <c r="L34" s="213">
        <f t="shared" si="13"/>
        <v>811660</v>
      </c>
      <c r="M34" s="213">
        <f t="shared" si="13"/>
        <v>811659.11</v>
      </c>
      <c r="N34" s="213">
        <f t="shared" si="13"/>
        <v>3246639.2900000219</v>
      </c>
      <c r="O34" s="8"/>
      <c r="P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1" t="s">
        <v>41</v>
      </c>
      <c r="C35" s="261"/>
      <c r="D35" s="261"/>
      <c r="E35" s="261"/>
      <c r="F35" s="261"/>
      <c r="G35" s="261"/>
      <c r="H35" s="261"/>
      <c r="I35" s="261"/>
      <c r="J35" s="213">
        <f>J34</f>
        <v>811660</v>
      </c>
      <c r="K35" s="213">
        <f t="shared" ref="K35:N35" si="14">K34</f>
        <v>811660</v>
      </c>
      <c r="L35" s="213">
        <f t="shared" si="14"/>
        <v>811660</v>
      </c>
      <c r="M35" s="213">
        <f t="shared" si="14"/>
        <v>811659.11</v>
      </c>
      <c r="N35" s="213">
        <f t="shared" si="14"/>
        <v>3246639.2900000219</v>
      </c>
      <c r="O35" s="8"/>
      <c r="P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t="s">
        <v>42</v>
      </c>
      <c r="C36" s="262" t="s">
        <v>17</v>
      </c>
      <c r="D36" s="262">
        <v>62000</v>
      </c>
      <c r="E36" s="262">
        <v>10003</v>
      </c>
      <c r="F36" s="6" t="s">
        <v>43</v>
      </c>
      <c r="G36" s="7" t="s">
        <v>19</v>
      </c>
      <c r="H36" s="6">
        <v>71200</v>
      </c>
      <c r="I36" s="6" t="s">
        <v>19</v>
      </c>
      <c r="J36" s="213">
        <f t="shared" ref="J36:L43" si="15">ROUND($N36*J$2,0)</f>
        <v>9323</v>
      </c>
      <c r="K36" s="213">
        <f t="shared" si="15"/>
        <v>9323</v>
      </c>
      <c r="L36" s="213">
        <f t="shared" si="15"/>
        <v>9323</v>
      </c>
      <c r="M36" s="213">
        <f t="shared" ref="M36:M43" si="16">N36-SUM(J36:L36)</f>
        <v>9322</v>
      </c>
      <c r="N36" s="213">
        <f>'TBWP_OP8 part 1_CORE&amp;STAR'!N36-'4 RPA COs'!Q36-'95 COs'!N40</f>
        <v>37291</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2"/>
      <c r="C37" s="262"/>
      <c r="D37" s="262"/>
      <c r="E37" s="262"/>
      <c r="F37" s="6" t="s">
        <v>43</v>
      </c>
      <c r="G37" s="7" t="s">
        <v>20</v>
      </c>
      <c r="H37" s="6">
        <v>71300</v>
      </c>
      <c r="I37" s="6" t="s">
        <v>20</v>
      </c>
      <c r="J37" s="213">
        <f t="shared" si="15"/>
        <v>26488</v>
      </c>
      <c r="K37" s="213">
        <f t="shared" si="15"/>
        <v>26488</v>
      </c>
      <c r="L37" s="213">
        <f t="shared" si="15"/>
        <v>26488</v>
      </c>
      <c r="M37" s="213">
        <f t="shared" si="16"/>
        <v>26486</v>
      </c>
      <c r="N37" s="213">
        <f>'TBWP_OP8 part 1_CORE&amp;STAR'!N37-'4 RPA COs'!Q37-'95 COs'!N41</f>
        <v>105950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c r="C38" s="262"/>
      <c r="D38" s="262"/>
      <c r="E38" s="262"/>
      <c r="F38" s="6" t="s">
        <v>43</v>
      </c>
      <c r="G38" s="7" t="s">
        <v>21</v>
      </c>
      <c r="H38" s="6">
        <v>71400</v>
      </c>
      <c r="I38" s="6" t="s">
        <v>22</v>
      </c>
      <c r="J38" s="213">
        <f t="shared" si="15"/>
        <v>433240</v>
      </c>
      <c r="K38" s="213">
        <f t="shared" si="15"/>
        <v>433240</v>
      </c>
      <c r="L38" s="213">
        <f t="shared" si="15"/>
        <v>433240</v>
      </c>
      <c r="M38" s="213">
        <f t="shared" si="16"/>
        <v>433240</v>
      </c>
      <c r="N38" s="213">
        <f>'TBWP_OP8 part 1_CORE&amp;STAR'!N38-'4 RPA COs'!Q38-'95 COs'!N42</f>
        <v>1732960</v>
      </c>
      <c r="O38" s="8"/>
      <c r="P38" s="9"/>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43</v>
      </c>
      <c r="G39" s="7" t="s">
        <v>23</v>
      </c>
      <c r="H39" s="6">
        <v>71600</v>
      </c>
      <c r="I39" s="6" t="s">
        <v>23</v>
      </c>
      <c r="J39" s="213">
        <f t="shared" si="15"/>
        <v>3956</v>
      </c>
      <c r="K39" s="213">
        <f t="shared" si="15"/>
        <v>3956</v>
      </c>
      <c r="L39" s="213">
        <f t="shared" si="15"/>
        <v>3956</v>
      </c>
      <c r="M39" s="213">
        <f t="shared" si="16"/>
        <v>3954.3599999999933</v>
      </c>
      <c r="N39" s="213">
        <f>'TBWP_OP8 part 1_CORE&amp;STAR'!N39-'4 RPA COs'!Q39-'95 COs'!N43</f>
        <v>15822.359999999993</v>
      </c>
      <c r="O39" s="8"/>
      <c r="P39" s="214"/>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43</v>
      </c>
      <c r="G40" s="6" t="s">
        <v>24</v>
      </c>
      <c r="H40" s="6">
        <v>72500</v>
      </c>
      <c r="I40" s="6" t="s">
        <v>25</v>
      </c>
      <c r="J40" s="213">
        <f t="shared" si="15"/>
        <v>1672</v>
      </c>
      <c r="K40" s="213">
        <f t="shared" si="15"/>
        <v>1672</v>
      </c>
      <c r="L40" s="213">
        <f t="shared" si="15"/>
        <v>1672</v>
      </c>
      <c r="M40" s="213">
        <f t="shared" si="16"/>
        <v>1673</v>
      </c>
      <c r="N40" s="213">
        <f>'TBWP_OP8 part 1_CORE&amp;STAR'!N40-'4 RPA COs'!Q40-'95 COs'!N44</f>
        <v>6689</v>
      </c>
      <c r="O40" s="8"/>
      <c r="P40" s="214"/>
      <c r="R40" s="1"/>
      <c r="S40" s="1"/>
      <c r="T40" s="1"/>
      <c r="U40" s="1"/>
      <c r="V40" s="1"/>
      <c r="W40" s="1"/>
      <c r="X40" s="1"/>
      <c r="Y40" s="1"/>
      <c r="Z40" s="1"/>
      <c r="AA40" s="1"/>
      <c r="AB40" s="1"/>
      <c r="AC40" s="1"/>
      <c r="AD40" s="1"/>
      <c r="AE40" s="1"/>
      <c r="AF40" s="1"/>
      <c r="AG40" s="1"/>
      <c r="AH40" s="1"/>
      <c r="AI40" s="1"/>
      <c r="AJ40" s="1"/>
    </row>
    <row r="41" spans="1:36" ht="21.95" customHeight="1" x14ac:dyDescent="0.2">
      <c r="A41" s="262"/>
      <c r="B41" s="262"/>
      <c r="C41" s="262"/>
      <c r="D41" s="262"/>
      <c r="E41" s="262"/>
      <c r="F41" s="6" t="s">
        <v>43</v>
      </c>
      <c r="G41" s="7" t="s">
        <v>26</v>
      </c>
      <c r="H41" s="6">
        <v>75700</v>
      </c>
      <c r="I41" s="6" t="s">
        <v>27</v>
      </c>
      <c r="J41" s="213">
        <f t="shared" si="15"/>
        <v>8466</v>
      </c>
      <c r="K41" s="213">
        <f t="shared" si="15"/>
        <v>8466</v>
      </c>
      <c r="L41" s="213">
        <f t="shared" si="15"/>
        <v>8466</v>
      </c>
      <c r="M41" s="213">
        <f t="shared" si="16"/>
        <v>8466</v>
      </c>
      <c r="N41" s="213">
        <f>'TBWP_OP8 part 1_CORE&amp;STAR'!N41-'4 RPA COs'!Q41-'95 COs'!N45</f>
        <v>33864</v>
      </c>
      <c r="O41" s="8"/>
      <c r="P41" s="9"/>
    </row>
    <row r="42" spans="1:36" ht="21.95" customHeight="1" x14ac:dyDescent="0.2">
      <c r="A42" s="262"/>
      <c r="B42" s="262"/>
      <c r="C42" s="262"/>
      <c r="D42" s="262"/>
      <c r="E42" s="262"/>
      <c r="F42" s="6" t="s">
        <v>43</v>
      </c>
      <c r="G42" s="7" t="s">
        <v>28</v>
      </c>
      <c r="H42" s="6">
        <v>61200</v>
      </c>
      <c r="I42" s="6" t="s">
        <v>29</v>
      </c>
      <c r="J42" s="213">
        <f t="shared" si="15"/>
        <v>76027</v>
      </c>
      <c r="K42" s="213">
        <f t="shared" si="15"/>
        <v>76027</v>
      </c>
      <c r="L42" s="213">
        <f t="shared" si="15"/>
        <v>76027</v>
      </c>
      <c r="M42" s="213">
        <f t="shared" si="16"/>
        <v>76027</v>
      </c>
      <c r="N42" s="213">
        <f>'TBWP_OP8 part 1_CORE&amp;STAR'!N42-'4 RPA COs'!Q42-'95 COs'!N46</f>
        <v>304108</v>
      </c>
      <c r="O42" s="8"/>
      <c r="P42" s="9"/>
    </row>
    <row r="43" spans="1:36" ht="21.95" customHeight="1" x14ac:dyDescent="0.2">
      <c r="A43" s="262"/>
      <c r="B43" s="262"/>
      <c r="C43" s="262"/>
      <c r="D43" s="262"/>
      <c r="E43" s="262"/>
      <c r="F43" s="6" t="s">
        <v>43</v>
      </c>
      <c r="G43" s="7" t="s">
        <v>28</v>
      </c>
      <c r="H43" s="6">
        <v>61300</v>
      </c>
      <c r="I43" s="6" t="s">
        <v>30</v>
      </c>
      <c r="J43" s="213">
        <f t="shared" si="15"/>
        <v>139007</v>
      </c>
      <c r="K43" s="213">
        <f t="shared" si="15"/>
        <v>139007</v>
      </c>
      <c r="L43" s="213">
        <f t="shared" si="15"/>
        <v>139007</v>
      </c>
      <c r="M43" s="213">
        <f t="shared" si="16"/>
        <v>139005.00999999791</v>
      </c>
      <c r="N43" s="213">
        <f>'TBWP_OP8 part 1_CORE&amp;STAR'!N43-'4 RPA COs'!Q43-'95 COs'!N47</f>
        <v>556026.00999999791</v>
      </c>
      <c r="O43" s="8"/>
      <c r="P43" s="9"/>
    </row>
    <row r="44" spans="1:36" ht="21.95" customHeight="1" x14ac:dyDescent="0.2">
      <c r="A44" s="262"/>
      <c r="B44" s="262"/>
      <c r="C44" s="262"/>
      <c r="D44" s="262"/>
      <c r="E44" s="262"/>
      <c r="F44" s="6" t="s">
        <v>43</v>
      </c>
      <c r="G44" s="7" t="s">
        <v>40</v>
      </c>
      <c r="H44" s="6">
        <v>72600</v>
      </c>
      <c r="I44" s="6" t="s">
        <v>40</v>
      </c>
      <c r="J44" s="213">
        <f>ROUND($N44*J$1,0)</f>
        <v>0</v>
      </c>
      <c r="K44" s="213">
        <f t="shared" ref="K44:M44" si="17">ROUND($N44*K$1,0)</f>
        <v>0</v>
      </c>
      <c r="L44" s="213">
        <f t="shared" si="17"/>
        <v>0</v>
      </c>
      <c r="M44" s="213">
        <f t="shared" si="17"/>
        <v>0</v>
      </c>
      <c r="N44" s="213">
        <f>'TBWP_OP8 part 1_CORE&amp;STAR'!N44-'4 RPA COs'!Q44-'95 COs'!N48</f>
        <v>0</v>
      </c>
      <c r="O44" s="8"/>
      <c r="P44" s="9"/>
    </row>
    <row r="45" spans="1:36" ht="21.95" customHeight="1" x14ac:dyDescent="0.2">
      <c r="A45" s="262"/>
      <c r="B45" s="262"/>
      <c r="C45" s="263" t="s">
        <v>31</v>
      </c>
      <c r="D45" s="263"/>
      <c r="E45" s="263"/>
      <c r="F45" s="263"/>
      <c r="G45" s="263"/>
      <c r="H45" s="263"/>
      <c r="I45" s="263"/>
      <c r="J45" s="213">
        <f>SUM(J36:J44)</f>
        <v>698179</v>
      </c>
      <c r="K45" s="213">
        <f t="shared" ref="K45:N45" si="18">SUM(K36:K44)</f>
        <v>698179</v>
      </c>
      <c r="L45" s="213">
        <f t="shared" si="18"/>
        <v>698179</v>
      </c>
      <c r="M45" s="213">
        <f t="shared" si="18"/>
        <v>698173.3699999979</v>
      </c>
      <c r="N45" s="213">
        <f t="shared" si="18"/>
        <v>2792710.3699999982</v>
      </c>
      <c r="O45" s="8"/>
      <c r="P45" s="9"/>
    </row>
    <row r="46" spans="1:36" ht="21.95" customHeight="1" x14ac:dyDescent="0.2">
      <c r="A46" s="262"/>
      <c r="B46" s="263" t="s">
        <v>44</v>
      </c>
      <c r="C46" s="263"/>
      <c r="D46" s="263"/>
      <c r="E46" s="263"/>
      <c r="F46" s="263"/>
      <c r="G46" s="263"/>
      <c r="H46" s="263"/>
      <c r="I46" s="263"/>
      <c r="J46" s="213">
        <f>J45</f>
        <v>698179</v>
      </c>
      <c r="K46" s="213">
        <f t="shared" ref="K46:N46" si="19">K45</f>
        <v>698179</v>
      </c>
      <c r="L46" s="213">
        <f t="shared" si="19"/>
        <v>698179</v>
      </c>
      <c r="M46" s="213">
        <f t="shared" si="19"/>
        <v>698173.3699999979</v>
      </c>
      <c r="N46" s="213">
        <f t="shared" si="19"/>
        <v>2792710.3699999982</v>
      </c>
      <c r="O46" s="8"/>
      <c r="Q46" s="10"/>
      <c r="Z46" s="11"/>
      <c r="AC46" s="12"/>
      <c r="AD46" s="13"/>
    </row>
    <row r="47" spans="1:36" ht="21.95" customHeight="1" x14ac:dyDescent="0.2">
      <c r="A47" s="261" t="s">
        <v>45</v>
      </c>
      <c r="B47" s="261"/>
      <c r="C47" s="261"/>
      <c r="D47" s="261"/>
      <c r="E47" s="261"/>
      <c r="F47" s="261"/>
      <c r="G47" s="261"/>
      <c r="H47" s="261"/>
      <c r="I47" s="261"/>
      <c r="J47" s="213">
        <f>J35+J46</f>
        <v>1509839</v>
      </c>
      <c r="K47" s="213">
        <f t="shared" ref="K47:N47" si="20">K35+K46</f>
        <v>1509839</v>
      </c>
      <c r="L47" s="213">
        <f t="shared" si="20"/>
        <v>1509839</v>
      </c>
      <c r="M47" s="213">
        <f t="shared" si="20"/>
        <v>1509832.4799999979</v>
      </c>
      <c r="N47" s="213">
        <f t="shared" si="20"/>
        <v>6039349.6600000206</v>
      </c>
      <c r="O47" s="8"/>
      <c r="R47" s="14"/>
      <c r="Z47" s="15"/>
      <c r="AJ47" s="16"/>
    </row>
    <row r="48" spans="1:36" s="2" customFormat="1" ht="21.95" customHeight="1" x14ac:dyDescent="0.2">
      <c r="A48" s="262" t="s">
        <v>46</v>
      </c>
      <c r="B48" s="262" t="s">
        <v>47</v>
      </c>
      <c r="C48" s="262" t="s">
        <v>17</v>
      </c>
      <c r="D48" s="262">
        <v>62000</v>
      </c>
      <c r="E48" s="262">
        <v>10003</v>
      </c>
      <c r="F48" s="6" t="s">
        <v>48</v>
      </c>
      <c r="G48" s="7" t="s">
        <v>19</v>
      </c>
      <c r="H48" s="6">
        <v>71200</v>
      </c>
      <c r="I48" s="6" t="s">
        <v>19</v>
      </c>
      <c r="J48" s="213">
        <f t="shared" ref="J48:L56" si="21">ROUND($N48*J$2,0)</f>
        <v>4976</v>
      </c>
      <c r="K48" s="213">
        <f t="shared" si="21"/>
        <v>4976</v>
      </c>
      <c r="L48" s="213">
        <f t="shared" si="21"/>
        <v>4976</v>
      </c>
      <c r="M48" s="213">
        <f t="shared" ref="M48:M56" si="22">N48-SUM(J48:L48)</f>
        <v>4976</v>
      </c>
      <c r="N48" s="213">
        <f>'TBWP_OP8 part 1_CORE&amp;STAR'!N48-'4 RPA COs'!Q48-'95 COs'!N52</f>
        <v>19904</v>
      </c>
      <c r="O48" s="8"/>
      <c r="P48" s="9"/>
      <c r="R48" s="1"/>
      <c r="S48" s="1"/>
      <c r="T48" s="1"/>
      <c r="U48" s="1"/>
      <c r="V48" s="1"/>
      <c r="W48" s="1"/>
      <c r="X48" s="1"/>
      <c r="Y48" s="1"/>
      <c r="Z48" s="1"/>
      <c r="AA48" s="1"/>
      <c r="AB48" s="1"/>
      <c r="AC48" s="1"/>
      <c r="AD48" s="1"/>
      <c r="AE48" s="1"/>
      <c r="AF48" s="1"/>
      <c r="AG48" s="1"/>
      <c r="AH48" s="1"/>
      <c r="AI48" s="1"/>
      <c r="AJ48" s="1"/>
    </row>
    <row r="49" spans="1:36" s="2" customFormat="1" ht="21.95" customHeight="1" x14ac:dyDescent="0.2">
      <c r="A49" s="262"/>
      <c r="B49" s="262"/>
      <c r="C49" s="262"/>
      <c r="D49" s="262"/>
      <c r="E49" s="262"/>
      <c r="F49" s="6" t="s">
        <v>48</v>
      </c>
      <c r="G49" s="7" t="s">
        <v>20</v>
      </c>
      <c r="H49" s="6">
        <v>71300</v>
      </c>
      <c r="I49" s="6" t="s">
        <v>20</v>
      </c>
      <c r="J49" s="213">
        <f t="shared" si="21"/>
        <v>19696</v>
      </c>
      <c r="K49" s="213">
        <f t="shared" si="21"/>
        <v>19696</v>
      </c>
      <c r="L49" s="213">
        <f t="shared" si="21"/>
        <v>19696</v>
      </c>
      <c r="M49" s="213">
        <f t="shared" si="22"/>
        <v>19697</v>
      </c>
      <c r="N49" s="213">
        <f>'TBWP_OP8 part 1_CORE&amp;STAR'!N49-'4 RPA COs'!Q49-'95 COs'!N53</f>
        <v>78785</v>
      </c>
      <c r="O49" s="8"/>
      <c r="P49" s="9"/>
      <c r="R49" s="1"/>
      <c r="S49" s="1"/>
      <c r="T49" s="1"/>
      <c r="U49" s="1"/>
      <c r="V49" s="1"/>
      <c r="W49" s="1"/>
      <c r="X49" s="1"/>
      <c r="Y49" s="1"/>
      <c r="Z49" s="1"/>
      <c r="AA49" s="1"/>
      <c r="AB49" s="1"/>
      <c r="AC49" s="1"/>
      <c r="AD49" s="1"/>
      <c r="AE49" s="1"/>
      <c r="AF49" s="1"/>
      <c r="AG49" s="1"/>
      <c r="AH49" s="1"/>
      <c r="AI49" s="1"/>
      <c r="AJ49" s="1"/>
    </row>
    <row r="50" spans="1:36" s="2" customFormat="1" ht="21.95" customHeight="1" x14ac:dyDescent="0.2">
      <c r="A50" s="262"/>
      <c r="B50" s="262"/>
      <c r="C50" s="262"/>
      <c r="D50" s="262"/>
      <c r="E50" s="262"/>
      <c r="F50" s="6" t="s">
        <v>48</v>
      </c>
      <c r="G50" s="7" t="s">
        <v>21</v>
      </c>
      <c r="H50" s="6">
        <v>71400</v>
      </c>
      <c r="I50" s="6" t="s">
        <v>22</v>
      </c>
      <c r="J50" s="213">
        <f t="shared" si="21"/>
        <v>296609</v>
      </c>
      <c r="K50" s="213">
        <f t="shared" si="21"/>
        <v>296609</v>
      </c>
      <c r="L50" s="213">
        <f t="shared" si="21"/>
        <v>296609</v>
      </c>
      <c r="M50" s="213">
        <f t="shared" si="22"/>
        <v>296609</v>
      </c>
      <c r="N50" s="213">
        <f>'TBWP_OP8 part 1_CORE&amp;STAR'!N50-'4 RPA COs'!Q50-'95 COs'!N54</f>
        <v>1186436</v>
      </c>
      <c r="O50" s="8"/>
      <c r="P50" s="9"/>
      <c r="R50" s="1"/>
      <c r="S50" s="1"/>
      <c r="T50" s="1"/>
      <c r="U50" s="1"/>
      <c r="V50" s="1"/>
      <c r="W50" s="1"/>
      <c r="X50" s="1"/>
      <c r="Y50" s="1"/>
      <c r="Z50" s="1"/>
      <c r="AA50" s="1"/>
      <c r="AB50" s="1"/>
      <c r="AC50" s="1"/>
      <c r="AD50" s="1"/>
      <c r="AE50" s="1"/>
      <c r="AF50" s="1"/>
      <c r="AG50" s="1"/>
      <c r="AH50" s="1"/>
      <c r="AI50" s="1"/>
      <c r="AJ50" s="1"/>
    </row>
    <row r="51" spans="1:36" s="2" customFormat="1" ht="21.95" customHeight="1" x14ac:dyDescent="0.2">
      <c r="A51" s="262"/>
      <c r="B51" s="262"/>
      <c r="C51" s="262"/>
      <c r="D51" s="262"/>
      <c r="E51" s="262"/>
      <c r="F51" s="6" t="s">
        <v>48</v>
      </c>
      <c r="G51" s="7" t="s">
        <v>23</v>
      </c>
      <c r="H51" s="6">
        <v>71600</v>
      </c>
      <c r="I51" s="6" t="s">
        <v>23</v>
      </c>
      <c r="J51" s="213">
        <f t="shared" si="21"/>
        <v>2474</v>
      </c>
      <c r="K51" s="213">
        <f t="shared" si="21"/>
        <v>2474</v>
      </c>
      <c r="L51" s="213">
        <f t="shared" si="21"/>
        <v>2474</v>
      </c>
      <c r="M51" s="213">
        <f t="shared" si="22"/>
        <v>2473.1199999999371</v>
      </c>
      <c r="N51" s="213">
        <f>'TBWP_OP8 part 1_CORE&amp;STAR'!N51-'4 RPA COs'!Q51-'95 COs'!N55</f>
        <v>9895.1199999999371</v>
      </c>
      <c r="O51" s="8"/>
      <c r="P51" s="9"/>
      <c r="R51" s="1"/>
      <c r="S51" s="1"/>
      <c r="T51" s="1"/>
      <c r="U51" s="1"/>
      <c r="V51" s="1"/>
      <c r="W51" s="1"/>
      <c r="X51" s="1"/>
      <c r="Y51" s="1"/>
      <c r="Z51" s="1"/>
      <c r="AA51" s="1"/>
      <c r="AB51" s="1"/>
      <c r="AC51" s="1"/>
      <c r="AD51" s="1"/>
      <c r="AE51" s="1"/>
      <c r="AF51" s="1"/>
      <c r="AG51" s="1"/>
      <c r="AH51" s="1"/>
      <c r="AI51" s="1"/>
      <c r="AJ51" s="1"/>
    </row>
    <row r="52" spans="1:36" s="2" customFormat="1" ht="21.95" customHeight="1" x14ac:dyDescent="0.2">
      <c r="A52" s="262"/>
      <c r="B52" s="262"/>
      <c r="C52" s="262"/>
      <c r="D52" s="262"/>
      <c r="E52" s="262"/>
      <c r="F52" s="6" t="s">
        <v>48</v>
      </c>
      <c r="G52" s="7" t="s">
        <v>24</v>
      </c>
      <c r="H52" s="6">
        <v>72500</v>
      </c>
      <c r="I52" s="6" t="s">
        <v>25</v>
      </c>
      <c r="J52" s="213">
        <f t="shared" si="21"/>
        <v>1244</v>
      </c>
      <c r="K52" s="213">
        <f t="shared" si="21"/>
        <v>1244</v>
      </c>
      <c r="L52" s="213">
        <f t="shared" si="21"/>
        <v>1244</v>
      </c>
      <c r="M52" s="213">
        <f t="shared" si="22"/>
        <v>1244</v>
      </c>
      <c r="N52" s="213">
        <f>'TBWP_OP8 part 1_CORE&amp;STAR'!N52-'4 RPA COs'!Q52-'95 COs'!N56</f>
        <v>4976</v>
      </c>
      <c r="O52" s="8"/>
      <c r="P52" s="9"/>
      <c r="R52" s="1"/>
      <c r="S52" s="1"/>
      <c r="T52" s="1"/>
      <c r="U52" s="1"/>
      <c r="V52" s="1"/>
      <c r="W52" s="1"/>
      <c r="X52" s="1"/>
      <c r="Y52" s="1"/>
      <c r="Z52" s="1"/>
      <c r="AA52" s="1"/>
      <c r="AB52" s="1"/>
      <c r="AC52" s="1"/>
      <c r="AD52" s="1"/>
      <c r="AE52" s="1"/>
      <c r="AF52" s="1"/>
      <c r="AG52" s="1"/>
      <c r="AH52" s="1"/>
      <c r="AI52" s="1"/>
      <c r="AJ52" s="1"/>
    </row>
    <row r="53" spans="1:36" s="2" customFormat="1" ht="21.95" customHeight="1" x14ac:dyDescent="0.2">
      <c r="A53" s="262"/>
      <c r="B53" s="262"/>
      <c r="C53" s="262"/>
      <c r="D53" s="262"/>
      <c r="E53" s="262"/>
      <c r="F53" s="6" t="s">
        <v>48</v>
      </c>
      <c r="G53" s="7" t="s">
        <v>23</v>
      </c>
      <c r="H53" s="6">
        <v>74500</v>
      </c>
      <c r="I53" s="6" t="s">
        <v>49</v>
      </c>
      <c r="J53" s="213">
        <f t="shared" si="21"/>
        <v>1295</v>
      </c>
      <c r="K53" s="213">
        <f t="shared" si="21"/>
        <v>1295</v>
      </c>
      <c r="L53" s="213">
        <f t="shared" si="21"/>
        <v>1295</v>
      </c>
      <c r="M53" s="213">
        <f t="shared" si="22"/>
        <v>1294</v>
      </c>
      <c r="N53" s="213">
        <f>'TBWP_OP8 part 1_CORE&amp;STAR'!N53-'4 RPA COs'!Q53-'95 COs'!N57</f>
        <v>5179</v>
      </c>
      <c r="O53" s="8"/>
      <c r="P53" s="9"/>
      <c r="R53" s="1"/>
      <c r="S53" s="1"/>
      <c r="T53" s="1"/>
      <c r="U53" s="1"/>
      <c r="V53" s="1"/>
      <c r="W53" s="1"/>
      <c r="X53" s="1"/>
      <c r="Y53" s="1"/>
      <c r="Z53" s="1"/>
      <c r="AA53" s="1"/>
      <c r="AB53" s="1"/>
      <c r="AC53" s="1"/>
      <c r="AD53" s="1"/>
      <c r="AE53" s="1"/>
      <c r="AF53" s="1"/>
      <c r="AG53" s="1"/>
      <c r="AH53" s="1"/>
      <c r="AI53" s="1"/>
      <c r="AJ53" s="1"/>
    </row>
    <row r="54" spans="1:36" s="2" customFormat="1" ht="21.95" customHeight="1" x14ac:dyDescent="0.2">
      <c r="A54" s="262"/>
      <c r="B54" s="262"/>
      <c r="C54" s="262"/>
      <c r="D54" s="262"/>
      <c r="E54" s="262"/>
      <c r="F54" s="6" t="s">
        <v>48</v>
      </c>
      <c r="G54" s="7" t="s">
        <v>26</v>
      </c>
      <c r="H54" s="6">
        <v>75700</v>
      </c>
      <c r="I54" s="6" t="s">
        <v>27</v>
      </c>
      <c r="J54" s="213">
        <f t="shared" si="21"/>
        <v>6295</v>
      </c>
      <c r="K54" s="213">
        <f t="shared" si="21"/>
        <v>6295</v>
      </c>
      <c r="L54" s="213">
        <f t="shared" si="21"/>
        <v>6295</v>
      </c>
      <c r="M54" s="213">
        <f t="shared" si="22"/>
        <v>6296</v>
      </c>
      <c r="N54" s="213">
        <f>'TBWP_OP8 part 1_CORE&amp;STAR'!N54-'4 RPA COs'!Q54-'95 COs'!N58</f>
        <v>25181</v>
      </c>
      <c r="O54" s="8"/>
      <c r="P54" s="9"/>
      <c r="R54" s="1"/>
      <c r="S54" s="1"/>
      <c r="T54" s="1"/>
      <c r="U54" s="1"/>
      <c r="V54" s="1"/>
      <c r="W54" s="1"/>
      <c r="X54" s="1"/>
      <c r="Y54" s="1"/>
      <c r="Z54" s="1"/>
      <c r="AA54" s="1"/>
      <c r="AB54" s="1"/>
      <c r="AC54" s="1"/>
      <c r="AD54" s="1"/>
      <c r="AE54" s="1"/>
      <c r="AF54" s="1"/>
      <c r="AG54" s="1"/>
      <c r="AH54" s="1"/>
      <c r="AI54" s="1"/>
      <c r="AJ54" s="1"/>
    </row>
    <row r="55" spans="1:36" s="2" customFormat="1" ht="21.95" customHeight="1" x14ac:dyDescent="0.2">
      <c r="A55" s="262"/>
      <c r="B55" s="262"/>
      <c r="C55" s="262"/>
      <c r="D55" s="262"/>
      <c r="E55" s="262"/>
      <c r="F55" s="6" t="s">
        <v>48</v>
      </c>
      <c r="G55" s="7" t="s">
        <v>28</v>
      </c>
      <c r="H55" s="6">
        <v>61200</v>
      </c>
      <c r="I55" s="6" t="s">
        <v>29</v>
      </c>
      <c r="J55" s="213">
        <f t="shared" si="21"/>
        <v>40578</v>
      </c>
      <c r="K55" s="213">
        <f t="shared" si="21"/>
        <v>40578</v>
      </c>
      <c r="L55" s="213">
        <f t="shared" si="21"/>
        <v>40578</v>
      </c>
      <c r="M55" s="213">
        <f t="shared" si="22"/>
        <v>40578</v>
      </c>
      <c r="N55" s="213">
        <f>'TBWP_OP8 part 1_CORE&amp;STAR'!N55-'4 RPA COs'!Q55-'95 COs'!N59</f>
        <v>162312</v>
      </c>
      <c r="O55" s="8"/>
      <c r="P55" s="9"/>
      <c r="R55" s="1"/>
      <c r="S55" s="1"/>
      <c r="T55" s="1"/>
      <c r="U55" s="1"/>
      <c r="V55" s="1"/>
      <c r="W55" s="1"/>
      <c r="X55" s="1"/>
      <c r="Y55" s="1"/>
      <c r="Z55" s="1"/>
      <c r="AA55" s="1"/>
      <c r="AB55" s="1"/>
      <c r="AC55" s="1"/>
      <c r="AD55" s="1"/>
      <c r="AE55" s="1"/>
      <c r="AF55" s="1"/>
      <c r="AG55" s="1"/>
      <c r="AH55" s="1"/>
      <c r="AI55" s="1"/>
      <c r="AJ55" s="1"/>
    </row>
    <row r="56" spans="1:36" s="2" customFormat="1" ht="21.95" customHeight="1" x14ac:dyDescent="0.2">
      <c r="A56" s="262"/>
      <c r="B56" s="262"/>
      <c r="C56" s="262"/>
      <c r="D56" s="262"/>
      <c r="E56" s="262"/>
      <c r="F56" s="6" t="s">
        <v>48</v>
      </c>
      <c r="G56" s="7" t="s">
        <v>28</v>
      </c>
      <c r="H56" s="6">
        <v>61300</v>
      </c>
      <c r="I56" s="6" t="s">
        <v>30</v>
      </c>
      <c r="J56" s="213">
        <f t="shared" si="21"/>
        <v>74193</v>
      </c>
      <c r="K56" s="213">
        <f t="shared" si="21"/>
        <v>74193</v>
      </c>
      <c r="L56" s="213">
        <f t="shared" si="21"/>
        <v>74193</v>
      </c>
      <c r="M56" s="213">
        <f t="shared" si="22"/>
        <v>74192</v>
      </c>
      <c r="N56" s="213">
        <f>'TBWP_OP8 part 1_CORE&amp;STAR'!N56-'4 RPA COs'!Q56-'95 COs'!N60</f>
        <v>296771</v>
      </c>
      <c r="O56" s="8"/>
      <c r="P56" s="9"/>
      <c r="R56" s="1"/>
      <c r="S56" s="1"/>
      <c r="T56" s="1"/>
      <c r="U56" s="1"/>
      <c r="V56" s="1"/>
      <c r="W56" s="1"/>
      <c r="X56" s="1"/>
      <c r="Y56" s="1"/>
      <c r="Z56" s="1"/>
      <c r="AA56" s="1"/>
      <c r="AB56" s="1"/>
      <c r="AC56" s="1"/>
      <c r="AD56" s="1"/>
      <c r="AE56" s="1"/>
      <c r="AF56" s="1"/>
      <c r="AG56" s="1"/>
      <c r="AH56" s="1"/>
      <c r="AI56" s="1"/>
      <c r="AJ56" s="1"/>
    </row>
    <row r="57" spans="1:36" s="2" customFormat="1" ht="21.95" customHeight="1" x14ac:dyDescent="0.2">
      <c r="A57" s="262"/>
      <c r="B57" s="262"/>
      <c r="C57" s="261" t="s">
        <v>31</v>
      </c>
      <c r="D57" s="261"/>
      <c r="E57" s="261"/>
      <c r="F57" s="261"/>
      <c r="G57" s="261"/>
      <c r="H57" s="261"/>
      <c r="I57" s="261"/>
      <c r="J57" s="213">
        <f>SUM(J48:J56)</f>
        <v>447360</v>
      </c>
      <c r="K57" s="213">
        <f t="shared" ref="K57:N57" si="23">SUM(K48:K56)</f>
        <v>447360</v>
      </c>
      <c r="L57" s="213">
        <f t="shared" si="23"/>
        <v>447360</v>
      </c>
      <c r="M57" s="213">
        <f t="shared" si="23"/>
        <v>447359.11999999994</v>
      </c>
      <c r="N57" s="213">
        <f t="shared" si="23"/>
        <v>1789439.1199999999</v>
      </c>
      <c r="O57" s="8"/>
      <c r="P57" s="9"/>
      <c r="R57" s="1"/>
      <c r="S57" s="1"/>
      <c r="T57" s="1"/>
      <c r="U57" s="1"/>
      <c r="V57" s="1"/>
      <c r="W57" s="1"/>
      <c r="X57" s="1"/>
      <c r="Y57" s="1"/>
      <c r="Z57" s="1"/>
      <c r="AA57" s="1"/>
      <c r="AB57" s="1"/>
      <c r="AC57" s="1"/>
      <c r="AD57" s="1"/>
      <c r="AE57" s="1"/>
      <c r="AF57" s="1"/>
      <c r="AG57" s="1"/>
      <c r="AH57" s="1"/>
      <c r="AI57" s="1"/>
      <c r="AJ57" s="1"/>
    </row>
    <row r="58" spans="1:36" s="2" customFormat="1" ht="21.95" customHeight="1" x14ac:dyDescent="0.2">
      <c r="A58" s="262"/>
      <c r="B58" s="261" t="s">
        <v>50</v>
      </c>
      <c r="C58" s="261"/>
      <c r="D58" s="261"/>
      <c r="E58" s="261"/>
      <c r="F58" s="261"/>
      <c r="G58" s="261"/>
      <c r="H58" s="261"/>
      <c r="I58" s="261"/>
      <c r="J58" s="213">
        <f>J57</f>
        <v>447360</v>
      </c>
      <c r="K58" s="213">
        <f t="shared" ref="K58:N58" si="24">K57</f>
        <v>447360</v>
      </c>
      <c r="L58" s="213">
        <f t="shared" si="24"/>
        <v>447360</v>
      </c>
      <c r="M58" s="213">
        <f t="shared" si="24"/>
        <v>447359.11999999994</v>
      </c>
      <c r="N58" s="213">
        <f t="shared" si="24"/>
        <v>1789439.1199999999</v>
      </c>
      <c r="O58" s="8"/>
      <c r="P58" s="9"/>
      <c r="R58" s="1"/>
      <c r="S58" s="1"/>
      <c r="T58" s="1"/>
      <c r="U58" s="1"/>
      <c r="V58" s="1"/>
      <c r="W58" s="1"/>
      <c r="X58" s="1"/>
      <c r="Y58" s="1"/>
      <c r="Z58" s="1"/>
      <c r="AA58" s="1"/>
      <c r="AB58" s="1"/>
      <c r="AC58" s="1"/>
      <c r="AD58" s="1"/>
      <c r="AE58" s="1"/>
      <c r="AF58" s="1"/>
      <c r="AG58" s="1"/>
      <c r="AH58" s="1"/>
      <c r="AI58" s="1"/>
      <c r="AJ58" s="1"/>
    </row>
    <row r="59" spans="1:36" s="2" customFormat="1" ht="21.95" customHeight="1" x14ac:dyDescent="0.2">
      <c r="A59" s="262"/>
      <c r="B59" s="262" t="s">
        <v>51</v>
      </c>
      <c r="C59" s="262" t="s">
        <v>17</v>
      </c>
      <c r="D59" s="262">
        <v>62000</v>
      </c>
      <c r="E59" s="262">
        <v>10003</v>
      </c>
      <c r="F59" s="6" t="s">
        <v>52</v>
      </c>
      <c r="G59" s="7" t="s">
        <v>19</v>
      </c>
      <c r="H59" s="6">
        <v>71200</v>
      </c>
      <c r="I59" s="6" t="s">
        <v>19</v>
      </c>
      <c r="J59" s="213">
        <f t="shared" ref="J59:L67" si="25">ROUND($N59*J$2,0)</f>
        <v>5164</v>
      </c>
      <c r="K59" s="213">
        <f t="shared" si="25"/>
        <v>5164</v>
      </c>
      <c r="L59" s="213">
        <f t="shared" si="25"/>
        <v>5164</v>
      </c>
      <c r="M59" s="213">
        <f t="shared" ref="M59:M67" si="26">N59-SUM(J59:L59)</f>
        <v>5163</v>
      </c>
      <c r="N59" s="213">
        <f>'TBWP_OP8 part 1_CORE&amp;STAR'!N59-'4 RPA COs'!Q59-'95 COs'!N63</f>
        <v>20655</v>
      </c>
      <c r="O59" s="8"/>
      <c r="P59" s="9"/>
      <c r="R59" s="1"/>
      <c r="S59" s="1"/>
      <c r="T59" s="1"/>
      <c r="U59" s="1"/>
      <c r="V59" s="1"/>
      <c r="W59" s="1"/>
      <c r="X59" s="1"/>
      <c r="Y59" s="1"/>
      <c r="Z59" s="1"/>
      <c r="AA59" s="1"/>
      <c r="AB59" s="1"/>
      <c r="AC59" s="1"/>
      <c r="AD59" s="1"/>
      <c r="AE59" s="1"/>
      <c r="AF59" s="1"/>
      <c r="AG59" s="1"/>
      <c r="AH59" s="1"/>
      <c r="AI59" s="1"/>
      <c r="AJ59" s="1"/>
    </row>
    <row r="60" spans="1:36" s="2" customFormat="1" ht="21.95" customHeight="1" x14ac:dyDescent="0.2">
      <c r="A60" s="262"/>
      <c r="B60" s="262"/>
      <c r="C60" s="262"/>
      <c r="D60" s="262"/>
      <c r="E60" s="262"/>
      <c r="F60" s="6" t="s">
        <v>52</v>
      </c>
      <c r="G60" s="7" t="s">
        <v>20</v>
      </c>
      <c r="H60" s="6">
        <v>71300</v>
      </c>
      <c r="I60" s="6" t="s">
        <v>20</v>
      </c>
      <c r="J60" s="213">
        <f t="shared" si="25"/>
        <v>14670</v>
      </c>
      <c r="K60" s="213">
        <f t="shared" si="25"/>
        <v>14670</v>
      </c>
      <c r="L60" s="213">
        <f t="shared" si="25"/>
        <v>14670</v>
      </c>
      <c r="M60" s="213">
        <f t="shared" si="26"/>
        <v>14670</v>
      </c>
      <c r="N60" s="213">
        <f>'TBWP_OP8 part 1_CORE&amp;STAR'!N60-'4 RPA COs'!Q60-'95 COs'!N64</f>
        <v>58680</v>
      </c>
      <c r="O60" s="8"/>
      <c r="P60" s="9"/>
      <c r="R60" s="1"/>
      <c r="S60" s="1"/>
      <c r="T60" s="1"/>
      <c r="U60" s="1"/>
      <c r="V60" s="1"/>
      <c r="W60" s="1"/>
      <c r="X60" s="1"/>
      <c r="Y60" s="1"/>
      <c r="Z60" s="1"/>
      <c r="AA60" s="1"/>
      <c r="AB60" s="1"/>
      <c r="AC60" s="1"/>
      <c r="AD60" s="1"/>
      <c r="AE60" s="1"/>
      <c r="AF60" s="1"/>
      <c r="AG60" s="1"/>
      <c r="AH60" s="1"/>
      <c r="AI60" s="1"/>
      <c r="AJ60" s="1"/>
    </row>
    <row r="61" spans="1:36" s="2" customFormat="1" ht="21.95" customHeight="1" x14ac:dyDescent="0.2">
      <c r="A61" s="262"/>
      <c r="B61" s="262"/>
      <c r="C61" s="262"/>
      <c r="D61" s="262"/>
      <c r="E61" s="262"/>
      <c r="F61" s="6" t="s">
        <v>52</v>
      </c>
      <c r="G61" s="7" t="s">
        <v>21</v>
      </c>
      <c r="H61" s="6">
        <v>71400</v>
      </c>
      <c r="I61" s="6" t="s">
        <v>22</v>
      </c>
      <c r="J61" s="213">
        <f t="shared" si="25"/>
        <v>235903</v>
      </c>
      <c r="K61" s="213">
        <f t="shared" si="25"/>
        <v>235903</v>
      </c>
      <c r="L61" s="213">
        <f t="shared" si="25"/>
        <v>235903</v>
      </c>
      <c r="M61" s="213">
        <f t="shared" si="26"/>
        <v>235903</v>
      </c>
      <c r="N61" s="213">
        <f>'TBWP_OP8 part 1_CORE&amp;STAR'!N61-'4 RPA COs'!Q61-'95 COs'!N65</f>
        <v>943612</v>
      </c>
      <c r="O61" s="8"/>
      <c r="P61" s="9"/>
      <c r="R61" s="1"/>
      <c r="S61" s="1"/>
      <c r="T61" s="1"/>
      <c r="U61" s="1"/>
      <c r="V61" s="1"/>
      <c r="W61" s="1"/>
      <c r="X61" s="1"/>
      <c r="Y61" s="1"/>
      <c r="Z61" s="1"/>
      <c r="AA61" s="1"/>
      <c r="AB61" s="1"/>
      <c r="AC61" s="1"/>
      <c r="AD61" s="1"/>
      <c r="AE61" s="1"/>
      <c r="AF61" s="1"/>
      <c r="AG61" s="1"/>
      <c r="AH61" s="1"/>
      <c r="AI61" s="1"/>
      <c r="AJ61" s="1"/>
    </row>
    <row r="62" spans="1:36" s="2" customFormat="1" ht="21.95" customHeight="1" x14ac:dyDescent="0.2">
      <c r="A62" s="262"/>
      <c r="B62" s="262"/>
      <c r="C62" s="262"/>
      <c r="D62" s="262"/>
      <c r="E62" s="262"/>
      <c r="F62" s="6" t="s">
        <v>52</v>
      </c>
      <c r="G62" s="7" t="s">
        <v>23</v>
      </c>
      <c r="H62" s="6">
        <v>71600</v>
      </c>
      <c r="I62" s="6" t="s">
        <v>23</v>
      </c>
      <c r="J62" s="213">
        <f t="shared" si="25"/>
        <v>9379</v>
      </c>
      <c r="K62" s="213">
        <f t="shared" si="25"/>
        <v>9379</v>
      </c>
      <c r="L62" s="213">
        <f t="shared" si="25"/>
        <v>9379</v>
      </c>
      <c r="M62" s="213">
        <f t="shared" si="26"/>
        <v>9378.2599999999802</v>
      </c>
      <c r="N62" s="213">
        <f>'TBWP_OP8 part 1_CORE&amp;STAR'!N62-'4 RPA COs'!Q62-'95 COs'!N66</f>
        <v>37515.25999999998</v>
      </c>
      <c r="O62" s="8"/>
      <c r="P62" s="9"/>
      <c r="R62" s="1"/>
      <c r="S62" s="1"/>
      <c r="T62" s="1"/>
      <c r="U62" s="1"/>
      <c r="V62" s="1"/>
      <c r="W62" s="1"/>
      <c r="X62" s="1"/>
      <c r="Y62" s="1"/>
      <c r="Z62" s="1"/>
      <c r="AA62" s="1"/>
      <c r="AB62" s="1"/>
      <c r="AC62" s="1"/>
      <c r="AD62" s="1"/>
      <c r="AE62" s="1"/>
      <c r="AF62" s="1"/>
      <c r="AG62" s="1"/>
      <c r="AH62" s="1"/>
      <c r="AI62" s="1"/>
      <c r="AJ62" s="1"/>
    </row>
    <row r="63" spans="1:36" s="2" customFormat="1" ht="21.95" customHeight="1" x14ac:dyDescent="0.2">
      <c r="A63" s="262"/>
      <c r="B63" s="262"/>
      <c r="C63" s="262"/>
      <c r="D63" s="262"/>
      <c r="E63" s="262"/>
      <c r="F63" s="6" t="s">
        <v>52</v>
      </c>
      <c r="G63" s="7" t="s">
        <v>24</v>
      </c>
      <c r="H63" s="6">
        <v>72500</v>
      </c>
      <c r="I63" s="6" t="s">
        <v>25</v>
      </c>
      <c r="J63" s="213">
        <f t="shared" si="25"/>
        <v>927</v>
      </c>
      <c r="K63" s="213">
        <f t="shared" si="25"/>
        <v>927</v>
      </c>
      <c r="L63" s="213">
        <f t="shared" si="25"/>
        <v>927</v>
      </c>
      <c r="M63" s="213">
        <f t="shared" si="26"/>
        <v>925</v>
      </c>
      <c r="N63" s="213">
        <f>'TBWP_OP8 part 1_CORE&amp;STAR'!N63-'4 RPA COs'!Q63-'95 COs'!N67</f>
        <v>3706</v>
      </c>
      <c r="O63" s="8"/>
      <c r="P63" s="9"/>
      <c r="R63" s="1"/>
      <c r="S63" s="1"/>
      <c r="T63" s="1"/>
      <c r="U63" s="1"/>
      <c r="V63" s="1"/>
      <c r="W63" s="1"/>
      <c r="X63" s="1"/>
      <c r="Y63" s="1"/>
      <c r="Z63" s="1"/>
      <c r="AA63" s="1"/>
      <c r="AB63" s="1"/>
      <c r="AC63" s="1"/>
      <c r="AD63" s="1"/>
      <c r="AE63" s="1"/>
      <c r="AF63" s="1"/>
      <c r="AG63" s="1"/>
      <c r="AH63" s="1"/>
      <c r="AI63" s="1"/>
      <c r="AJ63" s="1"/>
    </row>
    <row r="64" spans="1:36" s="2" customFormat="1" ht="21.95" customHeight="1" x14ac:dyDescent="0.2">
      <c r="A64" s="262"/>
      <c r="B64" s="262"/>
      <c r="C64" s="262"/>
      <c r="D64" s="262"/>
      <c r="E64" s="262"/>
      <c r="F64" s="6" t="s">
        <v>52</v>
      </c>
      <c r="G64" s="7" t="s">
        <v>23</v>
      </c>
      <c r="H64" s="6">
        <v>74500</v>
      </c>
      <c r="I64" s="6" t="s">
        <v>49</v>
      </c>
      <c r="J64" s="213">
        <f t="shared" si="25"/>
        <v>964</v>
      </c>
      <c r="K64" s="213">
        <f t="shared" si="25"/>
        <v>964</v>
      </c>
      <c r="L64" s="213">
        <f t="shared" si="25"/>
        <v>964</v>
      </c>
      <c r="M64" s="213">
        <f t="shared" si="26"/>
        <v>965</v>
      </c>
      <c r="N64" s="213">
        <f>'TBWP_OP8 part 1_CORE&amp;STAR'!N64-'4 RPA COs'!Q64-'95 COs'!N68</f>
        <v>3857</v>
      </c>
      <c r="O64" s="8"/>
      <c r="P64" s="9"/>
      <c r="R64" s="1"/>
      <c r="S64" s="1"/>
      <c r="T64" s="1"/>
      <c r="U64" s="1"/>
      <c r="V64" s="1"/>
      <c r="W64" s="1"/>
      <c r="X64" s="1"/>
      <c r="Y64" s="1"/>
      <c r="Z64" s="1"/>
      <c r="AA64" s="1"/>
      <c r="AB64" s="1"/>
      <c r="AC64" s="1"/>
      <c r="AD64" s="1"/>
      <c r="AE64" s="1"/>
      <c r="AF64" s="1"/>
      <c r="AG64" s="1"/>
      <c r="AH64" s="1"/>
      <c r="AI64" s="1"/>
      <c r="AJ64" s="1"/>
    </row>
    <row r="65" spans="1:36" s="2" customFormat="1" ht="21.95" customHeight="1" x14ac:dyDescent="0.2">
      <c r="A65" s="262"/>
      <c r="B65" s="262"/>
      <c r="C65" s="262"/>
      <c r="D65" s="262"/>
      <c r="E65" s="262"/>
      <c r="F65" s="6" t="s">
        <v>52</v>
      </c>
      <c r="G65" s="7" t="s">
        <v>26</v>
      </c>
      <c r="H65" s="6">
        <v>75700</v>
      </c>
      <c r="I65" s="6" t="s">
        <v>27</v>
      </c>
      <c r="J65" s="213">
        <f t="shared" si="25"/>
        <v>4689</v>
      </c>
      <c r="K65" s="213">
        <f t="shared" si="25"/>
        <v>4689</v>
      </c>
      <c r="L65" s="213">
        <f t="shared" si="25"/>
        <v>4689</v>
      </c>
      <c r="M65" s="213">
        <f t="shared" si="26"/>
        <v>4688</v>
      </c>
      <c r="N65" s="213">
        <f>'TBWP_OP8 part 1_CORE&amp;STAR'!N65-'4 RPA COs'!Q65-'95 COs'!N69</f>
        <v>18755</v>
      </c>
      <c r="O65" s="8"/>
      <c r="P65" s="9"/>
      <c r="R65" s="1"/>
      <c r="S65" s="1"/>
      <c r="T65" s="1"/>
      <c r="U65" s="1"/>
      <c r="V65" s="1"/>
      <c r="W65" s="1"/>
      <c r="X65" s="1"/>
      <c r="Y65" s="1"/>
      <c r="Z65" s="1"/>
      <c r="AA65" s="1"/>
      <c r="AB65" s="1"/>
      <c r="AC65" s="1"/>
      <c r="AD65" s="1"/>
      <c r="AE65" s="1"/>
      <c r="AF65" s="1"/>
      <c r="AG65" s="1"/>
      <c r="AH65" s="1"/>
      <c r="AI65" s="1"/>
      <c r="AJ65" s="1"/>
    </row>
    <row r="66" spans="1:36" s="2" customFormat="1" ht="21.95" customHeight="1" x14ac:dyDescent="0.2">
      <c r="A66" s="262"/>
      <c r="B66" s="262"/>
      <c r="C66" s="262"/>
      <c r="D66" s="262"/>
      <c r="E66" s="262"/>
      <c r="F66" s="6" t="s">
        <v>52</v>
      </c>
      <c r="G66" s="7" t="s">
        <v>28</v>
      </c>
      <c r="H66" s="6">
        <v>61200</v>
      </c>
      <c r="I66" s="6" t="s">
        <v>29</v>
      </c>
      <c r="J66" s="213">
        <f t="shared" si="25"/>
        <v>42107</v>
      </c>
      <c r="K66" s="213">
        <f t="shared" si="25"/>
        <v>42107</v>
      </c>
      <c r="L66" s="213">
        <f t="shared" si="25"/>
        <v>42107</v>
      </c>
      <c r="M66" s="213">
        <f t="shared" si="26"/>
        <v>42107</v>
      </c>
      <c r="N66" s="213">
        <f>'TBWP_OP8 part 1_CORE&amp;STAR'!N66-'4 RPA COs'!Q66-'95 COs'!N70</f>
        <v>168428</v>
      </c>
      <c r="O66" s="8"/>
      <c r="P66" s="9"/>
      <c r="R66" s="1"/>
      <c r="S66" s="1"/>
      <c r="T66" s="1"/>
      <c r="U66" s="1"/>
      <c r="V66" s="1"/>
      <c r="W66" s="1"/>
      <c r="X66" s="1"/>
      <c r="Y66" s="1"/>
      <c r="Z66" s="1"/>
      <c r="AA66" s="1"/>
      <c r="AB66" s="1"/>
      <c r="AC66" s="1"/>
      <c r="AD66" s="1"/>
      <c r="AE66" s="1"/>
      <c r="AF66" s="1"/>
      <c r="AG66" s="1"/>
      <c r="AH66" s="1"/>
      <c r="AI66" s="1"/>
      <c r="AJ66" s="1"/>
    </row>
    <row r="67" spans="1:36" s="2" customFormat="1" ht="21.95" customHeight="1" x14ac:dyDescent="0.2">
      <c r="A67" s="262"/>
      <c r="B67" s="262"/>
      <c r="C67" s="262"/>
      <c r="D67" s="262"/>
      <c r="E67" s="262"/>
      <c r="F67" s="6" t="s">
        <v>52</v>
      </c>
      <c r="G67" s="7" t="s">
        <v>28</v>
      </c>
      <c r="H67" s="6">
        <v>61300</v>
      </c>
      <c r="I67" s="6" t="s">
        <v>30</v>
      </c>
      <c r="J67" s="213">
        <f t="shared" si="25"/>
        <v>76988</v>
      </c>
      <c r="K67" s="213">
        <f t="shared" si="25"/>
        <v>76988</v>
      </c>
      <c r="L67" s="213">
        <f t="shared" si="25"/>
        <v>76988</v>
      </c>
      <c r="M67" s="213">
        <f t="shared" si="26"/>
        <v>76988</v>
      </c>
      <c r="N67" s="213">
        <f>'TBWP_OP8 part 1_CORE&amp;STAR'!N67-'4 RPA COs'!Q67-'95 COs'!N71</f>
        <v>307952</v>
      </c>
      <c r="O67" s="8"/>
      <c r="P67" s="9"/>
      <c r="R67" s="1"/>
      <c r="S67" s="1"/>
      <c r="T67" s="1"/>
      <c r="U67" s="1"/>
      <c r="V67" s="1"/>
      <c r="W67" s="1"/>
      <c r="X67" s="1"/>
      <c r="Y67" s="1"/>
      <c r="Z67" s="1"/>
      <c r="AA67" s="1"/>
      <c r="AB67" s="1"/>
      <c r="AC67" s="1"/>
      <c r="AD67" s="1"/>
      <c r="AE67" s="1"/>
      <c r="AF67" s="1"/>
      <c r="AG67" s="1"/>
      <c r="AH67" s="1"/>
      <c r="AI67" s="1"/>
      <c r="AJ67" s="1"/>
    </row>
    <row r="68" spans="1:36" s="2" customFormat="1" ht="21.95" customHeight="1" x14ac:dyDescent="0.2">
      <c r="A68" s="262"/>
      <c r="B68" s="262"/>
      <c r="C68" s="263" t="s">
        <v>31</v>
      </c>
      <c r="D68" s="263"/>
      <c r="E68" s="263"/>
      <c r="F68" s="263"/>
      <c r="G68" s="263"/>
      <c r="H68" s="263"/>
      <c r="I68" s="263"/>
      <c r="J68" s="213">
        <f>SUM(J59:J67)</f>
        <v>390791</v>
      </c>
      <c r="K68" s="213">
        <f t="shared" ref="K68:N68" si="27">SUM(K59:K67)</f>
        <v>390791</v>
      </c>
      <c r="L68" s="213">
        <f t="shared" si="27"/>
        <v>390791</v>
      </c>
      <c r="M68" s="213">
        <f t="shared" si="27"/>
        <v>390787.26</v>
      </c>
      <c r="N68" s="213">
        <f t="shared" si="27"/>
        <v>1563160.26</v>
      </c>
      <c r="O68" s="8"/>
      <c r="P68" s="9"/>
      <c r="R68" s="1"/>
      <c r="S68" s="1"/>
      <c r="T68" s="1"/>
      <c r="U68" s="1"/>
      <c r="V68" s="1"/>
      <c r="W68" s="1"/>
      <c r="X68" s="1"/>
      <c r="Y68" s="1"/>
      <c r="Z68" s="1"/>
      <c r="AA68" s="1"/>
      <c r="AB68" s="1"/>
      <c r="AC68" s="1"/>
      <c r="AD68" s="1"/>
      <c r="AE68" s="1"/>
      <c r="AF68" s="1"/>
      <c r="AG68" s="1"/>
      <c r="AH68" s="1"/>
      <c r="AI68" s="1"/>
      <c r="AJ68" s="1"/>
    </row>
    <row r="69" spans="1:36" ht="21.95" customHeight="1" x14ac:dyDescent="0.2">
      <c r="A69" s="262"/>
      <c r="B69" s="263" t="s">
        <v>53</v>
      </c>
      <c r="C69" s="263"/>
      <c r="D69" s="263"/>
      <c r="E69" s="263"/>
      <c r="F69" s="263"/>
      <c r="G69" s="263"/>
      <c r="H69" s="263"/>
      <c r="I69" s="263"/>
      <c r="J69" s="213">
        <f>J68</f>
        <v>390791</v>
      </c>
      <c r="K69" s="213">
        <f t="shared" ref="K69:N69" si="28">K68</f>
        <v>390791</v>
      </c>
      <c r="L69" s="213">
        <f t="shared" si="28"/>
        <v>390791</v>
      </c>
      <c r="M69" s="213">
        <f t="shared" si="28"/>
        <v>390787.26</v>
      </c>
      <c r="N69" s="213">
        <f t="shared" si="28"/>
        <v>1563160.26</v>
      </c>
      <c r="O69" s="8"/>
      <c r="Q69" s="10"/>
      <c r="Z69" s="11"/>
      <c r="AC69" s="12"/>
      <c r="AD69" s="13"/>
    </row>
    <row r="70" spans="1:36" ht="21.95" customHeight="1" x14ac:dyDescent="0.2">
      <c r="A70" s="261" t="s">
        <v>54</v>
      </c>
      <c r="B70" s="261"/>
      <c r="C70" s="261"/>
      <c r="D70" s="261"/>
      <c r="E70" s="261"/>
      <c r="F70" s="261"/>
      <c r="G70" s="261"/>
      <c r="H70" s="261"/>
      <c r="I70" s="261"/>
      <c r="J70" s="213">
        <f>J58+J69</f>
        <v>838151</v>
      </c>
      <c r="K70" s="213">
        <f t="shared" ref="K70:N70" si="29">K58+K69</f>
        <v>838151</v>
      </c>
      <c r="L70" s="213">
        <f t="shared" si="29"/>
        <v>838151</v>
      </c>
      <c r="M70" s="213">
        <f t="shared" si="29"/>
        <v>838146.37999999989</v>
      </c>
      <c r="N70" s="213">
        <f t="shared" si="29"/>
        <v>3352599.38</v>
      </c>
      <c r="O70" s="8"/>
      <c r="R70" s="14"/>
      <c r="Z70" s="15"/>
      <c r="AJ70" s="16"/>
    </row>
    <row r="71" spans="1:36" ht="21.95" customHeight="1" x14ac:dyDescent="0.2">
      <c r="A71" s="262" t="s">
        <v>55</v>
      </c>
      <c r="B71" s="262" t="s">
        <v>56</v>
      </c>
      <c r="C71" s="262" t="s">
        <v>17</v>
      </c>
      <c r="D71" s="262">
        <v>62000</v>
      </c>
      <c r="E71" s="262">
        <v>10003</v>
      </c>
      <c r="F71" s="6" t="s">
        <v>57</v>
      </c>
      <c r="G71" s="7" t="s">
        <v>19</v>
      </c>
      <c r="H71" s="6">
        <v>71200</v>
      </c>
      <c r="I71" s="6" t="s">
        <v>19</v>
      </c>
      <c r="J71" s="213">
        <f t="shared" ref="J71:L79" si="30">ROUND($N71*J$2,0)</f>
        <v>9045</v>
      </c>
      <c r="K71" s="213">
        <f t="shared" si="30"/>
        <v>9045</v>
      </c>
      <c r="L71" s="213">
        <f t="shared" si="30"/>
        <v>9045</v>
      </c>
      <c r="M71" s="213">
        <f t="shared" ref="M71:M79" si="31">N71-SUM(J71:L71)</f>
        <v>9046</v>
      </c>
      <c r="N71" s="213">
        <f>'TBWP_OP8 part 1_CORE&amp;STAR'!N71-'4 RPA COs'!Q71-'95 COs'!N75</f>
        <v>36181</v>
      </c>
      <c r="O71" s="8"/>
      <c r="P71" s="9"/>
    </row>
    <row r="72" spans="1:36" ht="21.95" customHeight="1" x14ac:dyDescent="0.2">
      <c r="A72" s="262"/>
      <c r="B72" s="262"/>
      <c r="C72" s="262"/>
      <c r="D72" s="262"/>
      <c r="E72" s="262"/>
      <c r="F72" s="6" t="s">
        <v>57</v>
      </c>
      <c r="G72" s="7" t="s">
        <v>20</v>
      </c>
      <c r="H72" s="6">
        <v>71300</v>
      </c>
      <c r="I72" s="6" t="s">
        <v>20</v>
      </c>
      <c r="J72" s="213">
        <f t="shared" si="30"/>
        <v>35669</v>
      </c>
      <c r="K72" s="213">
        <f t="shared" si="30"/>
        <v>35669</v>
      </c>
      <c r="L72" s="213">
        <f t="shared" si="30"/>
        <v>35669</v>
      </c>
      <c r="M72" s="213">
        <f t="shared" si="31"/>
        <v>35669</v>
      </c>
      <c r="N72" s="213">
        <f>'TBWP_OP8 part 1_CORE&amp;STAR'!N72-'4 RPA COs'!Q72-'95 COs'!N76</f>
        <v>142676</v>
      </c>
      <c r="O72" s="8"/>
      <c r="P72" s="9"/>
    </row>
    <row r="73" spans="1:36" ht="21.95" customHeight="1" x14ac:dyDescent="0.2">
      <c r="A73" s="262"/>
      <c r="B73" s="262"/>
      <c r="C73" s="262"/>
      <c r="D73" s="262"/>
      <c r="E73" s="262"/>
      <c r="F73" s="6" t="s">
        <v>57</v>
      </c>
      <c r="G73" s="7" t="s">
        <v>21</v>
      </c>
      <c r="H73" s="6">
        <v>71400</v>
      </c>
      <c r="I73" s="6" t="s">
        <v>22</v>
      </c>
      <c r="J73" s="213">
        <f t="shared" si="30"/>
        <v>100621</v>
      </c>
      <c r="K73" s="213">
        <f t="shared" si="30"/>
        <v>100621</v>
      </c>
      <c r="L73" s="213">
        <f t="shared" si="30"/>
        <v>100621</v>
      </c>
      <c r="M73" s="213">
        <f t="shared" si="31"/>
        <v>100620</v>
      </c>
      <c r="N73" s="213">
        <f>'TBWP_OP8 part 1_CORE&amp;STAR'!N73-'4 RPA COs'!Q73-'95 COs'!N77</f>
        <v>402483</v>
      </c>
      <c r="O73" s="8"/>
      <c r="P73" s="9"/>
    </row>
    <row r="74" spans="1:36" ht="21.95" customHeight="1" x14ac:dyDescent="0.2">
      <c r="A74" s="262"/>
      <c r="B74" s="262"/>
      <c r="C74" s="262"/>
      <c r="D74" s="262"/>
      <c r="E74" s="262"/>
      <c r="F74" s="6" t="s">
        <v>57</v>
      </c>
      <c r="G74" s="7" t="s">
        <v>23</v>
      </c>
      <c r="H74" s="6">
        <v>71600</v>
      </c>
      <c r="I74" s="6" t="s">
        <v>23</v>
      </c>
      <c r="J74" s="213">
        <f t="shared" si="30"/>
        <v>60936</v>
      </c>
      <c r="K74" s="213">
        <f t="shared" si="30"/>
        <v>60936</v>
      </c>
      <c r="L74" s="213">
        <f t="shared" si="30"/>
        <v>60936</v>
      </c>
      <c r="M74" s="213">
        <f t="shared" si="31"/>
        <v>60937.119999999937</v>
      </c>
      <c r="N74" s="213">
        <f>'TBWP_OP8 part 1_CORE&amp;STAR'!N74-'4 RPA COs'!Q74-'95 COs'!N78</f>
        <v>243745.11999999994</v>
      </c>
      <c r="O74" s="8"/>
      <c r="P74" s="9"/>
    </row>
    <row r="75" spans="1:36" ht="21.95" customHeight="1" x14ac:dyDescent="0.2">
      <c r="A75" s="262"/>
      <c r="B75" s="262"/>
      <c r="C75" s="262"/>
      <c r="D75" s="262"/>
      <c r="E75" s="262"/>
      <c r="F75" s="6" t="s">
        <v>57</v>
      </c>
      <c r="G75" s="7" t="s">
        <v>58</v>
      </c>
      <c r="H75" s="6">
        <v>72100</v>
      </c>
      <c r="I75" s="6" t="s">
        <v>59</v>
      </c>
      <c r="J75" s="213">
        <f t="shared" si="30"/>
        <v>41015</v>
      </c>
      <c r="K75" s="213">
        <f t="shared" si="30"/>
        <v>41015</v>
      </c>
      <c r="L75" s="213">
        <f t="shared" si="30"/>
        <v>41015</v>
      </c>
      <c r="M75" s="213">
        <f t="shared" si="31"/>
        <v>41014</v>
      </c>
      <c r="N75" s="213">
        <f>'TBWP_OP8 part 1_CORE&amp;STAR'!N75-'4 RPA COs'!Q75-'95 COs'!N79</f>
        <v>164059</v>
      </c>
      <c r="O75" s="8"/>
      <c r="P75" s="9"/>
    </row>
    <row r="76" spans="1:36" ht="21.95" customHeight="1" x14ac:dyDescent="0.2">
      <c r="A76" s="262"/>
      <c r="B76" s="262"/>
      <c r="C76" s="262"/>
      <c r="D76" s="262"/>
      <c r="E76" s="262"/>
      <c r="F76" s="6" t="s">
        <v>57</v>
      </c>
      <c r="G76" s="7" t="s">
        <v>24</v>
      </c>
      <c r="H76" s="6">
        <v>72500</v>
      </c>
      <c r="I76" s="6" t="s">
        <v>25</v>
      </c>
      <c r="J76" s="213">
        <f t="shared" si="30"/>
        <v>11261</v>
      </c>
      <c r="K76" s="213">
        <f t="shared" si="30"/>
        <v>11261</v>
      </c>
      <c r="L76" s="213">
        <f t="shared" si="30"/>
        <v>11261</v>
      </c>
      <c r="M76" s="213">
        <f t="shared" si="31"/>
        <v>11261</v>
      </c>
      <c r="N76" s="213">
        <f>'TBWP_OP8 part 1_CORE&amp;STAR'!N76-'4 RPA COs'!Q76-'95 COs'!N80</f>
        <v>45044</v>
      </c>
      <c r="O76" s="8"/>
      <c r="P76" s="9"/>
    </row>
    <row r="77" spans="1:36" ht="21.95" customHeight="1" x14ac:dyDescent="0.2">
      <c r="A77" s="262"/>
      <c r="B77" s="262"/>
      <c r="C77" s="262"/>
      <c r="D77" s="262"/>
      <c r="E77" s="262"/>
      <c r="F77" s="6" t="s">
        <v>57</v>
      </c>
      <c r="G77" s="7" t="s">
        <v>23</v>
      </c>
      <c r="H77" s="6">
        <v>74500</v>
      </c>
      <c r="I77" s="6" t="s">
        <v>49</v>
      </c>
      <c r="J77" s="213">
        <f t="shared" si="30"/>
        <v>32519</v>
      </c>
      <c r="K77" s="213">
        <f t="shared" si="30"/>
        <v>32519</v>
      </c>
      <c r="L77" s="213">
        <f t="shared" si="30"/>
        <v>32519</v>
      </c>
      <c r="M77" s="213">
        <f t="shared" si="31"/>
        <v>32520.099999999977</v>
      </c>
      <c r="N77" s="213">
        <f>'TBWP_OP8 part 1_CORE&amp;STAR'!N77-'4 RPA COs'!Q77-'95 COs'!N81</f>
        <v>130077.09999999998</v>
      </c>
      <c r="O77" s="8"/>
      <c r="P77" s="9"/>
    </row>
    <row r="78" spans="1:36" ht="21.95" customHeight="1" x14ac:dyDescent="0.2">
      <c r="A78" s="262"/>
      <c r="B78" s="262"/>
      <c r="C78" s="262"/>
      <c r="D78" s="262"/>
      <c r="E78" s="262"/>
      <c r="F78" s="6" t="s">
        <v>57</v>
      </c>
      <c r="G78" s="7" t="s">
        <v>26</v>
      </c>
      <c r="H78" s="6">
        <v>75700</v>
      </c>
      <c r="I78" s="6" t="s">
        <v>27</v>
      </c>
      <c r="J78" s="213">
        <f t="shared" si="30"/>
        <v>19068</v>
      </c>
      <c r="K78" s="213">
        <f t="shared" si="30"/>
        <v>19068</v>
      </c>
      <c r="L78" s="213">
        <f t="shared" si="30"/>
        <v>19068</v>
      </c>
      <c r="M78" s="213">
        <f t="shared" si="31"/>
        <v>19068.869999999937</v>
      </c>
      <c r="N78" s="213">
        <f>'TBWP_OP8 part 1_CORE&amp;STAR'!N78-'4 RPA COs'!Q78-'95 COs'!N82</f>
        <v>76272.869999999937</v>
      </c>
      <c r="O78" s="8"/>
      <c r="P78" s="9"/>
    </row>
    <row r="79" spans="1:36" ht="21.95" customHeight="1" x14ac:dyDescent="0.2">
      <c r="A79" s="262"/>
      <c r="B79" s="262"/>
      <c r="C79" s="262"/>
      <c r="D79" s="262"/>
      <c r="E79" s="262"/>
      <c r="F79" s="6" t="s">
        <v>57</v>
      </c>
      <c r="G79" s="7" t="s">
        <v>28</v>
      </c>
      <c r="H79" s="6">
        <v>61300</v>
      </c>
      <c r="I79" s="6" t="s">
        <v>30</v>
      </c>
      <c r="J79" s="213">
        <f t="shared" si="30"/>
        <v>38934</v>
      </c>
      <c r="K79" s="213">
        <f t="shared" si="30"/>
        <v>38934</v>
      </c>
      <c r="L79" s="213">
        <f t="shared" si="30"/>
        <v>38934</v>
      </c>
      <c r="M79" s="213">
        <f t="shared" si="31"/>
        <v>38933</v>
      </c>
      <c r="N79" s="213">
        <f>'TBWP_OP8 part 1_CORE&amp;STAR'!N79-'4 RPA COs'!Q79-'95 COs'!N83</f>
        <v>155735</v>
      </c>
      <c r="O79" s="8"/>
      <c r="P79" s="9"/>
    </row>
    <row r="80" spans="1:36" ht="21.95" customHeight="1" x14ac:dyDescent="0.2">
      <c r="A80" s="262"/>
      <c r="B80" s="262"/>
      <c r="C80" s="261" t="s">
        <v>31</v>
      </c>
      <c r="D80" s="261"/>
      <c r="E80" s="261"/>
      <c r="F80" s="261"/>
      <c r="G80" s="261"/>
      <c r="H80" s="261"/>
      <c r="I80" s="261"/>
      <c r="J80" s="213">
        <f>SUM(J71:J79)</f>
        <v>349068</v>
      </c>
      <c r="K80" s="213">
        <f t="shared" ref="K80:N80" si="32">SUM(K71:K79)</f>
        <v>349068</v>
      </c>
      <c r="L80" s="213">
        <f t="shared" si="32"/>
        <v>349068</v>
      </c>
      <c r="M80" s="213">
        <f t="shared" si="32"/>
        <v>349069.08999999985</v>
      </c>
      <c r="N80" s="213">
        <f t="shared" si="32"/>
        <v>1396273.0899999996</v>
      </c>
      <c r="O80" s="8"/>
      <c r="P80" s="9"/>
    </row>
    <row r="81" spans="1:36" ht="21.95" customHeight="1" x14ac:dyDescent="0.2">
      <c r="A81" s="262"/>
      <c r="B81" s="261" t="s">
        <v>60</v>
      </c>
      <c r="C81" s="261"/>
      <c r="D81" s="261"/>
      <c r="E81" s="261"/>
      <c r="F81" s="261"/>
      <c r="G81" s="261"/>
      <c r="H81" s="261"/>
      <c r="I81" s="261"/>
      <c r="J81" s="213">
        <f>J80</f>
        <v>349068</v>
      </c>
      <c r="K81" s="213">
        <f t="shared" ref="K81:N81" si="33">K80</f>
        <v>349068</v>
      </c>
      <c r="L81" s="213">
        <f t="shared" si="33"/>
        <v>349068</v>
      </c>
      <c r="M81" s="213">
        <f t="shared" si="33"/>
        <v>349069.08999999985</v>
      </c>
      <c r="N81" s="213">
        <f t="shared" si="33"/>
        <v>1396273.0899999996</v>
      </c>
      <c r="O81" s="8"/>
      <c r="P81" s="9"/>
    </row>
    <row r="82" spans="1:36" ht="21.95" customHeight="1" x14ac:dyDescent="0.2">
      <c r="A82" s="262"/>
      <c r="B82" s="262" t="s">
        <v>61</v>
      </c>
      <c r="C82" s="262" t="s">
        <v>17</v>
      </c>
      <c r="D82" s="262">
        <v>62000</v>
      </c>
      <c r="E82" s="262">
        <v>10003</v>
      </c>
      <c r="F82" s="6" t="s">
        <v>62</v>
      </c>
      <c r="G82" s="7" t="s">
        <v>19</v>
      </c>
      <c r="H82" s="6">
        <v>71200</v>
      </c>
      <c r="I82" s="6" t="s">
        <v>19</v>
      </c>
      <c r="J82" s="213">
        <f t="shared" ref="J82:L90" si="34">ROUND($N82*J$2,0)</f>
        <v>9386</v>
      </c>
      <c r="K82" s="213">
        <f t="shared" si="34"/>
        <v>9386</v>
      </c>
      <c r="L82" s="213">
        <f t="shared" si="34"/>
        <v>9386</v>
      </c>
      <c r="M82" s="213">
        <f t="shared" ref="M82:M90" si="35">N82-SUM(J82:L82)</f>
        <v>9386</v>
      </c>
      <c r="N82" s="213">
        <f>'TBWP_OP8 part 1_CORE&amp;STAR'!N82-'4 RPA COs'!Q82-'95 COs'!N86</f>
        <v>37544</v>
      </c>
      <c r="O82" s="8"/>
      <c r="P82" s="9"/>
    </row>
    <row r="83" spans="1:36" ht="21.95" customHeight="1" x14ac:dyDescent="0.2">
      <c r="A83" s="262"/>
      <c r="B83" s="262"/>
      <c r="C83" s="262"/>
      <c r="D83" s="262"/>
      <c r="E83" s="262"/>
      <c r="F83" s="6" t="s">
        <v>62</v>
      </c>
      <c r="G83" s="7" t="s">
        <v>20</v>
      </c>
      <c r="H83" s="6">
        <v>71300</v>
      </c>
      <c r="I83" s="6" t="s">
        <v>20</v>
      </c>
      <c r="J83" s="213">
        <f t="shared" si="34"/>
        <v>26567</v>
      </c>
      <c r="K83" s="213">
        <f t="shared" si="34"/>
        <v>26567</v>
      </c>
      <c r="L83" s="213">
        <f t="shared" si="34"/>
        <v>26567</v>
      </c>
      <c r="M83" s="213">
        <f t="shared" si="35"/>
        <v>26565</v>
      </c>
      <c r="N83" s="213">
        <f>'TBWP_OP8 part 1_CORE&amp;STAR'!N83-'4 RPA COs'!Q83-'95 COs'!N87</f>
        <v>106266</v>
      </c>
      <c r="O83" s="8"/>
      <c r="P83" s="9"/>
    </row>
    <row r="84" spans="1:36" ht="21.95" customHeight="1" x14ac:dyDescent="0.2">
      <c r="A84" s="262"/>
      <c r="B84" s="262"/>
      <c r="C84" s="262"/>
      <c r="D84" s="262"/>
      <c r="E84" s="262"/>
      <c r="F84" s="6" t="s">
        <v>62</v>
      </c>
      <c r="G84" s="7" t="s">
        <v>21</v>
      </c>
      <c r="H84" s="6">
        <v>71400</v>
      </c>
      <c r="I84" s="6" t="s">
        <v>22</v>
      </c>
      <c r="J84" s="213">
        <f t="shared" si="34"/>
        <v>80027</v>
      </c>
      <c r="K84" s="213">
        <f t="shared" si="34"/>
        <v>80027</v>
      </c>
      <c r="L84" s="213">
        <f t="shared" si="34"/>
        <v>80027</v>
      </c>
      <c r="M84" s="213">
        <f t="shared" si="35"/>
        <v>80028</v>
      </c>
      <c r="N84" s="213">
        <f>'TBWP_OP8 part 1_CORE&amp;STAR'!N84-'4 RPA COs'!Q84-'95 COs'!N88</f>
        <v>320109</v>
      </c>
      <c r="O84" s="8"/>
      <c r="P84" s="9"/>
    </row>
    <row r="85" spans="1:36" ht="21.95" customHeight="1" x14ac:dyDescent="0.2">
      <c r="A85" s="262"/>
      <c r="B85" s="262"/>
      <c r="C85" s="262"/>
      <c r="D85" s="262"/>
      <c r="E85" s="262"/>
      <c r="F85" s="6" t="s">
        <v>62</v>
      </c>
      <c r="G85" s="7" t="s">
        <v>23</v>
      </c>
      <c r="H85" s="6">
        <v>71600</v>
      </c>
      <c r="I85" s="6" t="s">
        <v>23</v>
      </c>
      <c r="J85" s="213">
        <f t="shared" si="34"/>
        <v>59303</v>
      </c>
      <c r="K85" s="213">
        <f t="shared" si="34"/>
        <v>59303</v>
      </c>
      <c r="L85" s="213">
        <f t="shared" si="34"/>
        <v>59303</v>
      </c>
      <c r="M85" s="213">
        <f t="shared" si="35"/>
        <v>59302.130000000005</v>
      </c>
      <c r="N85" s="213">
        <f>'TBWP_OP8 part 1_CORE&amp;STAR'!N85-'4 RPA COs'!Q85-'95 COs'!N89</f>
        <v>237211.13</v>
      </c>
      <c r="O85" s="8"/>
      <c r="P85" s="9"/>
    </row>
    <row r="86" spans="1:36" ht="21.95" customHeight="1" x14ac:dyDescent="0.2">
      <c r="A86" s="262"/>
      <c r="B86" s="262"/>
      <c r="C86" s="262"/>
      <c r="D86" s="262"/>
      <c r="E86" s="262"/>
      <c r="F86" s="6" t="s">
        <v>62</v>
      </c>
      <c r="G86" s="7" t="s">
        <v>58</v>
      </c>
      <c r="H86" s="6">
        <v>72100</v>
      </c>
      <c r="I86" s="6" t="s">
        <v>59</v>
      </c>
      <c r="J86" s="213">
        <f t="shared" si="34"/>
        <v>42560</v>
      </c>
      <c r="K86" s="213">
        <f t="shared" si="34"/>
        <v>42560</v>
      </c>
      <c r="L86" s="213">
        <f t="shared" si="34"/>
        <v>42560</v>
      </c>
      <c r="M86" s="213">
        <f t="shared" si="35"/>
        <v>42560</v>
      </c>
      <c r="N86" s="213">
        <f>'TBWP_OP8 part 1_CORE&amp;STAR'!N86-'4 RPA COs'!Q86-'95 COs'!N90</f>
        <v>170240</v>
      </c>
      <c r="O86" s="8"/>
      <c r="P86" s="9"/>
    </row>
    <row r="87" spans="1:36" ht="21.95" customHeight="1" x14ac:dyDescent="0.2">
      <c r="A87" s="262"/>
      <c r="B87" s="262"/>
      <c r="C87" s="262"/>
      <c r="D87" s="262"/>
      <c r="E87" s="262"/>
      <c r="F87" s="6" t="s">
        <v>62</v>
      </c>
      <c r="G87" s="7" t="s">
        <v>24</v>
      </c>
      <c r="H87" s="6">
        <v>72500</v>
      </c>
      <c r="I87" s="6" t="s">
        <v>25</v>
      </c>
      <c r="J87" s="213">
        <f t="shared" si="34"/>
        <v>8388</v>
      </c>
      <c r="K87" s="213">
        <f t="shared" si="34"/>
        <v>8388</v>
      </c>
      <c r="L87" s="213">
        <f t="shared" si="34"/>
        <v>8388</v>
      </c>
      <c r="M87" s="213">
        <f t="shared" si="35"/>
        <v>8386</v>
      </c>
      <c r="N87" s="213">
        <f>'TBWP_OP8 part 1_CORE&amp;STAR'!N87-'4 RPA COs'!Q87-'95 COs'!N91</f>
        <v>33550</v>
      </c>
      <c r="O87" s="8"/>
      <c r="P87" s="9"/>
    </row>
    <row r="88" spans="1:36" ht="21.95" customHeight="1" x14ac:dyDescent="0.2">
      <c r="A88" s="262"/>
      <c r="B88" s="262"/>
      <c r="C88" s="262"/>
      <c r="D88" s="262"/>
      <c r="E88" s="262"/>
      <c r="F88" s="6" t="s">
        <v>62</v>
      </c>
      <c r="G88" s="7" t="s">
        <v>23</v>
      </c>
      <c r="H88" s="6">
        <v>74500</v>
      </c>
      <c r="I88" s="6" t="s">
        <v>49</v>
      </c>
      <c r="J88" s="213">
        <f t="shared" si="34"/>
        <v>30943</v>
      </c>
      <c r="K88" s="213">
        <f t="shared" si="34"/>
        <v>30943</v>
      </c>
      <c r="L88" s="213">
        <f t="shared" si="34"/>
        <v>30943</v>
      </c>
      <c r="M88" s="213">
        <f t="shared" si="35"/>
        <v>30942.83</v>
      </c>
      <c r="N88" s="213">
        <f>'TBWP_OP8 part 1_CORE&amp;STAR'!N88-'4 RPA COs'!Q88-'95 COs'!N92</f>
        <v>123771.83</v>
      </c>
      <c r="O88" s="8"/>
      <c r="P88" s="9"/>
    </row>
    <row r="89" spans="1:36" ht="21.95" customHeight="1" x14ac:dyDescent="0.2">
      <c r="A89" s="262"/>
      <c r="B89" s="262"/>
      <c r="C89" s="262"/>
      <c r="D89" s="262"/>
      <c r="E89" s="262"/>
      <c r="F89" s="6" t="s">
        <v>62</v>
      </c>
      <c r="G89" s="7" t="s">
        <v>26</v>
      </c>
      <c r="H89" s="6">
        <v>75700</v>
      </c>
      <c r="I89" s="6" t="s">
        <v>27</v>
      </c>
      <c r="J89" s="213">
        <f t="shared" si="34"/>
        <v>20507</v>
      </c>
      <c r="K89" s="213">
        <f t="shared" si="34"/>
        <v>20507</v>
      </c>
      <c r="L89" s="213">
        <f t="shared" si="34"/>
        <v>20507</v>
      </c>
      <c r="M89" s="213">
        <f t="shared" si="35"/>
        <v>20505.719999999987</v>
      </c>
      <c r="N89" s="213">
        <f>'TBWP_OP8 part 1_CORE&amp;STAR'!N89-'4 RPA COs'!Q89-'95 COs'!N93</f>
        <v>82026.719999999987</v>
      </c>
      <c r="O89" s="8"/>
      <c r="P89" s="9"/>
    </row>
    <row r="90" spans="1:36" ht="21.95" customHeight="1" x14ac:dyDescent="0.2">
      <c r="A90" s="262"/>
      <c r="B90" s="262"/>
      <c r="C90" s="262"/>
      <c r="D90" s="262"/>
      <c r="E90" s="262"/>
      <c r="F90" s="6" t="s">
        <v>62</v>
      </c>
      <c r="G90" s="7" t="s">
        <v>28</v>
      </c>
      <c r="H90" s="6">
        <v>61300</v>
      </c>
      <c r="I90" s="6" t="s">
        <v>30</v>
      </c>
      <c r="J90" s="213">
        <f t="shared" si="34"/>
        <v>40401</v>
      </c>
      <c r="K90" s="213">
        <f t="shared" si="34"/>
        <v>40401</v>
      </c>
      <c r="L90" s="213">
        <f t="shared" si="34"/>
        <v>40401</v>
      </c>
      <c r="M90" s="213">
        <f t="shared" si="35"/>
        <v>40402</v>
      </c>
      <c r="N90" s="213">
        <f>'TBWP_OP8 part 1_CORE&amp;STAR'!N90-'4 RPA COs'!Q90-'95 COs'!N94</f>
        <v>161605</v>
      </c>
      <c r="O90" s="8"/>
      <c r="P90" s="9"/>
    </row>
    <row r="91" spans="1:36" ht="21.95" customHeight="1" x14ac:dyDescent="0.2">
      <c r="A91" s="262"/>
      <c r="B91" s="262"/>
      <c r="C91" s="263" t="s">
        <v>31</v>
      </c>
      <c r="D91" s="263"/>
      <c r="E91" s="263"/>
      <c r="F91" s="263"/>
      <c r="G91" s="263"/>
      <c r="H91" s="263"/>
      <c r="I91" s="263"/>
      <c r="J91" s="213">
        <f>SUM(J82:J90)</f>
        <v>318082</v>
      </c>
      <c r="K91" s="213">
        <f t="shared" ref="K91:N91" si="36">SUM(K82:K90)</f>
        <v>318082</v>
      </c>
      <c r="L91" s="213">
        <f t="shared" si="36"/>
        <v>318082</v>
      </c>
      <c r="M91" s="213">
        <f t="shared" si="36"/>
        <v>318077.68</v>
      </c>
      <c r="N91" s="213">
        <f t="shared" si="36"/>
        <v>1272323.68</v>
      </c>
      <c r="O91" s="8"/>
      <c r="Q91" s="17"/>
      <c r="Z91" s="11"/>
      <c r="AB91" s="15"/>
      <c r="AC91" s="12"/>
      <c r="AD91" s="13"/>
    </row>
    <row r="92" spans="1:36" ht="21.95" customHeight="1" x14ac:dyDescent="0.2">
      <c r="A92" s="262"/>
      <c r="B92" s="263" t="s">
        <v>63</v>
      </c>
      <c r="C92" s="263"/>
      <c r="D92" s="263"/>
      <c r="E92" s="263"/>
      <c r="F92" s="263"/>
      <c r="G92" s="263"/>
      <c r="H92" s="263"/>
      <c r="I92" s="263"/>
      <c r="J92" s="213">
        <f>J91</f>
        <v>318082</v>
      </c>
      <c r="K92" s="213">
        <f t="shared" ref="K92:N92" si="37">K91</f>
        <v>318082</v>
      </c>
      <c r="L92" s="213">
        <f t="shared" si="37"/>
        <v>318082</v>
      </c>
      <c r="M92" s="213">
        <f t="shared" si="37"/>
        <v>318077.68</v>
      </c>
      <c r="N92" s="213">
        <f t="shared" si="37"/>
        <v>1272323.68</v>
      </c>
      <c r="O92" s="8"/>
      <c r="Q92" s="10"/>
      <c r="Z92" s="11"/>
      <c r="AC92" s="12"/>
      <c r="AD92" s="13"/>
    </row>
    <row r="93" spans="1:36" ht="21.95" customHeight="1" x14ac:dyDescent="0.2">
      <c r="A93" s="261" t="s">
        <v>64</v>
      </c>
      <c r="B93" s="261"/>
      <c r="C93" s="261"/>
      <c r="D93" s="261"/>
      <c r="E93" s="261"/>
      <c r="F93" s="261"/>
      <c r="G93" s="261"/>
      <c r="H93" s="261"/>
      <c r="I93" s="261"/>
      <c r="J93" s="213">
        <f>J81+J92</f>
        <v>667150</v>
      </c>
      <c r="K93" s="213">
        <f t="shared" ref="K93:N93" si="38">K81+K92</f>
        <v>667150</v>
      </c>
      <c r="L93" s="213">
        <f t="shared" si="38"/>
        <v>667150</v>
      </c>
      <c r="M93" s="213">
        <f t="shared" si="38"/>
        <v>667146.76999999979</v>
      </c>
      <c r="N93" s="213">
        <f t="shared" si="38"/>
        <v>2668596.7699999996</v>
      </c>
      <c r="O93" s="8"/>
      <c r="R93" s="14"/>
      <c r="Z93" s="15"/>
      <c r="AJ93" s="16"/>
    </row>
    <row r="94" spans="1:36" ht="21.95" customHeight="1" x14ac:dyDescent="0.2">
      <c r="A94" s="262" t="s">
        <v>65</v>
      </c>
      <c r="B94" s="262" t="s">
        <v>66</v>
      </c>
      <c r="C94" s="262" t="s">
        <v>17</v>
      </c>
      <c r="D94" s="262">
        <v>62000</v>
      </c>
      <c r="E94" s="262">
        <v>10003</v>
      </c>
      <c r="F94" s="6" t="s">
        <v>66</v>
      </c>
      <c r="G94" s="7" t="s">
        <v>21</v>
      </c>
      <c r="H94" s="6">
        <v>71400</v>
      </c>
      <c r="I94" s="6" t="s">
        <v>22</v>
      </c>
      <c r="J94" s="213">
        <f t="shared" ref="J94:L108" si="39">ROUND($N94*J$2,0)</f>
        <v>628965</v>
      </c>
      <c r="K94" s="213">
        <f t="shared" si="39"/>
        <v>628965</v>
      </c>
      <c r="L94" s="213">
        <f t="shared" si="39"/>
        <v>628965</v>
      </c>
      <c r="M94" s="213">
        <f t="shared" ref="M94:M108" si="40">N94-SUM(J94:L94)</f>
        <v>628964</v>
      </c>
      <c r="N94" s="213">
        <f>'TBWP_OP8 part 1_CORE&amp;STAR'!N94-'4 RPA COs'!Q94-'95 COs'!N98</f>
        <v>2515859</v>
      </c>
      <c r="O94" s="8"/>
      <c r="P94" s="9"/>
    </row>
    <row r="95" spans="1:36" ht="21.95" customHeight="1" x14ac:dyDescent="0.2">
      <c r="A95" s="262"/>
      <c r="B95" s="262"/>
      <c r="C95" s="262"/>
      <c r="D95" s="262"/>
      <c r="E95" s="262"/>
      <c r="F95" s="6" t="s">
        <v>66</v>
      </c>
      <c r="G95" s="7" t="s">
        <v>23</v>
      </c>
      <c r="H95" s="6">
        <v>71600</v>
      </c>
      <c r="I95" s="6" t="s">
        <v>23</v>
      </c>
      <c r="J95" s="213">
        <f t="shared" si="39"/>
        <v>61425</v>
      </c>
      <c r="K95" s="213">
        <f t="shared" si="39"/>
        <v>61425</v>
      </c>
      <c r="L95" s="213">
        <f t="shared" si="39"/>
        <v>61425</v>
      </c>
      <c r="M95" s="213">
        <f t="shared" si="40"/>
        <v>61424</v>
      </c>
      <c r="N95" s="213">
        <f>'TBWP_OP8 part 1_CORE&amp;STAR'!N95-'4 RPA COs'!Q95-'95 COs'!N99</f>
        <v>245699</v>
      </c>
      <c r="O95" s="8"/>
      <c r="P95" s="214"/>
    </row>
    <row r="96" spans="1:36" ht="21.95" customHeight="1" x14ac:dyDescent="0.2">
      <c r="A96" s="262"/>
      <c r="B96" s="262"/>
      <c r="C96" s="262"/>
      <c r="D96" s="262"/>
      <c r="E96" s="262"/>
      <c r="F96" s="6" t="s">
        <v>66</v>
      </c>
      <c r="G96" s="7" t="s">
        <v>58</v>
      </c>
      <c r="H96" s="6">
        <v>72200</v>
      </c>
      <c r="I96" s="6" t="s">
        <v>67</v>
      </c>
      <c r="J96" s="213">
        <f t="shared" si="39"/>
        <v>2459</v>
      </c>
      <c r="K96" s="213">
        <f t="shared" si="39"/>
        <v>2459</v>
      </c>
      <c r="L96" s="213">
        <f t="shared" si="39"/>
        <v>2459</v>
      </c>
      <c r="M96" s="213">
        <f t="shared" si="40"/>
        <v>2459.5600000000013</v>
      </c>
      <c r="N96" s="213">
        <f>'TBWP_OP8 part 1_CORE&amp;STAR'!N96-'4 RPA COs'!Q96-'95 COs'!N100</f>
        <v>9836.5600000000013</v>
      </c>
      <c r="O96" s="8"/>
      <c r="P96" s="9"/>
    </row>
    <row r="97" spans="1:36" ht="21.95" customHeight="1" x14ac:dyDescent="0.2">
      <c r="A97" s="262"/>
      <c r="B97" s="262"/>
      <c r="C97" s="262"/>
      <c r="D97" s="262"/>
      <c r="E97" s="262"/>
      <c r="F97" s="6" t="s">
        <v>66</v>
      </c>
      <c r="G97" s="7" t="s">
        <v>58</v>
      </c>
      <c r="H97" s="6">
        <v>72300</v>
      </c>
      <c r="I97" s="6" t="s">
        <v>68</v>
      </c>
      <c r="J97" s="213">
        <f t="shared" si="39"/>
        <v>10843</v>
      </c>
      <c r="K97" s="213">
        <f t="shared" si="39"/>
        <v>10843</v>
      </c>
      <c r="L97" s="213">
        <f t="shared" si="39"/>
        <v>10843</v>
      </c>
      <c r="M97" s="213">
        <f t="shared" si="40"/>
        <v>10841</v>
      </c>
      <c r="N97" s="213">
        <f>'TBWP_OP8 part 1_CORE&amp;STAR'!N97-'4 RPA COs'!Q97-'95 COs'!N101</f>
        <v>43370</v>
      </c>
      <c r="O97" s="8"/>
      <c r="P97" s="9"/>
    </row>
    <row r="98" spans="1:36" ht="21.95" customHeight="1" x14ac:dyDescent="0.2">
      <c r="A98" s="262"/>
      <c r="B98" s="262"/>
      <c r="C98" s="262"/>
      <c r="D98" s="262"/>
      <c r="E98" s="262"/>
      <c r="F98" s="6" t="s">
        <v>66</v>
      </c>
      <c r="G98" s="7" t="s">
        <v>58</v>
      </c>
      <c r="H98" s="6">
        <v>72400</v>
      </c>
      <c r="I98" s="6" t="s">
        <v>69</v>
      </c>
      <c r="J98" s="213">
        <f t="shared" si="39"/>
        <v>17504</v>
      </c>
      <c r="K98" s="213">
        <f t="shared" si="39"/>
        <v>17504</v>
      </c>
      <c r="L98" s="213">
        <f t="shared" si="39"/>
        <v>17504</v>
      </c>
      <c r="M98" s="213">
        <f t="shared" si="40"/>
        <v>17505.129999999976</v>
      </c>
      <c r="N98" s="213">
        <f>'TBWP_OP8 part 1_CORE&amp;STAR'!N98-'4 RPA COs'!Q98-'95 COs'!N102</f>
        <v>70017.129999999976</v>
      </c>
      <c r="O98" s="8"/>
      <c r="P98" s="9"/>
    </row>
    <row r="99" spans="1:36" ht="21.95" customHeight="1" x14ac:dyDescent="0.2">
      <c r="A99" s="262"/>
      <c r="B99" s="262"/>
      <c r="C99" s="262"/>
      <c r="D99" s="262"/>
      <c r="E99" s="262"/>
      <c r="F99" s="6" t="s">
        <v>66</v>
      </c>
      <c r="G99" s="7" t="s">
        <v>24</v>
      </c>
      <c r="H99" s="6">
        <v>72500</v>
      </c>
      <c r="I99" s="6" t="s">
        <v>25</v>
      </c>
      <c r="J99" s="213">
        <f t="shared" si="39"/>
        <v>8282</v>
      </c>
      <c r="K99" s="213">
        <f t="shared" si="39"/>
        <v>8282</v>
      </c>
      <c r="L99" s="213">
        <f t="shared" si="39"/>
        <v>8282</v>
      </c>
      <c r="M99" s="213">
        <f t="shared" si="40"/>
        <v>8280.2699999999604</v>
      </c>
      <c r="N99" s="213">
        <f>'TBWP_OP8 part 1_CORE&amp;STAR'!N99-'4 RPA COs'!Q99-'95 COs'!N103</f>
        <v>33126.26999999996</v>
      </c>
      <c r="O99" s="8"/>
      <c r="P99" s="9"/>
    </row>
    <row r="100" spans="1:36" ht="21.95" customHeight="1" x14ac:dyDescent="0.2">
      <c r="A100" s="262"/>
      <c r="B100" s="262"/>
      <c r="C100" s="262"/>
      <c r="D100" s="262"/>
      <c r="E100" s="262"/>
      <c r="F100" s="6" t="s">
        <v>66</v>
      </c>
      <c r="G100" s="7" t="s">
        <v>58</v>
      </c>
      <c r="H100" s="6">
        <v>72800</v>
      </c>
      <c r="I100" s="6" t="s">
        <v>70</v>
      </c>
      <c r="J100" s="213">
        <f t="shared" si="39"/>
        <v>11164</v>
      </c>
      <c r="K100" s="213">
        <f t="shared" si="39"/>
        <v>11164</v>
      </c>
      <c r="L100" s="213">
        <f t="shared" si="39"/>
        <v>11164</v>
      </c>
      <c r="M100" s="213">
        <f t="shared" si="40"/>
        <v>11162.480000000003</v>
      </c>
      <c r="N100" s="213">
        <f>'TBWP_OP8 part 1_CORE&amp;STAR'!N100-'4 RPA COs'!Q100-'95 COs'!N104</f>
        <v>44654.48</v>
      </c>
      <c r="O100" s="8"/>
      <c r="P100" s="9"/>
    </row>
    <row r="101" spans="1:36" ht="21.95" customHeight="1" x14ac:dyDescent="0.2">
      <c r="A101" s="262"/>
      <c r="B101" s="262"/>
      <c r="C101" s="262"/>
      <c r="D101" s="262"/>
      <c r="E101" s="262"/>
      <c r="F101" s="6" t="s">
        <v>66</v>
      </c>
      <c r="G101" s="7" t="s">
        <v>71</v>
      </c>
      <c r="H101" s="6">
        <v>73100</v>
      </c>
      <c r="I101" s="6" t="s">
        <v>72</v>
      </c>
      <c r="J101" s="213">
        <f t="shared" si="39"/>
        <v>143738</v>
      </c>
      <c r="K101" s="213">
        <f t="shared" si="39"/>
        <v>143738</v>
      </c>
      <c r="L101" s="213">
        <f t="shared" si="39"/>
        <v>143738</v>
      </c>
      <c r="M101" s="213">
        <f t="shared" si="40"/>
        <v>143737.58999999997</v>
      </c>
      <c r="N101" s="213">
        <f>'TBWP_OP8 part 1_CORE&amp;STAR'!N101-'4 RPA COs'!Q101-'95 COs'!N105</f>
        <v>574951.59</v>
      </c>
      <c r="O101" s="8"/>
      <c r="P101" s="9"/>
    </row>
    <row r="102" spans="1:36" ht="21.95" customHeight="1" x14ac:dyDescent="0.2">
      <c r="A102" s="262"/>
      <c r="B102" s="262"/>
      <c r="C102" s="262"/>
      <c r="D102" s="262"/>
      <c r="E102" s="262"/>
      <c r="F102" s="6" t="s">
        <v>66</v>
      </c>
      <c r="G102" s="7" t="s">
        <v>58</v>
      </c>
      <c r="H102" s="6">
        <v>73400</v>
      </c>
      <c r="I102" s="6" t="s">
        <v>73</v>
      </c>
      <c r="J102" s="213">
        <f t="shared" si="39"/>
        <v>8451</v>
      </c>
      <c r="K102" s="213">
        <f t="shared" si="39"/>
        <v>8451</v>
      </c>
      <c r="L102" s="213">
        <f t="shared" si="39"/>
        <v>8451</v>
      </c>
      <c r="M102" s="213">
        <f t="shared" si="40"/>
        <v>8449.7600000000093</v>
      </c>
      <c r="N102" s="213">
        <f>'TBWP_OP8 part 1_CORE&amp;STAR'!N102-'4 RPA COs'!Q102-'95 COs'!N106</f>
        <v>33802.760000000009</v>
      </c>
      <c r="O102" s="8"/>
      <c r="P102" s="9"/>
    </row>
    <row r="103" spans="1:36" ht="21.95" customHeight="1" x14ac:dyDescent="0.2">
      <c r="A103" s="262"/>
      <c r="B103" s="262"/>
      <c r="C103" s="262"/>
      <c r="D103" s="262"/>
      <c r="E103" s="262"/>
      <c r="F103" s="6" t="s">
        <v>66</v>
      </c>
      <c r="G103" s="7" t="s">
        <v>74</v>
      </c>
      <c r="H103" s="6">
        <v>74100</v>
      </c>
      <c r="I103" s="6" t="s">
        <v>75</v>
      </c>
      <c r="J103" s="213">
        <f t="shared" si="39"/>
        <v>39946</v>
      </c>
      <c r="K103" s="213">
        <f t="shared" si="39"/>
        <v>39946</v>
      </c>
      <c r="L103" s="213">
        <f t="shared" si="39"/>
        <v>39946</v>
      </c>
      <c r="M103" s="213">
        <f t="shared" si="40"/>
        <v>39944.880000000005</v>
      </c>
      <c r="N103" s="213">
        <f>'TBWP_OP8 part 1_CORE&amp;STAR'!N103-'4 RPA COs'!Q103-'95 COs'!N107</f>
        <v>159782.88</v>
      </c>
      <c r="O103" s="8"/>
      <c r="P103" s="9"/>
    </row>
    <row r="104" spans="1:36" ht="21.95" customHeight="1" x14ac:dyDescent="0.2">
      <c r="A104" s="262"/>
      <c r="B104" s="262"/>
      <c r="C104" s="262"/>
      <c r="D104" s="262"/>
      <c r="E104" s="262"/>
      <c r="F104" s="6" t="s">
        <v>66</v>
      </c>
      <c r="G104" s="7" t="s">
        <v>58</v>
      </c>
      <c r="H104" s="6">
        <v>74200</v>
      </c>
      <c r="I104" s="6" t="s">
        <v>76</v>
      </c>
      <c r="J104" s="213">
        <f t="shared" si="39"/>
        <v>7930</v>
      </c>
      <c r="K104" s="213">
        <f t="shared" si="39"/>
        <v>7930</v>
      </c>
      <c r="L104" s="213">
        <f t="shared" si="39"/>
        <v>7930</v>
      </c>
      <c r="M104" s="213">
        <f t="shared" si="40"/>
        <v>7928.919999999991</v>
      </c>
      <c r="N104" s="213">
        <f>'TBWP_OP8 part 1_CORE&amp;STAR'!N104-'4 RPA COs'!Q104-'95 COs'!N108</f>
        <v>31718.919999999991</v>
      </c>
      <c r="O104" s="8"/>
      <c r="P104" s="9"/>
    </row>
    <row r="105" spans="1:36" ht="21.95" customHeight="1" x14ac:dyDescent="0.2">
      <c r="A105" s="262"/>
      <c r="B105" s="262"/>
      <c r="C105" s="262"/>
      <c r="D105" s="262"/>
      <c r="E105" s="262"/>
      <c r="F105" s="6" t="s">
        <v>66</v>
      </c>
      <c r="G105" s="7" t="s">
        <v>23</v>
      </c>
      <c r="H105" s="6">
        <v>74500</v>
      </c>
      <c r="I105" s="6" t="s">
        <v>49</v>
      </c>
      <c r="J105" s="213">
        <f t="shared" si="39"/>
        <v>17945</v>
      </c>
      <c r="K105" s="213">
        <f t="shared" si="39"/>
        <v>17945</v>
      </c>
      <c r="L105" s="213">
        <f t="shared" si="39"/>
        <v>17945</v>
      </c>
      <c r="M105" s="213">
        <f t="shared" si="40"/>
        <v>17944</v>
      </c>
      <c r="N105" s="213">
        <f>'TBWP_OP8 part 1_CORE&amp;STAR'!N105-'4 RPA COs'!Q105-'95 COs'!N109</f>
        <v>71779</v>
      </c>
      <c r="O105" s="8"/>
      <c r="P105" s="9"/>
    </row>
    <row r="106" spans="1:36" ht="21.95" customHeight="1" x14ac:dyDescent="0.2">
      <c r="A106" s="262"/>
      <c r="B106" s="262"/>
      <c r="C106" s="262"/>
      <c r="D106" s="262"/>
      <c r="E106" s="262"/>
      <c r="F106" s="6" t="s">
        <v>66</v>
      </c>
      <c r="G106" s="7" t="s">
        <v>23</v>
      </c>
      <c r="H106" s="6">
        <v>74700</v>
      </c>
      <c r="I106" s="6" t="s">
        <v>77</v>
      </c>
      <c r="J106" s="213">
        <f t="shared" si="39"/>
        <v>5839</v>
      </c>
      <c r="K106" s="213">
        <f t="shared" si="39"/>
        <v>5839</v>
      </c>
      <c r="L106" s="213">
        <f t="shared" si="39"/>
        <v>5839</v>
      </c>
      <c r="M106" s="213">
        <f t="shared" si="40"/>
        <v>5838</v>
      </c>
      <c r="N106" s="213">
        <f>'TBWP_OP8 part 1_CORE&amp;STAR'!N106-'4 RPA COs'!Q106-'95 COs'!N110</f>
        <v>23355</v>
      </c>
      <c r="O106" s="8"/>
      <c r="P106" s="9"/>
    </row>
    <row r="107" spans="1:36" ht="21.95" customHeight="1" x14ac:dyDescent="0.2">
      <c r="A107" s="262"/>
      <c r="B107" s="262"/>
      <c r="C107" s="262"/>
      <c r="D107" s="262"/>
      <c r="E107" s="262"/>
      <c r="F107" s="6" t="s">
        <v>66</v>
      </c>
      <c r="G107" s="7" t="s">
        <v>28</v>
      </c>
      <c r="H107" s="6">
        <v>61200</v>
      </c>
      <c r="I107" s="6" t="s">
        <v>29</v>
      </c>
      <c r="J107" s="213">
        <f t="shared" si="39"/>
        <v>107949</v>
      </c>
      <c r="K107" s="213">
        <f t="shared" si="39"/>
        <v>107949</v>
      </c>
      <c r="L107" s="213">
        <f t="shared" si="39"/>
        <v>107949</v>
      </c>
      <c r="M107" s="213">
        <f t="shared" si="40"/>
        <v>107950</v>
      </c>
      <c r="N107" s="213">
        <f>'TBWP_OP8 part 1_CORE&amp;STAR'!N107-'4 RPA COs'!Q107-'95 COs'!N111</f>
        <v>431797</v>
      </c>
      <c r="O107" s="8"/>
      <c r="P107" s="9"/>
    </row>
    <row r="108" spans="1:36" s="2" customFormat="1" ht="21.95" customHeight="1" x14ac:dyDescent="0.2">
      <c r="A108" s="262"/>
      <c r="B108" s="262"/>
      <c r="C108" s="262"/>
      <c r="D108" s="262"/>
      <c r="E108" s="262"/>
      <c r="F108" s="6" t="s">
        <v>66</v>
      </c>
      <c r="G108" s="7" t="s">
        <v>28</v>
      </c>
      <c r="H108" s="6">
        <v>61300</v>
      </c>
      <c r="I108" s="6" t="s">
        <v>30</v>
      </c>
      <c r="J108" s="213">
        <f t="shared" si="39"/>
        <v>145842</v>
      </c>
      <c r="K108" s="213">
        <f t="shared" si="39"/>
        <v>145842</v>
      </c>
      <c r="L108" s="213">
        <f t="shared" si="39"/>
        <v>145842</v>
      </c>
      <c r="M108" s="213">
        <f t="shared" si="40"/>
        <v>145841</v>
      </c>
      <c r="N108" s="213">
        <f>'TBWP_OP8 part 1_CORE&amp;STAR'!N108-'4 RPA COs'!Q108-'95 COs'!N112</f>
        <v>583367</v>
      </c>
      <c r="O108" s="8"/>
      <c r="P108" s="9"/>
      <c r="R108" s="1"/>
      <c r="S108" s="1"/>
      <c r="T108" s="1"/>
      <c r="U108" s="1"/>
      <c r="V108" s="1"/>
      <c r="W108" s="1"/>
      <c r="X108" s="1"/>
      <c r="Y108" s="1"/>
      <c r="Z108" s="1"/>
      <c r="AA108" s="1"/>
      <c r="AB108" s="1"/>
      <c r="AC108" s="1"/>
      <c r="AD108" s="1"/>
      <c r="AE108" s="1"/>
      <c r="AF108" s="1"/>
      <c r="AG108" s="1"/>
      <c r="AH108" s="1"/>
      <c r="AI108" s="1"/>
      <c r="AJ108" s="1"/>
    </row>
    <row r="109" spans="1:36" s="2" customFormat="1" ht="21.95" customHeight="1" x14ac:dyDescent="0.2">
      <c r="A109" s="262"/>
      <c r="B109" s="262"/>
      <c r="C109" s="261" t="s">
        <v>31</v>
      </c>
      <c r="D109" s="261"/>
      <c r="E109" s="261"/>
      <c r="F109" s="261"/>
      <c r="G109" s="261"/>
      <c r="H109" s="261"/>
      <c r="I109" s="261"/>
      <c r="J109" s="213">
        <f>SUM(J94:J108)</f>
        <v>1218282</v>
      </c>
      <c r="K109" s="213">
        <f t="shared" ref="K109:N109" si="41">SUM(K94:K108)</f>
        <v>1218282</v>
      </c>
      <c r="L109" s="213">
        <f t="shared" si="41"/>
        <v>1218282</v>
      </c>
      <c r="M109" s="213">
        <f t="shared" si="41"/>
        <v>1218270.5899999999</v>
      </c>
      <c r="N109" s="213">
        <f t="shared" si="41"/>
        <v>4873116.59</v>
      </c>
      <c r="O109" s="8"/>
      <c r="P109" s="9"/>
      <c r="R109" s="1"/>
      <c r="S109" s="1"/>
      <c r="T109" s="1"/>
      <c r="U109" s="1"/>
      <c r="V109" s="1"/>
      <c r="W109" s="1"/>
      <c r="X109" s="1"/>
      <c r="Y109" s="1"/>
      <c r="Z109" s="1"/>
      <c r="AA109" s="1"/>
      <c r="AB109" s="1"/>
      <c r="AC109" s="1"/>
      <c r="AD109" s="1"/>
      <c r="AE109" s="1"/>
      <c r="AF109" s="1"/>
      <c r="AG109" s="1"/>
      <c r="AH109" s="1"/>
      <c r="AI109" s="1"/>
      <c r="AJ109" s="1"/>
    </row>
    <row r="110" spans="1:36" s="2" customFormat="1" ht="21.95" customHeight="1" x14ac:dyDescent="0.2">
      <c r="A110" s="262"/>
      <c r="B110" s="261" t="s">
        <v>78</v>
      </c>
      <c r="C110" s="261"/>
      <c r="D110" s="261"/>
      <c r="E110" s="261"/>
      <c r="F110" s="261"/>
      <c r="G110" s="261"/>
      <c r="H110" s="261"/>
      <c r="I110" s="261"/>
      <c r="J110" s="213">
        <f>J109</f>
        <v>1218282</v>
      </c>
      <c r="K110" s="213">
        <f t="shared" ref="K110:N110" si="42">K109</f>
        <v>1218282</v>
      </c>
      <c r="L110" s="213">
        <f t="shared" si="42"/>
        <v>1218282</v>
      </c>
      <c r="M110" s="213">
        <f t="shared" si="42"/>
        <v>1218270.5899999999</v>
      </c>
      <c r="N110" s="213">
        <f t="shared" si="42"/>
        <v>4873116.59</v>
      </c>
      <c r="O110" s="8"/>
      <c r="P110" s="9"/>
      <c r="R110" s="1"/>
      <c r="S110" s="1"/>
      <c r="T110" s="1"/>
      <c r="U110" s="1"/>
      <c r="V110" s="1"/>
      <c r="W110" s="1"/>
      <c r="X110" s="1"/>
      <c r="Y110" s="1"/>
      <c r="Z110" s="1"/>
      <c r="AA110" s="1"/>
      <c r="AB110" s="1"/>
      <c r="AC110" s="1"/>
      <c r="AD110" s="1"/>
      <c r="AE110" s="1"/>
      <c r="AF110" s="1"/>
      <c r="AG110" s="1"/>
      <c r="AH110" s="1"/>
      <c r="AI110" s="1"/>
      <c r="AJ110" s="1"/>
    </row>
    <row r="111" spans="1:36" s="2" customFormat="1" ht="21.95" customHeight="1" x14ac:dyDescent="0.2">
      <c r="A111" s="262"/>
      <c r="B111" s="262" t="s">
        <v>79</v>
      </c>
      <c r="C111" s="262" t="s">
        <v>17</v>
      </c>
      <c r="D111" s="262">
        <v>62000</v>
      </c>
      <c r="E111" s="262">
        <v>10003</v>
      </c>
      <c r="F111" s="6" t="s">
        <v>79</v>
      </c>
      <c r="G111" s="7" t="s">
        <v>21</v>
      </c>
      <c r="H111" s="6">
        <v>71400</v>
      </c>
      <c r="I111" s="6" t="s">
        <v>22</v>
      </c>
      <c r="J111" s="213">
        <f t="shared" ref="J111:L125" si="43">ROUND($N111*J$2,0)</f>
        <v>500237</v>
      </c>
      <c r="K111" s="213">
        <f t="shared" si="43"/>
        <v>500237</v>
      </c>
      <c r="L111" s="213">
        <f t="shared" si="43"/>
        <v>500237</v>
      </c>
      <c r="M111" s="213">
        <f t="shared" ref="M111:M125" si="44">N111-SUM(J111:L111)</f>
        <v>500236</v>
      </c>
      <c r="N111" s="213">
        <f>'TBWP_OP8 part 1_CORE&amp;STAR'!N111-'4 RPA COs'!Q111-'95 COs'!N115</f>
        <v>2000947</v>
      </c>
      <c r="O111" s="8"/>
      <c r="P111" s="9"/>
      <c r="R111" s="1"/>
      <c r="S111" s="1"/>
      <c r="T111" s="1"/>
      <c r="U111" s="1"/>
      <c r="V111" s="1"/>
      <c r="W111" s="1"/>
      <c r="X111" s="1"/>
      <c r="Y111" s="1"/>
      <c r="Z111" s="1"/>
      <c r="AA111" s="1"/>
      <c r="AB111" s="1"/>
      <c r="AC111" s="1"/>
      <c r="AD111" s="1"/>
      <c r="AE111" s="1"/>
      <c r="AF111" s="1"/>
      <c r="AG111" s="1"/>
      <c r="AH111" s="1"/>
      <c r="AI111" s="1"/>
      <c r="AJ111" s="1"/>
    </row>
    <row r="112" spans="1:36" s="2" customFormat="1" ht="21.95" customHeight="1" x14ac:dyDescent="0.2">
      <c r="A112" s="262"/>
      <c r="B112" s="262"/>
      <c r="C112" s="262"/>
      <c r="D112" s="262"/>
      <c r="E112" s="262"/>
      <c r="F112" s="6" t="s">
        <v>79</v>
      </c>
      <c r="G112" s="7" t="s">
        <v>23</v>
      </c>
      <c r="H112" s="6">
        <v>71600</v>
      </c>
      <c r="I112" s="6" t="s">
        <v>23</v>
      </c>
      <c r="J112" s="213">
        <f t="shared" si="43"/>
        <v>45750</v>
      </c>
      <c r="K112" s="213">
        <f t="shared" si="43"/>
        <v>45750</v>
      </c>
      <c r="L112" s="213">
        <f t="shared" si="43"/>
        <v>45750</v>
      </c>
      <c r="M112" s="213">
        <f t="shared" si="44"/>
        <v>45749</v>
      </c>
      <c r="N112" s="213">
        <f>'TBWP_OP8 part 1_CORE&amp;STAR'!N112-'4 RPA COs'!Q112-'95 COs'!N116</f>
        <v>182999</v>
      </c>
      <c r="O112" s="8"/>
      <c r="P112" s="9"/>
      <c r="R112" s="1"/>
      <c r="S112" s="1"/>
      <c r="T112" s="1"/>
      <c r="U112" s="1"/>
      <c r="V112" s="1"/>
      <c r="W112" s="1"/>
      <c r="X112" s="1"/>
      <c r="Y112" s="1"/>
      <c r="Z112" s="1"/>
      <c r="AA112" s="1"/>
      <c r="AB112" s="1"/>
      <c r="AC112" s="1"/>
      <c r="AD112" s="1"/>
      <c r="AE112" s="1"/>
      <c r="AF112" s="1"/>
      <c r="AG112" s="1"/>
      <c r="AH112" s="1"/>
      <c r="AI112" s="1"/>
      <c r="AJ112" s="1"/>
    </row>
    <row r="113" spans="1:36" s="2" customFormat="1" ht="21.95" customHeight="1" x14ac:dyDescent="0.2">
      <c r="A113" s="262"/>
      <c r="B113" s="262"/>
      <c r="C113" s="262"/>
      <c r="D113" s="262"/>
      <c r="E113" s="262"/>
      <c r="F113" s="6" t="s">
        <v>79</v>
      </c>
      <c r="G113" s="7" t="s">
        <v>58</v>
      </c>
      <c r="H113" s="6">
        <v>72200</v>
      </c>
      <c r="I113" s="6" t="s">
        <v>67</v>
      </c>
      <c r="J113" s="213">
        <f t="shared" si="43"/>
        <v>2151</v>
      </c>
      <c r="K113" s="213">
        <f t="shared" si="43"/>
        <v>2151</v>
      </c>
      <c r="L113" s="213">
        <f t="shared" si="43"/>
        <v>2151</v>
      </c>
      <c r="M113" s="213">
        <f t="shared" si="44"/>
        <v>2151.7900000000009</v>
      </c>
      <c r="N113" s="213">
        <f>'TBWP_OP8 part 1_CORE&amp;STAR'!N113-'4 RPA COs'!Q113-'95 COs'!N117</f>
        <v>8604.7900000000009</v>
      </c>
      <c r="O113" s="8"/>
      <c r="P113" s="9"/>
      <c r="R113" s="1"/>
      <c r="S113" s="1"/>
      <c r="T113" s="1"/>
      <c r="U113" s="1"/>
      <c r="V113" s="1"/>
      <c r="W113" s="1"/>
      <c r="X113" s="1"/>
      <c r="Y113" s="1"/>
      <c r="Z113" s="1"/>
      <c r="AA113" s="1"/>
      <c r="AB113" s="1"/>
      <c r="AC113" s="1"/>
      <c r="AD113" s="1"/>
      <c r="AE113" s="1"/>
      <c r="AF113" s="1"/>
      <c r="AG113" s="1"/>
      <c r="AH113" s="1"/>
      <c r="AI113" s="1"/>
      <c r="AJ113" s="1"/>
    </row>
    <row r="114" spans="1:36" s="2" customFormat="1" ht="21.95" customHeight="1" x14ac:dyDescent="0.2">
      <c r="A114" s="262"/>
      <c r="B114" s="262"/>
      <c r="C114" s="262"/>
      <c r="D114" s="262"/>
      <c r="E114" s="262"/>
      <c r="F114" s="6" t="s">
        <v>79</v>
      </c>
      <c r="G114" s="7" t="s">
        <v>58</v>
      </c>
      <c r="H114" s="6">
        <v>72300</v>
      </c>
      <c r="I114" s="6" t="s">
        <v>68</v>
      </c>
      <c r="J114" s="213">
        <f t="shared" si="43"/>
        <v>11251</v>
      </c>
      <c r="K114" s="213">
        <f t="shared" si="43"/>
        <v>11251</v>
      </c>
      <c r="L114" s="213">
        <f t="shared" si="43"/>
        <v>11251</v>
      </c>
      <c r="M114" s="213">
        <f t="shared" si="44"/>
        <v>11251</v>
      </c>
      <c r="N114" s="213">
        <f>'TBWP_OP8 part 1_CORE&amp;STAR'!N114-'4 RPA COs'!Q114-'95 COs'!N118</f>
        <v>45004</v>
      </c>
      <c r="O114" s="8"/>
      <c r="P114" s="9"/>
      <c r="R114" s="1"/>
      <c r="S114" s="1"/>
      <c r="T114" s="1"/>
      <c r="U114" s="1"/>
      <c r="V114" s="1"/>
      <c r="W114" s="1"/>
      <c r="X114" s="1"/>
      <c r="Y114" s="1"/>
      <c r="Z114" s="1"/>
      <c r="AA114" s="1"/>
      <c r="AB114" s="1"/>
      <c r="AC114" s="1"/>
      <c r="AD114" s="1"/>
      <c r="AE114" s="1"/>
      <c r="AF114" s="1"/>
      <c r="AG114" s="1"/>
      <c r="AH114" s="1"/>
      <c r="AI114" s="1"/>
      <c r="AJ114" s="1"/>
    </row>
    <row r="115" spans="1:36" s="2" customFormat="1" ht="21.95" customHeight="1" x14ac:dyDescent="0.2">
      <c r="A115" s="262"/>
      <c r="B115" s="262"/>
      <c r="C115" s="262"/>
      <c r="D115" s="262"/>
      <c r="E115" s="262"/>
      <c r="F115" s="6" t="s">
        <v>79</v>
      </c>
      <c r="G115" s="7" t="s">
        <v>58</v>
      </c>
      <c r="H115" s="6">
        <v>72400</v>
      </c>
      <c r="I115" s="6" t="s">
        <v>69</v>
      </c>
      <c r="J115" s="213">
        <f t="shared" si="43"/>
        <v>15310</v>
      </c>
      <c r="K115" s="213">
        <f t="shared" si="43"/>
        <v>15310</v>
      </c>
      <c r="L115" s="213">
        <f t="shared" si="43"/>
        <v>15310</v>
      </c>
      <c r="M115" s="213">
        <f t="shared" si="44"/>
        <v>15311.909999999996</v>
      </c>
      <c r="N115" s="213">
        <f>'TBWP_OP8 part 1_CORE&amp;STAR'!N115-'4 RPA COs'!Q115-'95 COs'!N119</f>
        <v>61241.909999999996</v>
      </c>
      <c r="O115" s="8"/>
      <c r="P115" s="9"/>
      <c r="R115" s="1"/>
      <c r="S115" s="1"/>
      <c r="T115" s="1"/>
      <c r="U115" s="1"/>
      <c r="V115" s="1"/>
      <c r="W115" s="1"/>
      <c r="X115" s="1"/>
      <c r="Y115" s="1"/>
      <c r="Z115" s="1"/>
      <c r="AA115" s="1"/>
      <c r="AB115" s="1"/>
      <c r="AC115" s="1"/>
      <c r="AD115" s="1"/>
      <c r="AE115" s="1"/>
      <c r="AF115" s="1"/>
      <c r="AG115" s="1"/>
      <c r="AH115" s="1"/>
      <c r="AI115" s="1"/>
      <c r="AJ115" s="1"/>
    </row>
    <row r="116" spans="1:36" s="2" customFormat="1" ht="21.95" customHeight="1" x14ac:dyDescent="0.2">
      <c r="A116" s="262"/>
      <c r="B116" s="262"/>
      <c r="C116" s="262"/>
      <c r="D116" s="262"/>
      <c r="E116" s="262"/>
      <c r="F116" s="6" t="s">
        <v>79</v>
      </c>
      <c r="G116" s="7" t="s">
        <v>24</v>
      </c>
      <c r="H116" s="6">
        <v>72500</v>
      </c>
      <c r="I116" s="6" t="s">
        <v>25</v>
      </c>
      <c r="J116" s="213">
        <f t="shared" si="43"/>
        <v>9463</v>
      </c>
      <c r="K116" s="213">
        <f t="shared" si="43"/>
        <v>9463</v>
      </c>
      <c r="L116" s="213">
        <f t="shared" si="43"/>
        <v>9463</v>
      </c>
      <c r="M116" s="213">
        <f t="shared" si="44"/>
        <v>9461.179999999993</v>
      </c>
      <c r="N116" s="213">
        <f>'TBWP_OP8 part 1_CORE&amp;STAR'!N116-'4 RPA COs'!Q116-'95 COs'!N120</f>
        <v>37850.179999999993</v>
      </c>
      <c r="O116" s="8"/>
      <c r="P116" s="9"/>
      <c r="R116" s="1"/>
      <c r="S116" s="1"/>
      <c r="T116" s="1"/>
      <c r="U116" s="1"/>
      <c r="V116" s="1"/>
      <c r="W116" s="1"/>
      <c r="X116" s="1"/>
      <c r="Y116" s="1"/>
      <c r="Z116" s="1"/>
      <c r="AA116" s="1"/>
      <c r="AB116" s="1"/>
      <c r="AC116" s="1"/>
      <c r="AD116" s="1"/>
      <c r="AE116" s="1"/>
      <c r="AF116" s="1"/>
      <c r="AG116" s="1"/>
      <c r="AH116" s="1"/>
      <c r="AI116" s="1"/>
      <c r="AJ116" s="1"/>
    </row>
    <row r="117" spans="1:36" s="2" customFormat="1" ht="21.95" customHeight="1" x14ac:dyDescent="0.2">
      <c r="A117" s="262"/>
      <c r="B117" s="262"/>
      <c r="C117" s="262"/>
      <c r="D117" s="262"/>
      <c r="E117" s="262"/>
      <c r="F117" s="6" t="s">
        <v>79</v>
      </c>
      <c r="G117" s="7" t="s">
        <v>58</v>
      </c>
      <c r="H117" s="6">
        <v>72800</v>
      </c>
      <c r="I117" s="6" t="s">
        <v>70</v>
      </c>
      <c r="J117" s="213">
        <f t="shared" si="43"/>
        <v>9764</v>
      </c>
      <c r="K117" s="213">
        <f t="shared" si="43"/>
        <v>9764</v>
      </c>
      <c r="L117" s="213">
        <f t="shared" si="43"/>
        <v>9764</v>
      </c>
      <c r="M117" s="213">
        <f t="shared" si="44"/>
        <v>9763.7900000000009</v>
      </c>
      <c r="N117" s="213">
        <f>'TBWP_OP8 part 1_CORE&amp;STAR'!N117-'4 RPA COs'!Q117-'95 COs'!N121</f>
        <v>39055.79</v>
      </c>
      <c r="O117" s="8"/>
      <c r="P117" s="9"/>
      <c r="R117" s="1"/>
      <c r="S117" s="1"/>
      <c r="T117" s="1"/>
      <c r="U117" s="1"/>
      <c r="V117" s="1"/>
      <c r="W117" s="1"/>
      <c r="X117" s="1"/>
      <c r="Y117" s="1"/>
      <c r="Z117" s="1"/>
      <c r="AA117" s="1"/>
      <c r="AB117" s="1"/>
      <c r="AC117" s="1"/>
      <c r="AD117" s="1"/>
      <c r="AE117" s="1"/>
      <c r="AF117" s="1"/>
      <c r="AG117" s="1"/>
      <c r="AH117" s="1"/>
      <c r="AI117" s="1"/>
      <c r="AJ117" s="1"/>
    </row>
    <row r="118" spans="1:36" s="2" customFormat="1" ht="21.95" customHeight="1" x14ac:dyDescent="0.2">
      <c r="A118" s="262"/>
      <c r="B118" s="262"/>
      <c r="C118" s="262"/>
      <c r="D118" s="262"/>
      <c r="E118" s="262"/>
      <c r="F118" s="6" t="s">
        <v>79</v>
      </c>
      <c r="G118" s="7" t="s">
        <v>71</v>
      </c>
      <c r="H118" s="6">
        <v>73100</v>
      </c>
      <c r="I118" s="6" t="s">
        <v>72</v>
      </c>
      <c r="J118" s="213">
        <f t="shared" si="43"/>
        <v>125726</v>
      </c>
      <c r="K118" s="213">
        <f t="shared" si="43"/>
        <v>125726</v>
      </c>
      <c r="L118" s="213">
        <f t="shared" si="43"/>
        <v>125726</v>
      </c>
      <c r="M118" s="213">
        <f t="shared" si="44"/>
        <v>125723.99999999994</v>
      </c>
      <c r="N118" s="213">
        <f>'TBWP_OP8 part 1_CORE&amp;STAR'!N118-'4 RPA COs'!Q118-'95 COs'!N122</f>
        <v>502901.99999999994</v>
      </c>
      <c r="O118" s="8"/>
      <c r="P118" s="9"/>
      <c r="R118" s="1"/>
      <c r="S118" s="1"/>
      <c r="T118" s="1"/>
      <c r="U118" s="1"/>
      <c r="V118" s="1"/>
      <c r="W118" s="1"/>
      <c r="X118" s="1"/>
      <c r="Y118" s="1"/>
      <c r="Z118" s="1"/>
      <c r="AA118" s="1"/>
      <c r="AB118" s="1"/>
      <c r="AC118" s="1"/>
      <c r="AD118" s="1"/>
      <c r="AE118" s="1"/>
      <c r="AF118" s="1"/>
      <c r="AG118" s="1"/>
      <c r="AH118" s="1"/>
      <c r="AI118" s="1"/>
      <c r="AJ118" s="1"/>
    </row>
    <row r="119" spans="1:36" s="2" customFormat="1" ht="21.95" customHeight="1" x14ac:dyDescent="0.2">
      <c r="A119" s="262"/>
      <c r="B119" s="262"/>
      <c r="C119" s="262"/>
      <c r="D119" s="262"/>
      <c r="E119" s="262"/>
      <c r="F119" s="6" t="s">
        <v>79</v>
      </c>
      <c r="G119" s="7" t="s">
        <v>58</v>
      </c>
      <c r="H119" s="6">
        <v>73400</v>
      </c>
      <c r="I119" s="6" t="s">
        <v>73</v>
      </c>
      <c r="J119" s="213">
        <f t="shared" si="43"/>
        <v>7392</v>
      </c>
      <c r="K119" s="213">
        <f t="shared" si="43"/>
        <v>7392</v>
      </c>
      <c r="L119" s="213">
        <f t="shared" si="43"/>
        <v>7392</v>
      </c>
      <c r="M119" s="213">
        <f t="shared" si="44"/>
        <v>7390.9700000000012</v>
      </c>
      <c r="N119" s="213">
        <f>'TBWP_OP8 part 1_CORE&amp;STAR'!N119-'4 RPA COs'!Q119-'95 COs'!N123</f>
        <v>29566.97</v>
      </c>
      <c r="O119" s="8"/>
      <c r="P119" s="9"/>
      <c r="R119" s="1"/>
      <c r="S119" s="1"/>
      <c r="T119" s="1"/>
      <c r="U119" s="1"/>
      <c r="V119" s="1"/>
      <c r="W119" s="1"/>
      <c r="X119" s="1"/>
      <c r="Y119" s="1"/>
      <c r="Z119" s="1"/>
      <c r="AA119" s="1"/>
      <c r="AB119" s="1"/>
      <c r="AC119" s="1"/>
      <c r="AD119" s="1"/>
      <c r="AE119" s="1"/>
      <c r="AF119" s="1"/>
      <c r="AG119" s="1"/>
      <c r="AH119" s="1"/>
      <c r="AI119" s="1"/>
      <c r="AJ119" s="1"/>
    </row>
    <row r="120" spans="1:36" s="2" customFormat="1" ht="21.95" customHeight="1" x14ac:dyDescent="0.2">
      <c r="A120" s="262"/>
      <c r="B120" s="262"/>
      <c r="C120" s="262"/>
      <c r="D120" s="262"/>
      <c r="E120" s="262"/>
      <c r="F120" s="6" t="s">
        <v>79</v>
      </c>
      <c r="G120" s="7" t="s">
        <v>74</v>
      </c>
      <c r="H120" s="6">
        <v>74100</v>
      </c>
      <c r="I120" s="6" t="s">
        <v>75</v>
      </c>
      <c r="J120" s="213">
        <f t="shared" si="43"/>
        <v>29223</v>
      </c>
      <c r="K120" s="213">
        <f t="shared" si="43"/>
        <v>29223</v>
      </c>
      <c r="L120" s="213">
        <f t="shared" si="43"/>
        <v>29223</v>
      </c>
      <c r="M120" s="213">
        <f t="shared" si="44"/>
        <v>29222.119999999995</v>
      </c>
      <c r="N120" s="213">
        <f>'TBWP_OP8 part 1_CORE&amp;STAR'!N120-'4 RPA COs'!Q120-'95 COs'!N124</f>
        <v>116891.12</v>
      </c>
      <c r="O120" s="8"/>
      <c r="P120" s="9"/>
      <c r="R120" s="1"/>
      <c r="S120" s="1"/>
      <c r="T120" s="1"/>
      <c r="U120" s="1"/>
      <c r="V120" s="1"/>
      <c r="W120" s="1"/>
      <c r="X120" s="1"/>
      <c r="Y120" s="1"/>
      <c r="Z120" s="1"/>
      <c r="AA120" s="1"/>
      <c r="AB120" s="1"/>
      <c r="AC120" s="1"/>
      <c r="AD120" s="1"/>
      <c r="AE120" s="1"/>
      <c r="AF120" s="1"/>
      <c r="AG120" s="1"/>
      <c r="AH120" s="1"/>
      <c r="AI120" s="1"/>
      <c r="AJ120" s="1"/>
    </row>
    <row r="121" spans="1:36" s="2" customFormat="1" ht="21.95" customHeight="1" x14ac:dyDescent="0.2">
      <c r="A121" s="262"/>
      <c r="B121" s="262"/>
      <c r="C121" s="262"/>
      <c r="D121" s="262"/>
      <c r="E121" s="262"/>
      <c r="F121" s="6" t="s">
        <v>79</v>
      </c>
      <c r="G121" s="7" t="s">
        <v>58</v>
      </c>
      <c r="H121" s="6">
        <v>74200</v>
      </c>
      <c r="I121" s="6" t="s">
        <v>76</v>
      </c>
      <c r="J121" s="213">
        <f t="shared" si="43"/>
        <v>6936</v>
      </c>
      <c r="K121" s="213">
        <f t="shared" si="43"/>
        <v>6936</v>
      </c>
      <c r="L121" s="213">
        <f t="shared" si="43"/>
        <v>6936</v>
      </c>
      <c r="M121" s="213">
        <f t="shared" si="44"/>
        <v>6936.3399999999965</v>
      </c>
      <c r="N121" s="213">
        <f>'TBWP_OP8 part 1_CORE&amp;STAR'!N121-'4 RPA COs'!Q121-'95 COs'!N125</f>
        <v>27744.339999999997</v>
      </c>
      <c r="O121" s="8"/>
      <c r="P121" s="9"/>
      <c r="R121" s="1"/>
      <c r="S121" s="1"/>
      <c r="T121" s="1"/>
      <c r="U121" s="1"/>
      <c r="V121" s="1"/>
      <c r="W121" s="1"/>
      <c r="X121" s="1"/>
      <c r="Y121" s="1"/>
      <c r="Z121" s="1"/>
      <c r="AA121" s="1"/>
      <c r="AB121" s="1"/>
      <c r="AC121" s="1"/>
      <c r="AD121" s="1"/>
      <c r="AE121" s="1"/>
      <c r="AF121" s="1"/>
      <c r="AG121" s="1"/>
      <c r="AH121" s="1"/>
      <c r="AI121" s="1"/>
      <c r="AJ121" s="1"/>
    </row>
    <row r="122" spans="1:36" s="2" customFormat="1" ht="21.95" customHeight="1" x14ac:dyDescent="0.2">
      <c r="A122" s="262"/>
      <c r="B122" s="262"/>
      <c r="C122" s="262"/>
      <c r="D122" s="262"/>
      <c r="E122" s="262"/>
      <c r="F122" s="6" t="s">
        <v>79</v>
      </c>
      <c r="G122" s="7" t="s">
        <v>23</v>
      </c>
      <c r="H122" s="6">
        <v>74500</v>
      </c>
      <c r="I122" s="6" t="s">
        <v>49</v>
      </c>
      <c r="J122" s="213">
        <f t="shared" si="43"/>
        <v>13366</v>
      </c>
      <c r="K122" s="213">
        <f t="shared" si="43"/>
        <v>13366</v>
      </c>
      <c r="L122" s="213">
        <f t="shared" si="43"/>
        <v>13366</v>
      </c>
      <c r="M122" s="213">
        <f t="shared" si="44"/>
        <v>13366</v>
      </c>
      <c r="N122" s="213">
        <f>'TBWP_OP8 part 1_CORE&amp;STAR'!N122-'4 RPA COs'!Q122-'95 COs'!N126</f>
        <v>53464</v>
      </c>
      <c r="O122" s="8"/>
      <c r="P122" s="9"/>
      <c r="R122" s="1"/>
      <c r="S122" s="1"/>
      <c r="T122" s="1"/>
      <c r="U122" s="1"/>
      <c r="V122" s="1"/>
      <c r="W122" s="1"/>
      <c r="X122" s="1"/>
      <c r="Y122" s="1"/>
      <c r="Z122" s="1"/>
      <c r="AA122" s="1"/>
      <c r="AB122" s="1"/>
      <c r="AC122" s="1"/>
      <c r="AD122" s="1"/>
      <c r="AE122" s="1"/>
      <c r="AF122" s="1"/>
      <c r="AG122" s="1"/>
      <c r="AH122" s="1"/>
      <c r="AI122" s="1"/>
      <c r="AJ122" s="1"/>
    </row>
    <row r="123" spans="1:36" s="2" customFormat="1" ht="21.95" customHeight="1" x14ac:dyDescent="0.2">
      <c r="A123" s="262"/>
      <c r="B123" s="262"/>
      <c r="C123" s="262"/>
      <c r="D123" s="262"/>
      <c r="E123" s="262"/>
      <c r="F123" s="6" t="s">
        <v>79</v>
      </c>
      <c r="G123" s="7" t="s">
        <v>23</v>
      </c>
      <c r="H123" s="6">
        <v>74700</v>
      </c>
      <c r="I123" s="6" t="s">
        <v>77</v>
      </c>
      <c r="J123" s="213">
        <f t="shared" si="43"/>
        <v>6059</v>
      </c>
      <c r="K123" s="213">
        <f t="shared" si="43"/>
        <v>6059</v>
      </c>
      <c r="L123" s="213">
        <f t="shared" si="43"/>
        <v>6059</v>
      </c>
      <c r="M123" s="213">
        <f t="shared" si="44"/>
        <v>6057</v>
      </c>
      <c r="N123" s="213">
        <f>'TBWP_OP8 part 1_CORE&amp;STAR'!N123-'4 RPA COs'!Q123-'95 COs'!N127</f>
        <v>24234</v>
      </c>
      <c r="O123" s="8"/>
      <c r="P123" s="9"/>
      <c r="R123" s="1"/>
      <c r="S123" s="1"/>
      <c r="T123" s="1"/>
      <c r="U123" s="1"/>
      <c r="V123" s="1"/>
      <c r="W123" s="1"/>
      <c r="X123" s="1"/>
      <c r="Y123" s="1"/>
      <c r="Z123" s="1"/>
      <c r="AA123" s="1"/>
      <c r="AB123" s="1"/>
      <c r="AC123" s="1"/>
      <c r="AD123" s="1"/>
      <c r="AE123" s="1"/>
      <c r="AF123" s="1"/>
      <c r="AG123" s="1"/>
      <c r="AH123" s="1"/>
      <c r="AI123" s="1"/>
      <c r="AJ123" s="1"/>
    </row>
    <row r="124" spans="1:36" s="2" customFormat="1" ht="21.95" customHeight="1" x14ac:dyDescent="0.2">
      <c r="A124" s="262"/>
      <c r="B124" s="262"/>
      <c r="C124" s="262"/>
      <c r="D124" s="262"/>
      <c r="E124" s="262"/>
      <c r="F124" s="6" t="s">
        <v>79</v>
      </c>
      <c r="G124" s="7" t="s">
        <v>28</v>
      </c>
      <c r="H124" s="6">
        <v>61200</v>
      </c>
      <c r="I124" s="6" t="s">
        <v>29</v>
      </c>
      <c r="J124" s="213">
        <f t="shared" si="43"/>
        <v>112017</v>
      </c>
      <c r="K124" s="213">
        <f t="shared" si="43"/>
        <v>112017</v>
      </c>
      <c r="L124" s="213">
        <f t="shared" si="43"/>
        <v>112017</v>
      </c>
      <c r="M124" s="213">
        <f t="shared" si="44"/>
        <v>112016</v>
      </c>
      <c r="N124" s="213">
        <f>'TBWP_OP8 part 1_CORE&amp;STAR'!N124-'4 RPA COs'!Q124-'95 COs'!N128</f>
        <v>448067</v>
      </c>
      <c r="O124" s="8"/>
      <c r="P124" s="9"/>
      <c r="R124" s="1"/>
      <c r="S124" s="1"/>
      <c r="T124" s="1"/>
      <c r="U124" s="1"/>
      <c r="V124" s="1"/>
      <c r="W124" s="1"/>
      <c r="X124" s="1"/>
      <c r="Y124" s="1"/>
      <c r="Z124" s="1"/>
      <c r="AA124" s="1"/>
      <c r="AB124" s="1"/>
      <c r="AC124" s="1"/>
      <c r="AD124" s="1"/>
      <c r="AE124" s="1"/>
      <c r="AF124" s="1"/>
      <c r="AG124" s="1"/>
      <c r="AH124" s="1"/>
      <c r="AI124" s="1"/>
      <c r="AJ124" s="1"/>
    </row>
    <row r="125" spans="1:36" s="2" customFormat="1" ht="21.95" customHeight="1" x14ac:dyDescent="0.2">
      <c r="A125" s="262"/>
      <c r="B125" s="262"/>
      <c r="C125" s="262"/>
      <c r="D125" s="262"/>
      <c r="E125" s="262"/>
      <c r="F125" s="6" t="s">
        <v>79</v>
      </c>
      <c r="G125" s="7" t="s">
        <v>28</v>
      </c>
      <c r="H125" s="6">
        <v>61300</v>
      </c>
      <c r="I125" s="6" t="s">
        <v>30</v>
      </c>
      <c r="J125" s="213">
        <f t="shared" si="43"/>
        <v>151338</v>
      </c>
      <c r="K125" s="213">
        <f t="shared" si="43"/>
        <v>151338</v>
      </c>
      <c r="L125" s="213">
        <f t="shared" si="43"/>
        <v>151338</v>
      </c>
      <c r="M125" s="213">
        <f t="shared" si="44"/>
        <v>151339</v>
      </c>
      <c r="N125" s="213">
        <f>'TBWP_OP8 part 1_CORE&amp;STAR'!N125-'4 RPA COs'!Q125-'95 COs'!N129</f>
        <v>605353</v>
      </c>
      <c r="O125" s="8"/>
      <c r="P125" s="9"/>
      <c r="R125" s="1"/>
      <c r="S125" s="1"/>
      <c r="T125" s="1"/>
      <c r="U125" s="1"/>
      <c r="V125" s="1"/>
      <c r="W125" s="1"/>
      <c r="X125" s="1"/>
      <c r="Y125" s="1"/>
      <c r="Z125" s="1"/>
      <c r="AA125" s="1"/>
      <c r="AB125" s="1"/>
      <c r="AC125" s="1"/>
      <c r="AD125" s="1"/>
      <c r="AE125" s="1"/>
      <c r="AF125" s="1"/>
      <c r="AG125" s="1"/>
      <c r="AH125" s="1"/>
      <c r="AI125" s="1"/>
      <c r="AJ125" s="1"/>
    </row>
    <row r="126" spans="1:36" s="2" customFormat="1" ht="21.95" customHeight="1" x14ac:dyDescent="0.2">
      <c r="A126" s="262"/>
      <c r="B126" s="262"/>
      <c r="C126" s="263" t="s">
        <v>31</v>
      </c>
      <c r="D126" s="263"/>
      <c r="E126" s="263"/>
      <c r="F126" s="263"/>
      <c r="G126" s="263"/>
      <c r="H126" s="263"/>
      <c r="I126" s="263"/>
      <c r="J126" s="213">
        <f>SUM(J111:J125)</f>
        <v>1045983</v>
      </c>
      <c r="K126" s="213">
        <f t="shared" ref="K126:N126" si="45">SUM(K111:K125)</f>
        <v>1045983</v>
      </c>
      <c r="L126" s="213">
        <f t="shared" si="45"/>
        <v>1045983</v>
      </c>
      <c r="M126" s="213">
        <f t="shared" si="45"/>
        <v>1045976.1000000001</v>
      </c>
      <c r="N126" s="213">
        <f t="shared" si="45"/>
        <v>4183925.1000000006</v>
      </c>
      <c r="O126" s="8"/>
      <c r="P126" s="9"/>
      <c r="R126" s="1"/>
      <c r="S126" s="1"/>
      <c r="T126" s="1"/>
      <c r="U126" s="1"/>
      <c r="V126" s="1"/>
      <c r="W126" s="1"/>
      <c r="X126" s="1"/>
      <c r="Y126" s="1"/>
      <c r="Z126" s="1"/>
      <c r="AA126" s="1"/>
      <c r="AB126" s="1"/>
      <c r="AC126" s="1"/>
      <c r="AD126" s="1"/>
      <c r="AE126" s="1"/>
      <c r="AF126" s="1"/>
      <c r="AG126" s="1"/>
      <c r="AH126" s="1"/>
      <c r="AI126" s="1"/>
      <c r="AJ126" s="1"/>
    </row>
    <row r="127" spans="1:36" ht="21.95" customHeight="1" x14ac:dyDescent="0.2">
      <c r="A127" s="262"/>
      <c r="B127" s="263" t="s">
        <v>80</v>
      </c>
      <c r="C127" s="263"/>
      <c r="D127" s="263"/>
      <c r="E127" s="263"/>
      <c r="F127" s="263"/>
      <c r="G127" s="263"/>
      <c r="H127" s="263"/>
      <c r="I127" s="263"/>
      <c r="J127" s="213">
        <f>J126</f>
        <v>1045983</v>
      </c>
      <c r="K127" s="213">
        <f t="shared" ref="K127:N127" si="46">K126</f>
        <v>1045983</v>
      </c>
      <c r="L127" s="213">
        <f t="shared" si="46"/>
        <v>1045983</v>
      </c>
      <c r="M127" s="213">
        <f t="shared" si="46"/>
        <v>1045976.1000000001</v>
      </c>
      <c r="N127" s="213">
        <f t="shared" si="46"/>
        <v>4183925.1000000006</v>
      </c>
      <c r="O127" s="8"/>
      <c r="Q127" s="10"/>
      <c r="Z127" s="11"/>
      <c r="AC127" s="12"/>
      <c r="AD127" s="13"/>
    </row>
    <row r="128" spans="1:36" ht="21.95" customHeight="1" x14ac:dyDescent="0.2">
      <c r="A128" s="261" t="s">
        <v>81</v>
      </c>
      <c r="B128" s="261"/>
      <c r="C128" s="261"/>
      <c r="D128" s="261"/>
      <c r="E128" s="261"/>
      <c r="F128" s="261"/>
      <c r="G128" s="261"/>
      <c r="H128" s="261"/>
      <c r="I128" s="261"/>
      <c r="J128" s="213">
        <f>J110+J127</f>
        <v>2264265</v>
      </c>
      <c r="K128" s="213">
        <f t="shared" ref="K128:N128" si="47">K110+K127</f>
        <v>2264265</v>
      </c>
      <c r="L128" s="213">
        <f t="shared" si="47"/>
        <v>2264265</v>
      </c>
      <c r="M128" s="213">
        <f t="shared" si="47"/>
        <v>2264246.69</v>
      </c>
      <c r="N128" s="213">
        <f t="shared" si="47"/>
        <v>9057041.6900000013</v>
      </c>
      <c r="O128" s="8"/>
      <c r="R128" s="14"/>
      <c r="Z128" s="15"/>
      <c r="AJ128" s="16"/>
    </row>
    <row r="129" spans="1:36" ht="21.95" customHeight="1" x14ac:dyDescent="0.2">
      <c r="A129" s="261" t="s">
        <v>82</v>
      </c>
      <c r="B129" s="261"/>
      <c r="C129" s="261"/>
      <c r="D129" s="261"/>
      <c r="E129" s="261"/>
      <c r="F129" s="261"/>
      <c r="G129" s="261"/>
      <c r="H129" s="261"/>
      <c r="I129" s="261"/>
      <c r="J129" s="213">
        <f>SUM(J24,J47,J70,J93,J128)</f>
        <v>6950874</v>
      </c>
      <c r="K129" s="213">
        <f t="shared" ref="K129:N129" si="48">SUM(K24,K47,K70,K93,K128)</f>
        <v>6950874</v>
      </c>
      <c r="L129" s="213">
        <f t="shared" si="48"/>
        <v>6950874</v>
      </c>
      <c r="M129" s="213">
        <f t="shared" si="48"/>
        <v>6950827.3199999966</v>
      </c>
      <c r="N129" s="213">
        <f t="shared" si="48"/>
        <v>27803449.500000022</v>
      </c>
      <c r="O129" s="215"/>
      <c r="Q129" s="18"/>
      <c r="R129" s="19"/>
    </row>
    <row r="130" spans="1:36" x14ac:dyDescent="0.2">
      <c r="A130" s="20"/>
      <c r="B130" s="20"/>
      <c r="C130" s="20"/>
      <c r="D130" s="20"/>
      <c r="E130" s="20"/>
      <c r="F130" s="20"/>
      <c r="G130" s="20"/>
      <c r="H130" s="20"/>
      <c r="I130" s="20"/>
      <c r="J130" s="19"/>
      <c r="K130" s="19"/>
      <c r="L130" s="19"/>
      <c r="M130" s="19"/>
      <c r="N130" s="19">
        <f>'4 RPA COs'!V8</f>
        <v>15805066.720000001</v>
      </c>
      <c r="O130" s="21" t="s">
        <v>108</v>
      </c>
      <c r="Q130" s="18"/>
      <c r="R130" s="19"/>
    </row>
    <row r="131" spans="1:36" x14ac:dyDescent="0.2">
      <c r="N131" s="247">
        <f>'95 COs'!N133</f>
        <v>82578086.779999986</v>
      </c>
      <c r="O131" s="1" t="s">
        <v>109</v>
      </c>
    </row>
    <row r="132" spans="1:36" ht="12.6" hidden="1" customHeight="1" x14ac:dyDescent="0.2"/>
    <row r="133" spans="1:36" ht="12.6" hidden="1" customHeight="1" x14ac:dyDescent="0.2">
      <c r="A133" s="1" t="s">
        <v>7</v>
      </c>
      <c r="B133" s="1" t="s">
        <v>110</v>
      </c>
    </row>
    <row r="134" spans="1:36" ht="12.6" hidden="1" customHeight="1" x14ac:dyDescent="0.2">
      <c r="G134" s="1" t="s">
        <v>23</v>
      </c>
    </row>
    <row r="135" spans="1:36" ht="12.6" hidden="1" customHeight="1" x14ac:dyDescent="0.2">
      <c r="A135" s="22" t="s">
        <v>111</v>
      </c>
      <c r="B135" s="22" t="s">
        <v>112</v>
      </c>
      <c r="C135" s="23"/>
      <c r="E135" s="24" t="s">
        <v>113</v>
      </c>
      <c r="F135" s="24"/>
      <c r="G135" s="24">
        <v>2</v>
      </c>
    </row>
    <row r="136" spans="1:36" ht="12.6" hidden="1" customHeight="1" x14ac:dyDescent="0.2">
      <c r="A136" s="22" t="s">
        <v>49</v>
      </c>
      <c r="B136" s="22">
        <v>814869</v>
      </c>
      <c r="C136" s="23"/>
      <c r="E136" s="24" t="s">
        <v>114</v>
      </c>
      <c r="F136" s="24"/>
      <c r="G136" s="24">
        <v>-5</v>
      </c>
    </row>
    <row r="137" spans="1:36" ht="12.6" hidden="1" customHeight="1" x14ac:dyDescent="0.2">
      <c r="A137" s="22" t="s">
        <v>77</v>
      </c>
      <c r="B137" s="22">
        <v>47589</v>
      </c>
      <c r="C137" s="23"/>
      <c r="E137" s="24" t="s">
        <v>115</v>
      </c>
      <c r="F137" s="24"/>
      <c r="G137" s="24">
        <v>-3</v>
      </c>
    </row>
    <row r="138" spans="1:36" ht="12.6" hidden="1" customHeight="1" x14ac:dyDescent="0.2">
      <c r="A138" s="22" t="s">
        <v>23</v>
      </c>
      <c r="B138" s="22">
        <v>2731487.162</v>
      </c>
      <c r="C138" s="23"/>
      <c r="E138" s="24" t="s">
        <v>116</v>
      </c>
      <c r="F138" s="24"/>
      <c r="G138" s="24">
        <v>0</v>
      </c>
    </row>
    <row r="139" spans="1:36" ht="12.6" hidden="1" customHeight="1" x14ac:dyDescent="0.2">
      <c r="A139" s="22" t="s">
        <v>117</v>
      </c>
      <c r="B139" s="22">
        <v>3593945.162</v>
      </c>
      <c r="C139" s="23"/>
      <c r="E139" s="24" t="s">
        <v>118</v>
      </c>
      <c r="F139" s="24"/>
      <c r="G139" s="24">
        <v>-3</v>
      </c>
    </row>
    <row r="140" spans="1:36" ht="12.95" hidden="1" customHeight="1" x14ac:dyDescent="0.2">
      <c r="A140" s="23"/>
      <c r="B140" s="23"/>
      <c r="C140" s="23"/>
      <c r="E140" s="24" t="s">
        <v>119</v>
      </c>
      <c r="F140" s="24"/>
      <c r="G140" s="24">
        <v>-9</v>
      </c>
    </row>
    <row r="141" spans="1:36" s="2" customFormat="1" x14ac:dyDescent="0.2">
      <c r="A141" s="23"/>
      <c r="B141" s="23"/>
      <c r="C141" s="23"/>
      <c r="D141" s="1"/>
      <c r="E141" s="1"/>
      <c r="F141" s="1"/>
      <c r="G141" s="1"/>
      <c r="H141" s="1"/>
      <c r="I141" s="1"/>
      <c r="J141" s="1"/>
      <c r="K141" s="1"/>
      <c r="L141" s="1"/>
      <c r="M141" s="1"/>
      <c r="N141" s="15">
        <f>SUM(N129:N131)</f>
        <v>126186603</v>
      </c>
      <c r="O141" s="15" t="s">
        <v>120</v>
      </c>
      <c r="P141" s="25"/>
      <c r="R141" s="1"/>
      <c r="S141" s="1"/>
      <c r="T141" s="1"/>
      <c r="U141" s="1"/>
      <c r="V141" s="1"/>
      <c r="W141" s="1"/>
      <c r="X141" s="1"/>
      <c r="Y141" s="1"/>
      <c r="Z141" s="1"/>
      <c r="AA141" s="1"/>
      <c r="AB141" s="1"/>
      <c r="AC141" s="1"/>
      <c r="AD141" s="1"/>
      <c r="AE141" s="1"/>
      <c r="AF141" s="1"/>
      <c r="AG141" s="1"/>
      <c r="AH141" s="1"/>
      <c r="AI141" s="1"/>
      <c r="AJ141" s="1"/>
    </row>
    <row r="142" spans="1:36" s="2" customFormat="1" x14ac:dyDescent="0.2">
      <c r="A142" s="26" t="s">
        <v>83</v>
      </c>
      <c r="B142" s="1"/>
      <c r="C142" s="1"/>
      <c r="D142" s="1"/>
      <c r="E142" s="1"/>
      <c r="F142" s="1"/>
      <c r="G142" s="1"/>
      <c r="H142" s="1"/>
      <c r="I142" s="1"/>
      <c r="J142" s="1"/>
      <c r="K142" s="1"/>
      <c r="L142" s="1"/>
      <c r="M142" s="1"/>
      <c r="N142" s="15">
        <f>'TBWP_OP8 part 1_CORE&amp;STAR'!N129</f>
        <v>126186603</v>
      </c>
      <c r="O142" s="15" t="s">
        <v>84</v>
      </c>
      <c r="P142" s="1"/>
      <c r="R142" s="1"/>
      <c r="S142" s="1"/>
      <c r="T142" s="1"/>
      <c r="U142" s="1"/>
      <c r="V142" s="1"/>
      <c r="W142" s="1"/>
      <c r="X142" s="1"/>
      <c r="Y142" s="1"/>
      <c r="Z142" s="1"/>
      <c r="AA142" s="1"/>
      <c r="AB142" s="1"/>
      <c r="AC142" s="1"/>
      <c r="AD142" s="1"/>
      <c r="AE142" s="1"/>
      <c r="AF142" s="1"/>
      <c r="AG142" s="1"/>
      <c r="AH142" s="1"/>
      <c r="AI142" s="1"/>
      <c r="AJ142" s="1"/>
    </row>
    <row r="143" spans="1:36" s="2" customFormat="1" x14ac:dyDescent="0.2">
      <c r="A143" s="26" t="s">
        <v>85</v>
      </c>
      <c r="B143" s="1"/>
      <c r="C143" s="1"/>
      <c r="D143" s="1"/>
      <c r="E143" s="1"/>
      <c r="F143" s="1"/>
      <c r="G143" s="1"/>
      <c r="H143" s="1"/>
      <c r="I143" s="1"/>
      <c r="J143" s="1"/>
      <c r="K143" s="1"/>
      <c r="L143" s="1"/>
      <c r="M143" s="1"/>
      <c r="N143" s="229">
        <f>N141-N142</f>
        <v>0</v>
      </c>
      <c r="O143" s="15" t="s">
        <v>86</v>
      </c>
      <c r="P143" s="1"/>
      <c r="R143" s="1"/>
      <c r="S143" s="1"/>
      <c r="T143" s="1"/>
      <c r="U143" s="1"/>
      <c r="V143" s="1"/>
      <c r="W143" s="1"/>
      <c r="X143" s="1"/>
      <c r="Y143" s="1"/>
      <c r="Z143" s="1"/>
      <c r="AA143" s="1"/>
      <c r="AB143" s="1"/>
      <c r="AC143" s="1"/>
      <c r="AD143" s="1"/>
      <c r="AE143" s="1"/>
      <c r="AF143" s="1"/>
      <c r="AG143" s="1"/>
      <c r="AH143" s="1"/>
      <c r="AI143" s="1"/>
      <c r="AJ143" s="1"/>
    </row>
    <row r="144" spans="1:36" s="2" customFormat="1" x14ac:dyDescent="0.2">
      <c r="A144" s="27" t="s">
        <v>87</v>
      </c>
      <c r="B144" s="1"/>
      <c r="C144" s="1"/>
      <c r="D144" s="1"/>
      <c r="E144" s="1"/>
      <c r="F144" s="1"/>
      <c r="G144" s="1"/>
      <c r="H144" s="1"/>
      <c r="I144" s="1"/>
      <c r="J144" s="1"/>
      <c r="K144" s="1"/>
      <c r="L144" s="1"/>
      <c r="M144" s="1"/>
      <c r="N144" s="1"/>
      <c r="O144" s="1"/>
      <c r="P144" s="1"/>
      <c r="R144" s="1"/>
      <c r="S144" s="1"/>
      <c r="T144" s="1"/>
      <c r="U144" s="1"/>
      <c r="V144" s="1"/>
      <c r="W144" s="1"/>
      <c r="X144" s="1"/>
      <c r="Y144" s="1"/>
      <c r="Z144" s="1"/>
      <c r="AA144" s="1"/>
      <c r="AB144" s="1"/>
      <c r="AC144" s="1"/>
      <c r="AD144" s="1"/>
      <c r="AE144" s="1"/>
      <c r="AF144" s="1"/>
      <c r="AG144" s="1"/>
      <c r="AH144" s="1"/>
      <c r="AI144" s="1"/>
      <c r="AJ144" s="1"/>
    </row>
    <row r="145" spans="1:36" s="2" customFormat="1" x14ac:dyDescent="0.2">
      <c r="A145" s="27" t="s">
        <v>88</v>
      </c>
      <c r="B145" s="1"/>
      <c r="C145" s="1"/>
      <c r="D145" s="1"/>
      <c r="E145" s="1"/>
      <c r="F145" s="1"/>
      <c r="G145" s="1"/>
      <c r="H145" s="1"/>
      <c r="I145" s="1"/>
      <c r="J145" s="1"/>
      <c r="K145" s="1"/>
      <c r="L145" s="1"/>
      <c r="M145" s="1"/>
      <c r="N145" s="1"/>
      <c r="O145" s="1"/>
      <c r="P145" s="1"/>
      <c r="R145" s="1"/>
      <c r="S145" s="1"/>
      <c r="T145" s="1"/>
      <c r="U145" s="1"/>
      <c r="V145" s="1"/>
      <c r="W145" s="1"/>
      <c r="X145" s="1"/>
      <c r="Y145" s="1"/>
      <c r="Z145" s="1"/>
      <c r="AA145" s="1"/>
      <c r="AB145" s="1"/>
      <c r="AC145" s="1"/>
      <c r="AD145" s="1"/>
      <c r="AE145" s="1"/>
      <c r="AF145" s="1"/>
      <c r="AG145" s="1"/>
      <c r="AH145" s="1"/>
      <c r="AI145" s="1"/>
      <c r="AJ145" s="1"/>
    </row>
    <row r="146" spans="1:36" s="2" customFormat="1" x14ac:dyDescent="0.2">
      <c r="A146" s="27" t="s">
        <v>89</v>
      </c>
      <c r="B146" s="1"/>
      <c r="C146" s="1"/>
      <c r="D146" s="1"/>
      <c r="E146" s="1"/>
      <c r="F146" s="1"/>
      <c r="G146" s="1"/>
      <c r="H146" s="1"/>
      <c r="I146" s="1"/>
      <c r="J146" s="1"/>
      <c r="K146" s="1"/>
      <c r="L146" s="1"/>
      <c r="M146" s="1"/>
      <c r="N146" s="1"/>
      <c r="O146" s="1"/>
      <c r="P146" s="1"/>
      <c r="R146" s="1"/>
      <c r="S146" s="1"/>
      <c r="T146" s="1"/>
      <c r="U146" s="1"/>
      <c r="V146" s="1"/>
      <c r="W146" s="1"/>
      <c r="X146" s="1"/>
      <c r="Y146" s="1"/>
      <c r="Z146" s="1"/>
      <c r="AA146" s="1"/>
      <c r="AB146" s="1"/>
      <c r="AC146" s="1"/>
      <c r="AD146" s="1"/>
      <c r="AE146" s="1"/>
      <c r="AF146" s="1"/>
      <c r="AG146" s="1"/>
      <c r="AH146" s="1"/>
      <c r="AI146" s="1"/>
      <c r="AJ146" s="1"/>
    </row>
    <row r="147" spans="1:36" s="2" customFormat="1" x14ac:dyDescent="0.2">
      <c r="A147" s="27" t="s">
        <v>90</v>
      </c>
      <c r="B147" s="1"/>
      <c r="C147" s="1"/>
      <c r="D147" s="1"/>
      <c r="E147" s="1"/>
      <c r="F147" s="1"/>
      <c r="G147" s="1"/>
      <c r="H147" s="1"/>
      <c r="I147" s="1"/>
      <c r="J147" s="1"/>
      <c r="K147" s="1"/>
      <c r="L147" s="1"/>
      <c r="M147" s="1"/>
      <c r="N147" s="1"/>
      <c r="O147" s="1"/>
      <c r="P147" s="1"/>
      <c r="R147" s="1"/>
      <c r="S147" s="1"/>
      <c r="T147" s="1"/>
      <c r="U147" s="1"/>
      <c r="V147" s="1"/>
      <c r="W147" s="1"/>
      <c r="X147" s="1"/>
      <c r="Y147" s="1"/>
      <c r="Z147" s="1"/>
      <c r="AA147" s="1"/>
      <c r="AB147" s="1"/>
      <c r="AC147" s="1"/>
      <c r="AD147" s="1"/>
      <c r="AE147" s="1"/>
      <c r="AF147" s="1"/>
      <c r="AG147" s="1"/>
      <c r="AH147" s="1"/>
      <c r="AI147" s="1"/>
      <c r="AJ147" s="1"/>
    </row>
    <row r="148" spans="1:36" s="2" customFormat="1" x14ac:dyDescent="0.2">
      <c r="A148" s="27" t="s">
        <v>91</v>
      </c>
      <c r="B148" s="1"/>
      <c r="C148" s="1"/>
      <c r="D148" s="1"/>
      <c r="E148" s="1"/>
      <c r="F148" s="1"/>
      <c r="G148" s="1"/>
      <c r="H148" s="1"/>
      <c r="I148" s="1"/>
      <c r="J148" s="1"/>
      <c r="K148" s="1"/>
      <c r="L148" s="1"/>
      <c r="M148" s="1"/>
      <c r="N148" s="1"/>
      <c r="O148" s="1"/>
      <c r="P148" s="1"/>
      <c r="R148" s="1"/>
      <c r="S148" s="1"/>
      <c r="T148" s="1"/>
      <c r="U148" s="1"/>
      <c r="V148" s="1"/>
      <c r="W148" s="1"/>
      <c r="X148" s="1"/>
      <c r="Y148" s="1"/>
      <c r="Z148" s="1"/>
      <c r="AA148" s="1"/>
      <c r="AB148" s="1"/>
      <c r="AC148" s="1"/>
      <c r="AD148" s="1"/>
      <c r="AE148" s="1"/>
      <c r="AF148" s="1"/>
      <c r="AG148" s="1"/>
      <c r="AH148" s="1"/>
      <c r="AI148" s="1"/>
      <c r="AJ148" s="1"/>
    </row>
    <row r="149" spans="1:36" s="2" customFormat="1" x14ac:dyDescent="0.2">
      <c r="A149" s="27" t="s">
        <v>92</v>
      </c>
      <c r="B149" s="1"/>
      <c r="C149" s="1"/>
      <c r="D149" s="1"/>
      <c r="E149" s="1"/>
      <c r="F149" s="1"/>
      <c r="G149" s="1"/>
      <c r="H149" s="1"/>
      <c r="I149" s="1"/>
      <c r="J149" s="1"/>
      <c r="K149" s="1"/>
      <c r="L149" s="1"/>
      <c r="M149" s="1"/>
      <c r="N149" s="1"/>
      <c r="O149" s="1"/>
      <c r="P149" s="1"/>
      <c r="R149" s="1"/>
      <c r="S149" s="1"/>
      <c r="T149" s="1"/>
      <c r="U149" s="1"/>
      <c r="V149" s="1"/>
      <c r="W149" s="1"/>
      <c r="X149" s="1"/>
      <c r="Y149" s="1"/>
      <c r="Z149" s="1"/>
      <c r="AA149" s="1"/>
      <c r="AB149" s="1"/>
      <c r="AC149" s="1"/>
      <c r="AD149" s="1"/>
      <c r="AE149" s="1"/>
      <c r="AF149" s="1"/>
      <c r="AG149" s="1"/>
      <c r="AH149" s="1"/>
      <c r="AI149" s="1"/>
      <c r="AJ149" s="1"/>
    </row>
    <row r="150" spans="1:36" s="2" customFormat="1" x14ac:dyDescent="0.2">
      <c r="A150" s="27" t="s">
        <v>93</v>
      </c>
      <c r="B150" s="1"/>
      <c r="C150" s="1"/>
      <c r="D150" s="1"/>
      <c r="E150" s="1"/>
      <c r="F150" s="1"/>
      <c r="G150" s="1"/>
      <c r="H150" s="1"/>
      <c r="I150" s="1"/>
      <c r="J150" s="1"/>
      <c r="K150" s="1"/>
      <c r="L150" s="1"/>
      <c r="M150" s="1"/>
      <c r="N150" s="1"/>
      <c r="O150" s="1"/>
      <c r="P150" s="1"/>
      <c r="R150" s="1"/>
      <c r="S150" s="1"/>
      <c r="T150" s="1"/>
      <c r="U150" s="1"/>
      <c r="V150" s="1"/>
      <c r="W150" s="1"/>
      <c r="X150" s="1"/>
      <c r="Y150" s="1"/>
      <c r="Z150" s="1"/>
      <c r="AA150" s="1"/>
      <c r="AB150" s="1"/>
      <c r="AC150" s="1"/>
      <c r="AD150" s="1"/>
      <c r="AE150" s="1"/>
      <c r="AF150" s="1"/>
      <c r="AG150" s="1"/>
      <c r="AH150" s="1"/>
      <c r="AI150" s="1"/>
      <c r="AJ150" s="1"/>
    </row>
    <row r="151" spans="1:36" s="2" customFormat="1" x14ac:dyDescent="0.2">
      <c r="A151" s="27" t="s">
        <v>94</v>
      </c>
      <c r="B151" s="1"/>
      <c r="C151" s="1"/>
      <c r="D151" s="1"/>
      <c r="E151" s="1"/>
      <c r="F151" s="1"/>
      <c r="G151" s="1"/>
      <c r="H151" s="1"/>
      <c r="I151" s="1"/>
      <c r="J151" s="1"/>
      <c r="K151" s="1"/>
      <c r="L151" s="1"/>
      <c r="M151" s="1"/>
      <c r="N151" s="1"/>
      <c r="O151" s="1"/>
      <c r="P151" s="1"/>
      <c r="R151" s="1"/>
      <c r="S151" s="1"/>
      <c r="T151" s="1"/>
      <c r="U151" s="1"/>
      <c r="V151" s="1"/>
      <c r="W151" s="1"/>
      <c r="X151" s="1"/>
      <c r="Y151" s="1"/>
      <c r="Z151" s="1"/>
      <c r="AA151" s="1"/>
      <c r="AB151" s="1"/>
      <c r="AC151" s="1"/>
      <c r="AD151" s="1"/>
      <c r="AE151" s="1"/>
      <c r="AF151" s="1"/>
      <c r="AG151" s="1"/>
      <c r="AH151" s="1"/>
      <c r="AI151" s="1"/>
      <c r="AJ151" s="1"/>
    </row>
    <row r="152" spans="1:36" s="2" customFormat="1" x14ac:dyDescent="0.2">
      <c r="A152" s="27" t="s">
        <v>95</v>
      </c>
      <c r="B152" s="1"/>
      <c r="C152" s="1"/>
      <c r="D152" s="1"/>
      <c r="E152" s="1"/>
      <c r="F152" s="1"/>
      <c r="G152" s="1"/>
      <c r="H152" s="1"/>
      <c r="I152" s="1"/>
      <c r="J152" s="1"/>
      <c r="K152" s="1"/>
      <c r="L152" s="1"/>
      <c r="M152" s="1"/>
      <c r="N152" s="1"/>
      <c r="O152" s="1"/>
      <c r="P152" s="1"/>
      <c r="R152" s="1"/>
      <c r="S152" s="1"/>
      <c r="T152" s="1"/>
      <c r="U152" s="1"/>
      <c r="V152" s="1"/>
      <c r="W152" s="1"/>
      <c r="X152" s="1"/>
      <c r="Y152" s="1"/>
      <c r="Z152" s="1"/>
      <c r="AA152" s="1"/>
      <c r="AB152" s="1"/>
      <c r="AC152" s="1"/>
      <c r="AD152" s="1"/>
      <c r="AE152" s="1"/>
      <c r="AF152" s="1"/>
      <c r="AG152" s="1"/>
      <c r="AH152" s="1"/>
      <c r="AI152" s="1"/>
      <c r="AJ152" s="1"/>
    </row>
    <row r="153" spans="1:36" s="2" customFormat="1" x14ac:dyDescent="0.2">
      <c r="A153" s="27" t="s">
        <v>96</v>
      </c>
      <c r="B153" s="1"/>
      <c r="C153" s="1"/>
      <c r="D153" s="1"/>
      <c r="E153" s="1"/>
      <c r="F153" s="1"/>
      <c r="G153" s="1"/>
      <c r="H153" s="1"/>
      <c r="I153" s="1"/>
      <c r="J153" s="1"/>
      <c r="K153" s="1"/>
      <c r="L153" s="1"/>
      <c r="M153" s="1"/>
      <c r="N153" s="1"/>
      <c r="O153" s="1"/>
      <c r="P153" s="1"/>
      <c r="R153" s="1"/>
      <c r="S153" s="1"/>
      <c r="T153" s="1"/>
      <c r="U153" s="1"/>
      <c r="V153" s="1"/>
      <c r="W153" s="1"/>
      <c r="X153" s="1"/>
      <c r="Y153" s="1"/>
      <c r="Z153" s="1"/>
      <c r="AA153" s="1"/>
      <c r="AB153" s="1"/>
      <c r="AC153" s="1"/>
      <c r="AD153" s="1"/>
      <c r="AE153" s="1"/>
      <c r="AF153" s="1"/>
      <c r="AG153" s="1"/>
      <c r="AH153" s="1"/>
      <c r="AI153" s="1"/>
      <c r="AJ153" s="1"/>
    </row>
    <row r="154" spans="1:36" s="2" customFormat="1" x14ac:dyDescent="0.2">
      <c r="A154" s="27" t="s">
        <v>97</v>
      </c>
      <c r="B154" s="1"/>
      <c r="C154" s="1"/>
      <c r="D154" s="1"/>
      <c r="E154" s="1"/>
      <c r="F154" s="1"/>
      <c r="G154" s="1"/>
      <c r="H154" s="1"/>
      <c r="I154" s="1"/>
      <c r="J154" s="1"/>
      <c r="K154" s="1"/>
      <c r="L154" s="1"/>
      <c r="M154" s="1"/>
      <c r="N154" s="1"/>
      <c r="O154" s="1"/>
      <c r="P154" s="1"/>
      <c r="R154" s="1"/>
      <c r="S154" s="1"/>
      <c r="T154" s="1"/>
      <c r="U154" s="1"/>
      <c r="V154" s="1"/>
      <c r="W154" s="1"/>
      <c r="X154" s="1"/>
      <c r="Y154" s="1"/>
      <c r="Z154" s="1"/>
      <c r="AA154" s="1"/>
      <c r="AB154" s="1"/>
      <c r="AC154" s="1"/>
      <c r="AD154" s="1"/>
      <c r="AE154" s="1"/>
      <c r="AF154" s="1"/>
      <c r="AG154" s="1"/>
      <c r="AH154" s="1"/>
      <c r="AI154" s="1"/>
      <c r="AJ154" s="1"/>
    </row>
    <row r="155" spans="1:36" s="2" customFormat="1" x14ac:dyDescent="0.2">
      <c r="A155" s="27" t="s">
        <v>98</v>
      </c>
      <c r="B155" s="1"/>
      <c r="C155" s="1"/>
      <c r="D155" s="1"/>
      <c r="E155" s="1"/>
      <c r="F155" s="1"/>
      <c r="G155" s="1"/>
      <c r="H155" s="1"/>
      <c r="I155" s="1"/>
      <c r="J155" s="1"/>
      <c r="K155" s="1"/>
      <c r="L155" s="1"/>
      <c r="M155" s="1"/>
      <c r="N155" s="1"/>
      <c r="O155" s="1"/>
      <c r="P155" s="1"/>
      <c r="R155" s="1"/>
      <c r="S155" s="1"/>
      <c r="T155" s="1"/>
      <c r="U155" s="1"/>
      <c r="V155" s="1"/>
      <c r="W155" s="1"/>
      <c r="X155" s="1"/>
      <c r="Y155" s="1"/>
      <c r="Z155" s="1"/>
      <c r="AA155" s="1"/>
      <c r="AB155" s="1"/>
      <c r="AC155" s="1"/>
      <c r="AD155" s="1"/>
      <c r="AE155" s="1"/>
      <c r="AF155" s="1"/>
      <c r="AG155" s="1"/>
      <c r="AH155" s="1"/>
      <c r="AI155" s="1"/>
      <c r="AJ155" s="1"/>
    </row>
    <row r="156" spans="1:36" s="2" customFormat="1" x14ac:dyDescent="0.2">
      <c r="A156" s="27" t="s">
        <v>99</v>
      </c>
      <c r="B156" s="1"/>
      <c r="C156" s="1"/>
      <c r="D156" s="1"/>
      <c r="E156" s="1"/>
      <c r="F156" s="1"/>
      <c r="G156" s="1"/>
      <c r="H156" s="1"/>
      <c r="I156" s="1"/>
      <c r="J156" s="1"/>
      <c r="K156" s="1"/>
      <c r="L156" s="1"/>
      <c r="M156" s="1"/>
      <c r="N156" s="1"/>
      <c r="O156" s="1"/>
      <c r="P156" s="1"/>
      <c r="R156" s="1"/>
      <c r="S156" s="1"/>
      <c r="T156" s="1"/>
      <c r="U156" s="1"/>
      <c r="V156" s="1"/>
      <c r="W156" s="1"/>
      <c r="X156" s="1"/>
      <c r="Y156" s="1"/>
      <c r="Z156" s="1"/>
      <c r="AA156" s="1"/>
      <c r="AB156" s="1"/>
      <c r="AC156" s="1"/>
      <c r="AD156" s="1"/>
      <c r="AE156" s="1"/>
      <c r="AF156" s="1"/>
      <c r="AG156" s="1"/>
      <c r="AH156" s="1"/>
      <c r="AI156" s="1"/>
      <c r="AJ156" s="1"/>
    </row>
    <row r="157" spans="1:36" x14ac:dyDescent="0.2">
      <c r="A157" s="27" t="s">
        <v>100</v>
      </c>
    </row>
    <row r="158" spans="1:36" x14ac:dyDescent="0.2">
      <c r="A158" s="27" t="s">
        <v>101</v>
      </c>
    </row>
    <row r="159" spans="1:36" x14ac:dyDescent="0.2">
      <c r="A159" s="27" t="s">
        <v>102</v>
      </c>
    </row>
    <row r="160" spans="1:36" x14ac:dyDescent="0.2">
      <c r="A160" s="27" t="s">
        <v>103</v>
      </c>
    </row>
    <row r="161" spans="1:1" x14ac:dyDescent="0.2">
      <c r="A161" s="27" t="s">
        <v>104</v>
      </c>
    </row>
    <row r="162" spans="1:1" x14ac:dyDescent="0.2">
      <c r="A162" s="27" t="s">
        <v>105</v>
      </c>
    </row>
  </sheetData>
  <sheetProtection formatCells="0" formatColumns="0" formatRows="0" insertColumns="0" insertRows="0" insertHyperlinks="0" deleteColumns="0" deleteRows="0" sort="0" autoFilter="0" pivotTables="0"/>
  <mergeCells count="71">
    <mergeCell ref="A128:I128"/>
    <mergeCell ref="A129:I129"/>
    <mergeCell ref="B110:I110"/>
    <mergeCell ref="B111:B126"/>
    <mergeCell ref="C111:C125"/>
    <mergeCell ref="D111:D125"/>
    <mergeCell ref="E111:E125"/>
    <mergeCell ref="C126:I126"/>
    <mergeCell ref="B92:I92"/>
    <mergeCell ref="A93:I93"/>
    <mergeCell ref="A94:A127"/>
    <mergeCell ref="B94:B109"/>
    <mergeCell ref="C94:C108"/>
    <mergeCell ref="D94:D108"/>
    <mergeCell ref="E94:E108"/>
    <mergeCell ref="C109:I109"/>
    <mergeCell ref="A71:A92"/>
    <mergeCell ref="B71:B80"/>
    <mergeCell ref="C71:C79"/>
    <mergeCell ref="D71:D79"/>
    <mergeCell ref="E71:E79"/>
    <mergeCell ref="C80:I80"/>
    <mergeCell ref="B127:I127"/>
    <mergeCell ref="B81:I81"/>
    <mergeCell ref="A70:I70"/>
    <mergeCell ref="E82:E90"/>
    <mergeCell ref="B82:B91"/>
    <mergeCell ref="C82:C90"/>
    <mergeCell ref="D82:D90"/>
    <mergeCell ref="C91:I91"/>
    <mergeCell ref="A47:I47"/>
    <mergeCell ref="A48:A69"/>
    <mergeCell ref="B48:B57"/>
    <mergeCell ref="C48:C56"/>
    <mergeCell ref="D48:D56"/>
    <mergeCell ref="E48:E56"/>
    <mergeCell ref="C57:I57"/>
    <mergeCell ref="B58:I58"/>
    <mergeCell ref="B59:B68"/>
    <mergeCell ref="E59:E67"/>
    <mergeCell ref="C68:I68"/>
    <mergeCell ref="B69:I69"/>
    <mergeCell ref="C59:C67"/>
    <mergeCell ref="D59:D67"/>
    <mergeCell ref="C36:C44"/>
    <mergeCell ref="D36:D44"/>
    <mergeCell ref="E36:E44"/>
    <mergeCell ref="C45:I45"/>
    <mergeCell ref="B46:I46"/>
    <mergeCell ref="B23:I23"/>
    <mergeCell ref="A24:I24"/>
    <mergeCell ref="A25:A46"/>
    <mergeCell ref="B25:B34"/>
    <mergeCell ref="C25:C33"/>
    <mergeCell ref="D25:D33"/>
    <mergeCell ref="E25:E33"/>
    <mergeCell ref="C34:I34"/>
    <mergeCell ref="A4:A23"/>
    <mergeCell ref="B4:B12"/>
    <mergeCell ref="C4:C11"/>
    <mergeCell ref="D4:D11"/>
    <mergeCell ref="E4:E11"/>
    <mergeCell ref="C12:I12"/>
    <mergeCell ref="B35:I35"/>
    <mergeCell ref="B36:B45"/>
    <mergeCell ref="B13:I13"/>
    <mergeCell ref="B14:B22"/>
    <mergeCell ref="C14:C21"/>
    <mergeCell ref="D14:D21"/>
    <mergeCell ref="E14:E21"/>
    <mergeCell ref="C22:I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9F9AA-7365-46D4-8290-7852518E0812}">
  <sheetPr>
    <tabColor theme="6" tint="0.79998168889431442"/>
  </sheetPr>
  <dimension ref="A1:AM161"/>
  <sheetViews>
    <sheetView topLeftCell="H1" zoomScale="70" zoomScaleNormal="70" workbookViewId="0">
      <pane xSplit="5" ySplit="3" topLeftCell="M4" activePane="bottomRight" state="frozen"/>
      <selection pane="topRight" activeCell="M4" sqref="M4"/>
      <selection pane="bottomLeft" activeCell="M4" sqref="M4"/>
      <selection pane="bottomRight"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9" width="9.5703125" style="1" customWidth="1"/>
    <col min="10" max="10" width="8.7109375" style="1"/>
    <col min="11" max="11" width="18.28515625" style="1" customWidth="1"/>
    <col min="12" max="12" width="9.5703125" style="1" customWidth="1"/>
    <col min="13" max="13" width="11.85546875" style="1" customWidth="1"/>
    <col min="14" max="17" width="12.5703125" style="1" bestFit="1" customWidth="1"/>
    <col min="18" max="18" width="11.85546875" style="1" bestFit="1" customWidth="1"/>
    <col min="19" max="19" width="6.5703125" style="1" bestFit="1" customWidth="1"/>
    <col min="20" max="20" width="9.140625" style="2" customWidth="1"/>
    <col min="21" max="21" width="14.7109375" style="1" bestFit="1" customWidth="1"/>
    <col min="22" max="22" width="14.28515625" style="1" bestFit="1" customWidth="1"/>
    <col min="23" max="23" width="9.85546875" style="1" bestFit="1" customWidth="1"/>
    <col min="24" max="24" width="14.28515625" style="1" bestFit="1" customWidth="1"/>
    <col min="25" max="25" width="13.85546875" style="1" customWidth="1"/>
    <col min="26" max="26" width="14.7109375" style="1" bestFit="1" customWidth="1"/>
    <col min="27" max="27" width="9.85546875" style="1" customWidth="1"/>
    <col min="28" max="28" width="12.28515625" style="1" customWidth="1"/>
    <col min="29" max="29" width="15.28515625" style="1" bestFit="1" customWidth="1"/>
    <col min="30" max="31" width="14.28515625" style="1" bestFit="1" customWidth="1"/>
    <col min="32" max="32" width="12.5703125" style="1" bestFit="1" customWidth="1"/>
    <col min="33" max="33" width="11.5703125" style="1" bestFit="1" customWidth="1"/>
    <col min="34" max="38" width="14.28515625" style="1" bestFit="1" customWidth="1"/>
    <col min="39" max="39" width="8.7109375" style="1" customWidth="1"/>
    <col min="40" max="40" width="12.5703125" style="1" bestFit="1" customWidth="1"/>
    <col min="41" max="16384" width="8.7109375" style="1"/>
  </cols>
  <sheetData>
    <row r="1" spans="1:39" x14ac:dyDescent="0.2">
      <c r="L1" s="209" t="s">
        <v>106</v>
      </c>
      <c r="M1" s="210">
        <v>0</v>
      </c>
      <c r="N1" s="210">
        <v>0.4</v>
      </c>
      <c r="O1" s="210">
        <v>0.4</v>
      </c>
      <c r="P1" s="210">
        <v>0.2</v>
      </c>
      <c r="Q1" s="210">
        <f>SUM(M1:P1)</f>
        <v>1</v>
      </c>
    </row>
    <row r="2" spans="1:39" ht="12.75" thickBot="1" x14ac:dyDescent="0.25">
      <c r="L2" s="209" t="s">
        <v>107</v>
      </c>
      <c r="M2" s="211">
        <v>0</v>
      </c>
      <c r="N2" s="211">
        <v>0.34</v>
      </c>
      <c r="O2" s="211">
        <v>0.33</v>
      </c>
      <c r="P2" s="211">
        <v>0.33</v>
      </c>
      <c r="Q2" s="210">
        <f>SUM(M2:P2)</f>
        <v>1</v>
      </c>
    </row>
    <row r="3" spans="1:39" s="5" customFormat="1" ht="52.5" customHeight="1" thickBot="1" x14ac:dyDescent="0.25">
      <c r="A3" s="232" t="s">
        <v>0</v>
      </c>
      <c r="B3" s="232" t="s">
        <v>1</v>
      </c>
      <c r="C3" s="232" t="s">
        <v>2</v>
      </c>
      <c r="D3" s="232" t="s">
        <v>3</v>
      </c>
      <c r="E3" s="232" t="s">
        <v>4</v>
      </c>
      <c r="F3" s="232" t="s">
        <v>121</v>
      </c>
      <c r="G3" s="232" t="s">
        <v>122</v>
      </c>
      <c r="H3" s="232" t="s">
        <v>123</v>
      </c>
      <c r="I3" s="232" t="s">
        <v>5</v>
      </c>
      <c r="J3" s="232" t="s">
        <v>6</v>
      </c>
      <c r="K3" s="232" t="s">
        <v>7</v>
      </c>
      <c r="L3" s="232" t="s">
        <v>8</v>
      </c>
      <c r="M3" s="232" t="s">
        <v>9</v>
      </c>
      <c r="N3" s="232" t="s">
        <v>10</v>
      </c>
      <c r="O3" s="232" t="s">
        <v>11</v>
      </c>
      <c r="P3" s="232" t="s">
        <v>12</v>
      </c>
      <c r="Q3" s="233" t="s">
        <v>13</v>
      </c>
      <c r="R3" s="232" t="s">
        <v>14</v>
      </c>
      <c r="S3" s="5" t="s">
        <v>124</v>
      </c>
      <c r="T3" s="212"/>
      <c r="U3" s="264" t="s">
        <v>125</v>
      </c>
      <c r="V3" s="264"/>
    </row>
    <row r="4" spans="1:39" ht="21.95" customHeight="1" thickBot="1" x14ac:dyDescent="0.3">
      <c r="A4" s="265" t="s">
        <v>15</v>
      </c>
      <c r="B4" s="268" t="s">
        <v>16</v>
      </c>
      <c r="C4" s="268" t="s">
        <v>17</v>
      </c>
      <c r="D4" s="268">
        <v>62000</v>
      </c>
      <c r="E4" s="268">
        <v>10003</v>
      </c>
      <c r="F4" s="235">
        <v>10180</v>
      </c>
      <c r="G4" s="235" t="s">
        <v>126</v>
      </c>
      <c r="H4" s="235" t="s">
        <v>127</v>
      </c>
      <c r="I4" s="235" t="s">
        <v>18</v>
      </c>
      <c r="J4" s="236" t="s">
        <v>19</v>
      </c>
      <c r="K4" s="235">
        <v>71200</v>
      </c>
      <c r="L4" s="235" t="s">
        <v>19</v>
      </c>
      <c r="M4" s="237">
        <f>SUM(budget_Brazil:budget_Egypt!M4)</f>
        <v>0</v>
      </c>
      <c r="N4" s="237">
        <f>SUM(budget_Brazil:budget_Egypt!N4)</f>
        <v>0</v>
      </c>
      <c r="O4" s="237">
        <f>SUM(budget_Brazil:budget_Egypt!O4)</f>
        <v>0</v>
      </c>
      <c r="P4" s="237">
        <f>SUM(budget_Brazil:budget_Egypt!P4)</f>
        <v>0</v>
      </c>
      <c r="Q4" s="237">
        <f>SUM(M4:P4)</f>
        <v>0</v>
      </c>
      <c r="R4" s="238">
        <v>2</v>
      </c>
      <c r="S4" s="9">
        <f t="shared" ref="S4:S11" si="0">VLOOKUP(K4, rpacoreratio, 3, FALSE)*VLOOKUP(K4, rpacoreratio, 8, FALSE)</f>
        <v>0</v>
      </c>
      <c r="U4" s="239" t="s">
        <v>128</v>
      </c>
      <c r="V4" s="240">
        <f>SUM(budget_Brazil:budget_Egypt!V4)</f>
        <v>1827272.72</v>
      </c>
      <c r="X4" s="1">
        <v>71200</v>
      </c>
    </row>
    <row r="5" spans="1:39" ht="21.95" customHeight="1" thickBot="1" x14ac:dyDescent="0.3">
      <c r="A5" s="266"/>
      <c r="B5" s="268"/>
      <c r="C5" s="268"/>
      <c r="D5" s="268"/>
      <c r="E5" s="268"/>
      <c r="F5" s="235">
        <v>10180</v>
      </c>
      <c r="G5" s="235" t="s">
        <v>126</v>
      </c>
      <c r="H5" s="235" t="s">
        <v>127</v>
      </c>
      <c r="I5" s="235" t="s">
        <v>18</v>
      </c>
      <c r="J5" s="236" t="s">
        <v>20</v>
      </c>
      <c r="K5" s="235">
        <v>71300</v>
      </c>
      <c r="L5" s="235" t="s">
        <v>20</v>
      </c>
      <c r="M5" s="237">
        <f>SUM(budget_Brazil:budget_Egypt!M5)</f>
        <v>0</v>
      </c>
      <c r="N5" s="237">
        <f>SUM(budget_Brazil:budget_Egypt!N5)</f>
        <v>585</v>
      </c>
      <c r="O5" s="237">
        <f>SUM(budget_Brazil:budget_Egypt!O5)</f>
        <v>567</v>
      </c>
      <c r="P5" s="237">
        <f>SUM(budget_Brazil:budget_Egypt!P5)</f>
        <v>570</v>
      </c>
      <c r="Q5" s="237">
        <f t="shared" ref="Q5:Q11" si="1">SUM(M5:P5)</f>
        <v>1722</v>
      </c>
      <c r="R5" s="238">
        <v>3</v>
      </c>
      <c r="S5" s="9">
        <f t="shared" si="0"/>
        <v>1.1484623528952263E-2</v>
      </c>
      <c r="U5" s="239" t="s">
        <v>129</v>
      </c>
      <c r="V5" s="240">
        <f>SUM(budget_Brazil:budget_Egypt!V5)</f>
        <v>10334750</v>
      </c>
      <c r="X5" s="1">
        <v>71300</v>
      </c>
    </row>
    <row r="6" spans="1:39" ht="21.95" customHeight="1" thickBot="1" x14ac:dyDescent="0.3">
      <c r="A6" s="266"/>
      <c r="B6" s="268"/>
      <c r="C6" s="268"/>
      <c r="D6" s="268"/>
      <c r="E6" s="268"/>
      <c r="F6" s="235">
        <v>10180</v>
      </c>
      <c r="G6" s="235" t="s">
        <v>126</v>
      </c>
      <c r="H6" s="235" t="s">
        <v>127</v>
      </c>
      <c r="I6" s="235" t="s">
        <v>18</v>
      </c>
      <c r="J6" s="236" t="s">
        <v>21</v>
      </c>
      <c r="K6" s="235">
        <v>71400</v>
      </c>
      <c r="L6" s="235" t="s">
        <v>22</v>
      </c>
      <c r="M6" s="237">
        <f>SUM(budget_Brazil:budget_Egypt!M6)</f>
        <v>0</v>
      </c>
      <c r="N6" s="237">
        <f>SUM(budget_Brazil:budget_Egypt!N6)</f>
        <v>8997</v>
      </c>
      <c r="O6" s="237">
        <f>SUM(budget_Brazil:budget_Egypt!O6)</f>
        <v>8733</v>
      </c>
      <c r="P6" s="237">
        <f>SUM(budget_Brazil:budget_Egypt!P6)</f>
        <v>8730</v>
      </c>
      <c r="Q6" s="237">
        <f t="shared" si="1"/>
        <v>26460</v>
      </c>
      <c r="R6" s="238">
        <v>5</v>
      </c>
      <c r="S6" s="9">
        <f t="shared" si="0"/>
        <v>0.17640953291668729</v>
      </c>
      <c r="U6" s="239" t="s">
        <v>130</v>
      </c>
      <c r="V6" s="240">
        <f>SUM(budget_Brazil:budget_Egypt!V6)</f>
        <v>150000</v>
      </c>
      <c r="X6" s="1">
        <v>71400</v>
      </c>
    </row>
    <row r="7" spans="1:39" ht="21.95" customHeight="1" thickBot="1" x14ac:dyDescent="0.3">
      <c r="A7" s="266"/>
      <c r="B7" s="268"/>
      <c r="C7" s="268"/>
      <c r="D7" s="268"/>
      <c r="E7" s="268"/>
      <c r="F7" s="235">
        <v>10180</v>
      </c>
      <c r="G7" s="235" t="s">
        <v>126</v>
      </c>
      <c r="H7" s="235" t="s">
        <v>127</v>
      </c>
      <c r="I7" s="235" t="s">
        <v>18</v>
      </c>
      <c r="J7" s="236" t="s">
        <v>23</v>
      </c>
      <c r="K7" s="235">
        <v>71600</v>
      </c>
      <c r="L7" s="235" t="s">
        <v>23</v>
      </c>
      <c r="M7" s="237">
        <f>SUM(budget_Brazil:budget_Egypt!M7)</f>
        <v>0</v>
      </c>
      <c r="N7" s="237">
        <f>SUM(budget_Brazil:budget_Egypt!N7)</f>
        <v>957</v>
      </c>
      <c r="O7" s="237">
        <f>SUM(budget_Brazil:budget_Egypt!O7)</f>
        <v>930</v>
      </c>
      <c r="P7" s="237">
        <f>SUM(budget_Brazil:budget_Egypt!P7)</f>
        <v>927</v>
      </c>
      <c r="Q7" s="237">
        <f t="shared" si="1"/>
        <v>2814</v>
      </c>
      <c r="R7" s="238">
        <v>7</v>
      </c>
      <c r="S7" s="9">
        <f t="shared" si="0"/>
        <v>1.8765823245845751E-2</v>
      </c>
      <c r="U7" s="239" t="s">
        <v>131</v>
      </c>
      <c r="V7" s="240">
        <f>SUM(budget_Brazil:budget_Egypt!V7)</f>
        <v>3493044</v>
      </c>
      <c r="X7" s="1">
        <v>71600</v>
      </c>
    </row>
    <row r="8" spans="1:39" ht="21.95" customHeight="1" thickBot="1" x14ac:dyDescent="0.3">
      <c r="A8" s="266"/>
      <c r="B8" s="268"/>
      <c r="C8" s="268"/>
      <c r="D8" s="268"/>
      <c r="E8" s="268"/>
      <c r="F8" s="235">
        <v>10180</v>
      </c>
      <c r="G8" s="235" t="s">
        <v>126</v>
      </c>
      <c r="H8" s="235" t="s">
        <v>127</v>
      </c>
      <c r="I8" s="235" t="s">
        <v>18</v>
      </c>
      <c r="J8" s="236" t="s">
        <v>24</v>
      </c>
      <c r="K8" s="235">
        <v>72500</v>
      </c>
      <c r="L8" s="235" t="s">
        <v>25</v>
      </c>
      <c r="M8" s="237">
        <f>SUM(budget_Brazil:budget_Egypt!M8)</f>
        <v>0</v>
      </c>
      <c r="N8" s="237">
        <f>SUM(budget_Brazil:budget_Egypt!N8)</f>
        <v>36</v>
      </c>
      <c r="O8" s="237">
        <f>SUM(budget_Brazil:budget_Egypt!O8)</f>
        <v>36</v>
      </c>
      <c r="P8" s="237">
        <f>SUM(budget_Brazil:budget_Egypt!P8)</f>
        <v>36</v>
      </c>
      <c r="Q8" s="237">
        <f t="shared" si="1"/>
        <v>108</v>
      </c>
      <c r="R8" s="238">
        <v>10</v>
      </c>
      <c r="S8" s="9">
        <f t="shared" si="0"/>
        <v>7.2509589748529012E-4</v>
      </c>
      <c r="V8" s="241">
        <f>SUM(V4:V7)</f>
        <v>15805066.720000001</v>
      </c>
      <c r="X8" s="1">
        <v>72500</v>
      </c>
    </row>
    <row r="9" spans="1:39" ht="21.95" customHeight="1" thickBot="1" x14ac:dyDescent="0.25">
      <c r="A9" s="266"/>
      <c r="B9" s="268"/>
      <c r="C9" s="268"/>
      <c r="D9" s="268"/>
      <c r="E9" s="268"/>
      <c r="F9" s="235">
        <v>10180</v>
      </c>
      <c r="G9" s="235" t="s">
        <v>126</v>
      </c>
      <c r="H9" s="235" t="s">
        <v>127</v>
      </c>
      <c r="I9" s="235" t="s">
        <v>18</v>
      </c>
      <c r="J9" s="236" t="s">
        <v>26</v>
      </c>
      <c r="K9" s="235">
        <v>75700</v>
      </c>
      <c r="L9" s="235" t="s">
        <v>27</v>
      </c>
      <c r="M9" s="237">
        <f>SUM(budget_Brazil:budget_Egypt!M9)</f>
        <v>0</v>
      </c>
      <c r="N9" s="237">
        <f>SUM(budget_Brazil:budget_Egypt!N9)</f>
        <v>189</v>
      </c>
      <c r="O9" s="237">
        <f>SUM(budget_Brazil:budget_Egypt!O9)</f>
        <v>183</v>
      </c>
      <c r="P9" s="237">
        <f>SUM(budget_Brazil:budget_Egypt!P9)</f>
        <v>180</v>
      </c>
      <c r="Q9" s="237">
        <f t="shared" si="1"/>
        <v>552</v>
      </c>
      <c r="R9" s="238">
        <v>6</v>
      </c>
      <c r="S9" s="9">
        <f t="shared" si="0"/>
        <v>3.6708273653368421E-3</v>
      </c>
      <c r="X9" s="1">
        <v>75700</v>
      </c>
    </row>
    <row r="10" spans="1:39" ht="21.95" customHeight="1" thickBot="1" x14ac:dyDescent="0.25">
      <c r="A10" s="266"/>
      <c r="B10" s="268"/>
      <c r="C10" s="268"/>
      <c r="D10" s="268"/>
      <c r="E10" s="268"/>
      <c r="F10" s="235">
        <v>10180</v>
      </c>
      <c r="G10" s="235" t="s">
        <v>126</v>
      </c>
      <c r="H10" s="235" t="s">
        <v>127</v>
      </c>
      <c r="I10" s="235" t="s">
        <v>18</v>
      </c>
      <c r="J10" s="236" t="s">
        <v>28</v>
      </c>
      <c r="K10" s="235">
        <v>61200</v>
      </c>
      <c r="L10" s="235" t="s">
        <v>29</v>
      </c>
      <c r="M10" s="237">
        <f>SUM(budget_Brazil:budget_Egypt!M10)</f>
        <v>0</v>
      </c>
      <c r="N10" s="237">
        <f>SUM(budget_Brazil:budget_Egypt!N10)</f>
        <v>0</v>
      </c>
      <c r="O10" s="237">
        <f>SUM(budget_Brazil:budget_Egypt!O10)</f>
        <v>0</v>
      </c>
      <c r="P10" s="237">
        <f>SUM(budget_Brazil:budget_Egypt!P10)</f>
        <v>0</v>
      </c>
      <c r="Q10" s="237">
        <f t="shared" si="1"/>
        <v>0</v>
      </c>
      <c r="R10" s="238">
        <v>4</v>
      </c>
      <c r="S10" s="9">
        <f t="shared" si="0"/>
        <v>0</v>
      </c>
      <c r="X10" s="1">
        <v>61200</v>
      </c>
    </row>
    <row r="11" spans="1:39" ht="21.95" customHeight="1" thickBot="1" x14ac:dyDescent="0.25">
      <c r="A11" s="266"/>
      <c r="B11" s="268"/>
      <c r="C11" s="268"/>
      <c r="D11" s="268"/>
      <c r="E11" s="268"/>
      <c r="F11" s="235">
        <v>10180</v>
      </c>
      <c r="G11" s="235" t="s">
        <v>126</v>
      </c>
      <c r="H11" s="235" t="s">
        <v>127</v>
      </c>
      <c r="I11" s="235" t="s">
        <v>18</v>
      </c>
      <c r="J11" s="236" t="s">
        <v>28</v>
      </c>
      <c r="K11" s="235">
        <v>61300</v>
      </c>
      <c r="L11" s="235" t="s">
        <v>30</v>
      </c>
      <c r="M11" s="237">
        <f>SUM(budget_Brazil:budget_Egypt!M11)</f>
        <v>0</v>
      </c>
      <c r="N11" s="237">
        <f>SUM(budget_Brazil:budget_Egypt!N11)</f>
        <v>0</v>
      </c>
      <c r="O11" s="237">
        <f>SUM(budget_Brazil:budget_Egypt!O11)</f>
        <v>0</v>
      </c>
      <c r="P11" s="237">
        <f>SUM(budget_Brazil:budget_Egypt!P11)</f>
        <v>0</v>
      </c>
      <c r="Q11" s="237">
        <f t="shared" si="1"/>
        <v>0</v>
      </c>
      <c r="R11" s="238">
        <v>4</v>
      </c>
      <c r="S11" s="9">
        <f t="shared" si="0"/>
        <v>0</v>
      </c>
      <c r="X11" s="1">
        <v>61300</v>
      </c>
    </row>
    <row r="12" spans="1:39" ht="21.95" customHeight="1" thickBot="1" x14ac:dyDescent="0.25">
      <c r="A12" s="266"/>
      <c r="B12" s="268"/>
      <c r="C12" s="269" t="s">
        <v>31</v>
      </c>
      <c r="D12" s="269"/>
      <c r="E12" s="269"/>
      <c r="F12" s="269"/>
      <c r="G12" s="269"/>
      <c r="H12" s="269"/>
      <c r="I12" s="269"/>
      <c r="J12" s="269"/>
      <c r="K12" s="269"/>
      <c r="L12" s="269"/>
      <c r="M12" s="237">
        <f>SUM(M4:M11)</f>
        <v>0</v>
      </c>
      <c r="N12" s="237">
        <f t="shared" ref="N12:Q12" si="2">SUM(N4:N11)</f>
        <v>10764</v>
      </c>
      <c r="O12" s="237">
        <f t="shared" si="2"/>
        <v>10449</v>
      </c>
      <c r="P12" s="237">
        <f t="shared" si="2"/>
        <v>10443</v>
      </c>
      <c r="Q12" s="237">
        <f t="shared" si="2"/>
        <v>31656</v>
      </c>
      <c r="R12" s="238"/>
      <c r="S12" s="9"/>
    </row>
    <row r="13" spans="1:39" s="2" customFormat="1" ht="21.95" customHeight="1" thickBot="1" x14ac:dyDescent="0.25">
      <c r="A13" s="266"/>
      <c r="B13" s="269" t="s">
        <v>32</v>
      </c>
      <c r="C13" s="269"/>
      <c r="D13" s="269"/>
      <c r="E13" s="269"/>
      <c r="F13" s="269"/>
      <c r="G13" s="269"/>
      <c r="H13" s="269"/>
      <c r="I13" s="269"/>
      <c r="J13" s="269"/>
      <c r="K13" s="269"/>
      <c r="L13" s="269"/>
      <c r="M13" s="237">
        <f>M12</f>
        <v>0</v>
      </c>
      <c r="N13" s="237">
        <f t="shared" ref="N13:Q13" si="3">N12</f>
        <v>10764</v>
      </c>
      <c r="O13" s="237">
        <f t="shared" si="3"/>
        <v>10449</v>
      </c>
      <c r="P13" s="237">
        <f t="shared" si="3"/>
        <v>10443</v>
      </c>
      <c r="Q13" s="237">
        <f t="shared" si="3"/>
        <v>31656</v>
      </c>
      <c r="R13" s="238"/>
      <c r="S13" s="9"/>
      <c r="U13" s="1"/>
      <c r="V13" s="1"/>
      <c r="W13" s="1"/>
      <c r="X13" s="1"/>
      <c r="Y13" s="1"/>
      <c r="Z13" s="1"/>
      <c r="AA13" s="1"/>
      <c r="AB13" s="1"/>
      <c r="AC13" s="1"/>
      <c r="AD13" s="1"/>
      <c r="AE13" s="1"/>
      <c r="AF13" s="1"/>
      <c r="AG13" s="1"/>
      <c r="AH13" s="1"/>
      <c r="AI13" s="1"/>
      <c r="AJ13" s="1"/>
      <c r="AK13" s="1"/>
      <c r="AL13" s="1"/>
      <c r="AM13" s="1"/>
    </row>
    <row r="14" spans="1:39" s="2" customFormat="1" ht="21.95" customHeight="1" thickBot="1" x14ac:dyDescent="0.25">
      <c r="A14" s="266"/>
      <c r="B14" s="265" t="s">
        <v>33</v>
      </c>
      <c r="C14" s="265" t="s">
        <v>17</v>
      </c>
      <c r="D14" s="265">
        <v>62000</v>
      </c>
      <c r="E14" s="265">
        <v>10003</v>
      </c>
      <c r="F14" s="235">
        <v>10180</v>
      </c>
      <c r="G14" s="235" t="s">
        <v>126</v>
      </c>
      <c r="H14" s="235" t="s">
        <v>127</v>
      </c>
      <c r="I14" s="234" t="s">
        <v>34</v>
      </c>
      <c r="J14" s="236" t="s">
        <v>19</v>
      </c>
      <c r="K14" s="235">
        <v>71200</v>
      </c>
      <c r="L14" s="235" t="s">
        <v>19</v>
      </c>
      <c r="M14" s="237">
        <f>SUM(budget_Brazil:budget_Egypt!M14)</f>
        <v>0</v>
      </c>
      <c r="N14" s="237">
        <f>SUM(budget_Brazil:budget_Egypt!N14)</f>
        <v>0</v>
      </c>
      <c r="O14" s="237">
        <f>SUM(budget_Brazil:budget_Egypt!O14)</f>
        <v>0</v>
      </c>
      <c r="P14" s="237">
        <f>SUM(budget_Brazil:budget_Egypt!P14)</f>
        <v>0</v>
      </c>
      <c r="Q14" s="237">
        <f t="shared" ref="Q14:Q21" si="4">SUM(M14:P14)</f>
        <v>0</v>
      </c>
      <c r="R14" s="238">
        <v>2</v>
      </c>
      <c r="S14" s="9">
        <f t="shared" ref="S14:S21" si="5">VLOOKUP(K14, rpastarratio, 3, FALSE)*VLOOKUP(K14, rpastarratio, 8, FALSE)</f>
        <v>0</v>
      </c>
      <c r="U14" s="1"/>
      <c r="V14" s="1"/>
      <c r="W14" s="1"/>
      <c r="X14" s="1">
        <v>71200</v>
      </c>
      <c r="Y14" s="1"/>
      <c r="Z14" s="1"/>
      <c r="AA14" s="1"/>
      <c r="AB14" s="1"/>
      <c r="AC14" s="1"/>
      <c r="AD14" s="1"/>
      <c r="AE14" s="1"/>
      <c r="AF14" s="1"/>
      <c r="AG14" s="1"/>
      <c r="AH14" s="1"/>
      <c r="AI14" s="1"/>
      <c r="AJ14" s="1"/>
      <c r="AK14" s="1"/>
      <c r="AL14" s="1"/>
      <c r="AM14" s="1"/>
    </row>
    <row r="15" spans="1:39" s="2" customFormat="1" ht="21.95" customHeight="1" thickBot="1" x14ac:dyDescent="0.25">
      <c r="A15" s="266"/>
      <c r="B15" s="266"/>
      <c r="C15" s="266"/>
      <c r="D15" s="266"/>
      <c r="E15" s="266"/>
      <c r="F15" s="235">
        <v>10180</v>
      </c>
      <c r="G15" s="235" t="s">
        <v>126</v>
      </c>
      <c r="H15" s="235" t="s">
        <v>127</v>
      </c>
      <c r="I15" s="234" t="s">
        <v>34</v>
      </c>
      <c r="J15" s="236" t="s">
        <v>20</v>
      </c>
      <c r="K15" s="235">
        <v>71300</v>
      </c>
      <c r="L15" s="235" t="s">
        <v>20</v>
      </c>
      <c r="M15" s="237">
        <f>SUM(budget_Brazil:budget_Egypt!M15)</f>
        <v>0</v>
      </c>
      <c r="N15" s="237">
        <f>SUM(budget_Brazil:budget_Egypt!N15)</f>
        <v>15328</v>
      </c>
      <c r="O15" s="237">
        <f>SUM(budget_Brazil:budget_Egypt!O15)</f>
        <v>14876</v>
      </c>
      <c r="P15" s="237">
        <f>SUM(budget_Brazil:budget_Egypt!P15)</f>
        <v>14875</v>
      </c>
      <c r="Q15" s="237">
        <f t="shared" si="4"/>
        <v>45079</v>
      </c>
      <c r="R15" s="238">
        <v>3</v>
      </c>
      <c r="S15" s="9">
        <f t="shared" si="5"/>
        <v>1.1484623528952256E-2</v>
      </c>
      <c r="U15" s="1"/>
      <c r="V15" s="1"/>
      <c r="W15" s="1"/>
      <c r="X15" s="1">
        <v>71300</v>
      </c>
      <c r="Y15" s="1"/>
      <c r="Z15" s="1"/>
      <c r="AA15" s="1"/>
      <c r="AB15" s="1"/>
      <c r="AC15" s="1"/>
      <c r="AD15" s="1"/>
      <c r="AE15" s="1"/>
      <c r="AF15" s="1"/>
      <c r="AG15" s="1"/>
      <c r="AH15" s="1"/>
      <c r="AI15" s="1"/>
      <c r="AJ15" s="1"/>
      <c r="AK15" s="1"/>
      <c r="AL15" s="1"/>
      <c r="AM15" s="1"/>
    </row>
    <row r="16" spans="1:39" s="2" customFormat="1" ht="21.95" customHeight="1" thickBot="1" x14ac:dyDescent="0.25">
      <c r="A16" s="266"/>
      <c r="B16" s="266"/>
      <c r="C16" s="266"/>
      <c r="D16" s="266"/>
      <c r="E16" s="266"/>
      <c r="F16" s="235">
        <v>10180</v>
      </c>
      <c r="G16" s="235" t="s">
        <v>126</v>
      </c>
      <c r="H16" s="235" t="s">
        <v>127</v>
      </c>
      <c r="I16" s="234" t="s">
        <v>34</v>
      </c>
      <c r="J16" s="236" t="s">
        <v>21</v>
      </c>
      <c r="K16" s="235">
        <v>71400</v>
      </c>
      <c r="L16" s="235" t="s">
        <v>22</v>
      </c>
      <c r="M16" s="237">
        <f>SUM(budget_Brazil:budget_Egypt!M16)</f>
        <v>0</v>
      </c>
      <c r="N16" s="237">
        <f>SUM(budget_Brazil:budget_Egypt!N16)</f>
        <v>196429</v>
      </c>
      <c r="O16" s="237">
        <f>SUM(budget_Brazil:budget_Egypt!O16)</f>
        <v>190652</v>
      </c>
      <c r="P16" s="237">
        <f>SUM(budget_Brazil:budget_Egypt!P16)</f>
        <v>190650</v>
      </c>
      <c r="Q16" s="237">
        <f t="shared" si="4"/>
        <v>577731</v>
      </c>
      <c r="R16" s="238">
        <v>5</v>
      </c>
      <c r="S16" s="9">
        <f t="shared" si="5"/>
        <v>0.17640953291668721</v>
      </c>
      <c r="U16" s="1"/>
      <c r="V16" s="1"/>
      <c r="W16" s="1"/>
      <c r="X16" s="1">
        <v>71400</v>
      </c>
      <c r="Y16" s="1"/>
      <c r="Z16" s="1"/>
      <c r="AA16" s="1"/>
      <c r="AB16" s="1"/>
      <c r="AC16" s="1"/>
      <c r="AD16" s="1"/>
      <c r="AE16" s="1"/>
      <c r="AF16" s="1"/>
      <c r="AG16" s="1"/>
      <c r="AH16" s="1"/>
      <c r="AI16" s="1"/>
      <c r="AJ16" s="1"/>
      <c r="AK16" s="1"/>
      <c r="AL16" s="1"/>
      <c r="AM16" s="1"/>
    </row>
    <row r="17" spans="1:39" s="2" customFormat="1" ht="21.95" customHeight="1" thickBot="1" x14ac:dyDescent="0.25">
      <c r="A17" s="266"/>
      <c r="B17" s="266"/>
      <c r="C17" s="266"/>
      <c r="D17" s="266"/>
      <c r="E17" s="266"/>
      <c r="F17" s="235">
        <v>10180</v>
      </c>
      <c r="G17" s="235" t="s">
        <v>126</v>
      </c>
      <c r="H17" s="235" t="s">
        <v>127</v>
      </c>
      <c r="I17" s="234" t="s">
        <v>34</v>
      </c>
      <c r="J17" s="236" t="s">
        <v>23</v>
      </c>
      <c r="K17" s="235">
        <v>71600</v>
      </c>
      <c r="L17" s="235" t="s">
        <v>23</v>
      </c>
      <c r="M17" s="237">
        <f>SUM(budget_Brazil:budget_Egypt!M17)</f>
        <v>0</v>
      </c>
      <c r="N17" s="237">
        <f>SUM(budget_Brazil:budget_Egypt!N17)</f>
        <v>25044</v>
      </c>
      <c r="O17" s="237">
        <f>SUM(budget_Brazil:budget_Egypt!O17)</f>
        <v>24308</v>
      </c>
      <c r="P17" s="237">
        <f>SUM(budget_Brazil:budget_Egypt!P17)</f>
        <v>24308</v>
      </c>
      <c r="Q17" s="237">
        <f t="shared" si="4"/>
        <v>73660</v>
      </c>
      <c r="R17" s="238">
        <v>7</v>
      </c>
      <c r="S17" s="9">
        <f t="shared" si="5"/>
        <v>1.8765823245845741E-2</v>
      </c>
      <c r="U17" s="1"/>
      <c r="V17" s="1"/>
      <c r="W17" s="1"/>
      <c r="X17" s="1">
        <v>71600</v>
      </c>
      <c r="Y17" s="1"/>
      <c r="Z17" s="1"/>
      <c r="AA17" s="1"/>
      <c r="AB17" s="1"/>
      <c r="AC17" s="1"/>
      <c r="AD17" s="1"/>
      <c r="AE17" s="1"/>
      <c r="AF17" s="1"/>
      <c r="AG17" s="1"/>
      <c r="AH17" s="1"/>
      <c r="AI17" s="1"/>
      <c r="AJ17" s="1"/>
      <c r="AK17" s="1"/>
      <c r="AL17" s="1"/>
      <c r="AM17" s="1"/>
    </row>
    <row r="18" spans="1:39" s="2" customFormat="1" ht="21.95" customHeight="1" thickBot="1" x14ac:dyDescent="0.25">
      <c r="A18" s="266"/>
      <c r="B18" s="266"/>
      <c r="C18" s="266"/>
      <c r="D18" s="266"/>
      <c r="E18" s="266"/>
      <c r="F18" s="235">
        <v>10180</v>
      </c>
      <c r="G18" s="235" t="s">
        <v>126</v>
      </c>
      <c r="H18" s="235" t="s">
        <v>127</v>
      </c>
      <c r="I18" s="234" t="s">
        <v>34</v>
      </c>
      <c r="J18" s="236" t="s">
        <v>24</v>
      </c>
      <c r="K18" s="235">
        <v>72500</v>
      </c>
      <c r="L18" s="235" t="s">
        <v>25</v>
      </c>
      <c r="M18" s="237">
        <f>SUM(budget_Brazil:budget_Egypt!M18)</f>
        <v>0</v>
      </c>
      <c r="N18" s="237">
        <f>SUM(budget_Brazil:budget_Egypt!N18)</f>
        <v>967</v>
      </c>
      <c r="O18" s="237">
        <f>SUM(budget_Brazil:budget_Egypt!O18)</f>
        <v>940</v>
      </c>
      <c r="P18" s="237">
        <f>SUM(budget_Brazil:budget_Egypt!P18)</f>
        <v>940</v>
      </c>
      <c r="Q18" s="237">
        <f t="shared" si="4"/>
        <v>2847</v>
      </c>
      <c r="R18" s="238">
        <v>10</v>
      </c>
      <c r="S18" s="9">
        <f t="shared" si="5"/>
        <v>7.2509589748528979E-4</v>
      </c>
      <c r="U18" s="1"/>
      <c r="V18" s="1"/>
      <c r="W18" s="1"/>
      <c r="X18" s="1">
        <v>72500</v>
      </c>
      <c r="Y18" s="1"/>
      <c r="Z18" s="1"/>
      <c r="AA18" s="1"/>
      <c r="AB18" s="1"/>
      <c r="AC18" s="1"/>
      <c r="AD18" s="1"/>
      <c r="AE18" s="1"/>
      <c r="AF18" s="1"/>
      <c r="AG18" s="1"/>
      <c r="AH18" s="1"/>
      <c r="AI18" s="1"/>
      <c r="AJ18" s="1"/>
      <c r="AK18" s="1"/>
      <c r="AL18" s="1"/>
      <c r="AM18" s="1"/>
    </row>
    <row r="19" spans="1:39" s="2" customFormat="1" ht="21.95" customHeight="1" thickBot="1" x14ac:dyDescent="0.25">
      <c r="A19" s="266"/>
      <c r="B19" s="266"/>
      <c r="C19" s="266"/>
      <c r="D19" s="266"/>
      <c r="E19" s="266"/>
      <c r="F19" s="235">
        <v>10180</v>
      </c>
      <c r="G19" s="235" t="s">
        <v>126</v>
      </c>
      <c r="H19" s="235" t="s">
        <v>127</v>
      </c>
      <c r="I19" s="234" t="s">
        <v>34</v>
      </c>
      <c r="J19" s="236" t="s">
        <v>26</v>
      </c>
      <c r="K19" s="235">
        <v>75700</v>
      </c>
      <c r="L19" s="235" t="s">
        <v>27</v>
      </c>
      <c r="M19" s="237">
        <f>SUM(budget_Brazil:budget_Egypt!M19)</f>
        <v>0</v>
      </c>
      <c r="N19" s="237">
        <f>SUM(budget_Brazil:budget_Egypt!N19)</f>
        <v>4899</v>
      </c>
      <c r="O19" s="237">
        <f>SUM(budget_Brazil:budget_Egypt!O19)</f>
        <v>4755</v>
      </c>
      <c r="P19" s="237">
        <f>SUM(budget_Brazil:budget_Egypt!P19)</f>
        <v>4755</v>
      </c>
      <c r="Q19" s="237">
        <f t="shared" si="4"/>
        <v>14409</v>
      </c>
      <c r="R19" s="238">
        <v>6</v>
      </c>
      <c r="S19" s="9">
        <f t="shared" si="5"/>
        <v>3.6708273653368404E-3</v>
      </c>
      <c r="U19" s="1"/>
      <c r="V19" s="1"/>
      <c r="W19" s="1"/>
      <c r="X19" s="1">
        <v>75700</v>
      </c>
      <c r="Y19" s="1"/>
      <c r="Z19" s="1"/>
      <c r="AA19" s="1"/>
      <c r="AB19" s="1"/>
      <c r="AC19" s="1"/>
      <c r="AD19" s="1"/>
      <c r="AE19" s="1"/>
      <c r="AF19" s="1"/>
      <c r="AG19" s="1"/>
      <c r="AH19" s="1"/>
      <c r="AI19" s="1"/>
      <c r="AJ19" s="1"/>
      <c r="AK19" s="1"/>
      <c r="AL19" s="1"/>
      <c r="AM19" s="1"/>
    </row>
    <row r="20" spans="1:39" s="2" customFormat="1" ht="21.95" customHeight="1" thickBot="1" x14ac:dyDescent="0.25">
      <c r="A20" s="266"/>
      <c r="B20" s="266"/>
      <c r="C20" s="266"/>
      <c r="D20" s="266"/>
      <c r="E20" s="266"/>
      <c r="F20" s="235">
        <v>10180</v>
      </c>
      <c r="G20" s="235" t="s">
        <v>126</v>
      </c>
      <c r="H20" s="235" t="s">
        <v>127</v>
      </c>
      <c r="I20" s="234" t="s">
        <v>34</v>
      </c>
      <c r="J20" s="236" t="s">
        <v>28</v>
      </c>
      <c r="K20" s="235">
        <v>61200</v>
      </c>
      <c r="L20" s="235" t="s">
        <v>29</v>
      </c>
      <c r="M20" s="237">
        <f>SUM(budget_Brazil:budget_Egypt!M20)</f>
        <v>0</v>
      </c>
      <c r="N20" s="237">
        <f>SUM(budget_Brazil:budget_Egypt!N20)</f>
        <v>0</v>
      </c>
      <c r="O20" s="237">
        <f>SUM(budget_Brazil:budget_Egypt!O20)</f>
        <v>0</v>
      </c>
      <c r="P20" s="237">
        <f>SUM(budget_Brazil:budget_Egypt!P20)</f>
        <v>0</v>
      </c>
      <c r="Q20" s="237">
        <f t="shared" si="4"/>
        <v>0</v>
      </c>
      <c r="R20" s="238">
        <v>4</v>
      </c>
      <c r="S20" s="9">
        <f t="shared" si="5"/>
        <v>0</v>
      </c>
      <c r="U20" s="1"/>
      <c r="V20" s="1"/>
      <c r="W20" s="1"/>
      <c r="X20" s="1">
        <v>61200</v>
      </c>
      <c r="Y20" s="1"/>
      <c r="Z20" s="1"/>
      <c r="AA20" s="1"/>
      <c r="AB20" s="1"/>
      <c r="AC20" s="1"/>
      <c r="AD20" s="1"/>
      <c r="AE20" s="1"/>
      <c r="AF20" s="1"/>
      <c r="AG20" s="1"/>
      <c r="AH20" s="1"/>
      <c r="AI20" s="1"/>
      <c r="AJ20" s="1"/>
      <c r="AK20" s="1"/>
      <c r="AL20" s="1"/>
      <c r="AM20" s="1"/>
    </row>
    <row r="21" spans="1:39" s="2" customFormat="1" ht="21.95" customHeight="1" thickBot="1" x14ac:dyDescent="0.25">
      <c r="A21" s="266"/>
      <c r="B21" s="266"/>
      <c r="C21" s="267"/>
      <c r="D21" s="267"/>
      <c r="E21" s="267"/>
      <c r="F21" s="235">
        <v>10180</v>
      </c>
      <c r="G21" s="235" t="s">
        <v>126</v>
      </c>
      <c r="H21" s="235" t="s">
        <v>127</v>
      </c>
      <c r="I21" s="234" t="s">
        <v>34</v>
      </c>
      <c r="J21" s="236" t="s">
        <v>28</v>
      </c>
      <c r="K21" s="235">
        <v>61300</v>
      </c>
      <c r="L21" s="235" t="s">
        <v>30</v>
      </c>
      <c r="M21" s="237">
        <f>SUM(budget_Brazil:budget_Egypt!M21)</f>
        <v>0</v>
      </c>
      <c r="N21" s="237">
        <f>SUM(budget_Brazil:budget_Egypt!N21)</f>
        <v>0</v>
      </c>
      <c r="O21" s="237">
        <f>SUM(budget_Brazil:budget_Egypt!O21)</f>
        <v>0</v>
      </c>
      <c r="P21" s="237">
        <f>SUM(budget_Brazil:budget_Egypt!P21)</f>
        <v>0</v>
      </c>
      <c r="Q21" s="237">
        <f t="shared" si="4"/>
        <v>0</v>
      </c>
      <c r="R21" s="238">
        <v>4</v>
      </c>
      <c r="S21" s="9">
        <f t="shared" si="5"/>
        <v>0</v>
      </c>
      <c r="U21" s="1"/>
      <c r="V21" s="1"/>
      <c r="W21" s="1"/>
      <c r="X21" s="1">
        <v>61300</v>
      </c>
      <c r="Y21" s="1"/>
      <c r="Z21" s="1"/>
      <c r="AA21" s="1"/>
      <c r="AB21" s="1"/>
      <c r="AC21" s="1"/>
      <c r="AD21" s="1"/>
      <c r="AE21" s="1"/>
      <c r="AF21" s="1"/>
      <c r="AG21" s="1"/>
      <c r="AH21" s="1"/>
      <c r="AI21" s="1"/>
      <c r="AJ21" s="1"/>
      <c r="AK21" s="1"/>
      <c r="AL21" s="1"/>
      <c r="AM21" s="1"/>
    </row>
    <row r="22" spans="1:39" s="2" customFormat="1" ht="21.95" customHeight="1" thickBot="1" x14ac:dyDescent="0.25">
      <c r="A22" s="266"/>
      <c r="B22" s="266"/>
      <c r="C22" s="270" t="s">
        <v>31</v>
      </c>
      <c r="D22" s="270"/>
      <c r="E22" s="270"/>
      <c r="F22" s="270"/>
      <c r="G22" s="270"/>
      <c r="H22" s="270"/>
      <c r="I22" s="270"/>
      <c r="J22" s="270"/>
      <c r="K22" s="270"/>
      <c r="L22" s="270"/>
      <c r="M22" s="237">
        <f>SUM(M14:M21)</f>
        <v>0</v>
      </c>
      <c r="N22" s="237">
        <f t="shared" ref="N22:Q22" si="6">SUM(N14:N21)</f>
        <v>242667</v>
      </c>
      <c r="O22" s="237">
        <f t="shared" si="6"/>
        <v>235531</v>
      </c>
      <c r="P22" s="237">
        <f t="shared" si="6"/>
        <v>235528</v>
      </c>
      <c r="Q22" s="237">
        <f t="shared" si="6"/>
        <v>713726</v>
      </c>
      <c r="R22" s="238"/>
      <c r="S22" s="9"/>
      <c r="U22" s="1"/>
      <c r="V22" s="1"/>
      <c r="W22" s="1"/>
      <c r="X22" s="1"/>
      <c r="Y22" s="1"/>
      <c r="Z22" s="1"/>
      <c r="AA22" s="1"/>
      <c r="AB22" s="1"/>
      <c r="AC22" s="1"/>
      <c r="AD22" s="1"/>
      <c r="AE22" s="1"/>
      <c r="AF22" s="1"/>
      <c r="AG22" s="1"/>
      <c r="AH22" s="1"/>
      <c r="AI22" s="1"/>
      <c r="AJ22" s="1"/>
      <c r="AK22" s="1"/>
      <c r="AL22" s="1"/>
      <c r="AM22" s="1"/>
    </row>
    <row r="23" spans="1:39" ht="21.95" customHeight="1" thickBot="1" x14ac:dyDescent="0.25">
      <c r="A23" s="267"/>
      <c r="B23" s="270" t="s">
        <v>35</v>
      </c>
      <c r="C23" s="270"/>
      <c r="D23" s="270"/>
      <c r="E23" s="270"/>
      <c r="F23" s="270"/>
      <c r="G23" s="270"/>
      <c r="H23" s="270"/>
      <c r="I23" s="270"/>
      <c r="J23" s="270"/>
      <c r="K23" s="270"/>
      <c r="L23" s="270"/>
      <c r="M23" s="237">
        <f>M22</f>
        <v>0</v>
      </c>
      <c r="N23" s="237">
        <f t="shared" ref="N23:Q23" si="7">N22</f>
        <v>242667</v>
      </c>
      <c r="O23" s="237">
        <f t="shared" si="7"/>
        <v>235531</v>
      </c>
      <c r="P23" s="237">
        <f t="shared" si="7"/>
        <v>235528</v>
      </c>
      <c r="Q23" s="237">
        <f t="shared" si="7"/>
        <v>713726</v>
      </c>
      <c r="R23" s="238"/>
      <c r="T23" s="10"/>
      <c r="AC23" s="11"/>
      <c r="AF23" s="12"/>
      <c r="AG23" s="13"/>
    </row>
    <row r="24" spans="1:39" ht="21.95" customHeight="1" thickBot="1" x14ac:dyDescent="0.25">
      <c r="A24" s="271" t="s">
        <v>36</v>
      </c>
      <c r="B24" s="272"/>
      <c r="C24" s="272"/>
      <c r="D24" s="272"/>
      <c r="E24" s="272"/>
      <c r="F24" s="272"/>
      <c r="G24" s="272"/>
      <c r="H24" s="272"/>
      <c r="I24" s="272"/>
      <c r="J24" s="272"/>
      <c r="K24" s="272"/>
      <c r="L24" s="273"/>
      <c r="M24" s="237">
        <f t="shared" ref="M24:Q24" si="8">M13+M23</f>
        <v>0</v>
      </c>
      <c r="N24" s="237">
        <f t="shared" si="8"/>
        <v>253431</v>
      </c>
      <c r="O24" s="237">
        <f t="shared" si="8"/>
        <v>245980</v>
      </c>
      <c r="P24" s="237">
        <f t="shared" si="8"/>
        <v>245971</v>
      </c>
      <c r="Q24" s="237">
        <f t="shared" si="8"/>
        <v>745382</v>
      </c>
      <c r="R24" s="238"/>
      <c r="U24" s="14"/>
      <c r="AC24" s="15"/>
      <c r="AM24" s="16"/>
    </row>
    <row r="25" spans="1:39" ht="21.95" customHeight="1" thickBot="1" x14ac:dyDescent="0.25">
      <c r="A25" s="265" t="s">
        <v>37</v>
      </c>
      <c r="B25" s="268" t="s">
        <v>38</v>
      </c>
      <c r="C25" s="268" t="s">
        <v>17</v>
      </c>
      <c r="D25" s="268">
        <v>62000</v>
      </c>
      <c r="E25" s="268">
        <v>10003</v>
      </c>
      <c r="F25" s="235">
        <v>10180</v>
      </c>
      <c r="G25" s="235" t="s">
        <v>126</v>
      </c>
      <c r="H25" s="235" t="s">
        <v>127</v>
      </c>
      <c r="I25" s="235" t="s">
        <v>39</v>
      </c>
      <c r="J25" s="236" t="s">
        <v>19</v>
      </c>
      <c r="K25" s="235">
        <v>71200</v>
      </c>
      <c r="L25" s="235" t="s">
        <v>19</v>
      </c>
      <c r="M25" s="237">
        <f>SUM(budget_Brazil:budget_Egypt!M25)</f>
        <v>0</v>
      </c>
      <c r="N25" s="237">
        <f>SUM(budget_Brazil:budget_Egypt!N25)</f>
        <v>0</v>
      </c>
      <c r="O25" s="237">
        <f>SUM(budget_Brazil:budget_Egypt!O25)</f>
        <v>0</v>
      </c>
      <c r="P25" s="237">
        <f>SUM(budget_Brazil:budget_Egypt!P25)</f>
        <v>0</v>
      </c>
      <c r="Q25" s="237">
        <f t="shared" ref="Q25:Q33" si="9">SUM(M25:P25)</f>
        <v>0</v>
      </c>
      <c r="R25" s="238">
        <v>2</v>
      </c>
      <c r="S25" s="9">
        <f t="shared" ref="S25:S33" si="10">VLOOKUP(K25, rpacoreratio, 4, FALSE)*VLOOKUP(K25, rpacoreratio, 8, FALSE)</f>
        <v>0</v>
      </c>
      <c r="X25" s="1">
        <v>71200</v>
      </c>
    </row>
    <row r="26" spans="1:39" ht="21.95" customHeight="1" thickBot="1" x14ac:dyDescent="0.25">
      <c r="A26" s="266"/>
      <c r="B26" s="268"/>
      <c r="C26" s="268"/>
      <c r="D26" s="268"/>
      <c r="E26" s="268"/>
      <c r="F26" s="235">
        <v>10180</v>
      </c>
      <c r="G26" s="235" t="s">
        <v>126</v>
      </c>
      <c r="H26" s="235" t="s">
        <v>127</v>
      </c>
      <c r="I26" s="235" t="s">
        <v>39</v>
      </c>
      <c r="J26" s="236" t="s">
        <v>20</v>
      </c>
      <c r="K26" s="235">
        <v>71300</v>
      </c>
      <c r="L26" s="235" t="s">
        <v>20</v>
      </c>
      <c r="M26" s="237">
        <f>SUM(budget_Brazil:budget_Egypt!M26)</f>
        <v>0</v>
      </c>
      <c r="N26" s="237">
        <f>SUM(budget_Brazil:budget_Egypt!N26)</f>
        <v>564</v>
      </c>
      <c r="O26" s="237">
        <f>SUM(budget_Brazil:budget_Egypt!O26)</f>
        <v>546</v>
      </c>
      <c r="P26" s="237">
        <f>SUM(budget_Brazil:budget_Egypt!P26)</f>
        <v>549</v>
      </c>
      <c r="Q26" s="237">
        <f t="shared" si="9"/>
        <v>1659</v>
      </c>
      <c r="R26" s="238">
        <v>3</v>
      </c>
      <c r="S26" s="9">
        <f t="shared" si="10"/>
        <v>1.1051829782922407E-2</v>
      </c>
      <c r="X26" s="1">
        <v>71300</v>
      </c>
    </row>
    <row r="27" spans="1:39" ht="21.95" customHeight="1" thickBot="1" x14ac:dyDescent="0.25">
      <c r="A27" s="266"/>
      <c r="B27" s="268"/>
      <c r="C27" s="268"/>
      <c r="D27" s="268"/>
      <c r="E27" s="268"/>
      <c r="F27" s="235">
        <v>10180</v>
      </c>
      <c r="G27" s="235" t="s">
        <v>126</v>
      </c>
      <c r="H27" s="235" t="s">
        <v>127</v>
      </c>
      <c r="I27" s="235" t="s">
        <v>39</v>
      </c>
      <c r="J27" s="236" t="s">
        <v>21</v>
      </c>
      <c r="K27" s="235">
        <v>71400</v>
      </c>
      <c r="L27" s="235" t="s">
        <v>22</v>
      </c>
      <c r="M27" s="237">
        <f>SUM(budget_Brazil:budget_Egypt!M27)</f>
        <v>0</v>
      </c>
      <c r="N27" s="237">
        <f>SUM(budget_Brazil:budget_Egypt!N27)</f>
        <v>8634</v>
      </c>
      <c r="O27" s="237">
        <f>SUM(budget_Brazil:budget_Egypt!O27)</f>
        <v>8379</v>
      </c>
      <c r="P27" s="237">
        <f>SUM(budget_Brazil:budget_Egypt!P27)</f>
        <v>8379</v>
      </c>
      <c r="Q27" s="237">
        <f t="shared" si="9"/>
        <v>25392</v>
      </c>
      <c r="R27" s="238">
        <v>5</v>
      </c>
      <c r="S27" s="9">
        <f t="shared" si="10"/>
        <v>0.16928576997853712</v>
      </c>
      <c r="X27" s="1">
        <v>71400</v>
      </c>
    </row>
    <row r="28" spans="1:39" ht="21.95" customHeight="1" thickBot="1" x14ac:dyDescent="0.25">
      <c r="A28" s="266"/>
      <c r="B28" s="268"/>
      <c r="C28" s="268"/>
      <c r="D28" s="268"/>
      <c r="E28" s="268"/>
      <c r="F28" s="235">
        <v>10180</v>
      </c>
      <c r="G28" s="235" t="s">
        <v>126</v>
      </c>
      <c r="H28" s="235" t="s">
        <v>127</v>
      </c>
      <c r="I28" s="235" t="s">
        <v>39</v>
      </c>
      <c r="J28" s="236" t="s">
        <v>23</v>
      </c>
      <c r="K28" s="235">
        <v>71600</v>
      </c>
      <c r="L28" s="235" t="s">
        <v>23</v>
      </c>
      <c r="M28" s="237">
        <f>SUM(budget_Brazil:budget_Egypt!M28)</f>
        <v>0</v>
      </c>
      <c r="N28" s="237">
        <f>SUM(budget_Brazil:budget_Egypt!N28)</f>
        <v>417</v>
      </c>
      <c r="O28" s="237">
        <f>SUM(budget_Brazil:budget_Egypt!O28)</f>
        <v>405</v>
      </c>
      <c r="P28" s="237">
        <f>SUM(budget_Brazil:budget_Egypt!P28)</f>
        <v>408</v>
      </c>
      <c r="Q28" s="237">
        <f t="shared" si="9"/>
        <v>1230</v>
      </c>
      <c r="R28" s="238">
        <v>7</v>
      </c>
      <c r="S28" s="9">
        <f t="shared" si="10"/>
        <v>8.2070752783677953E-3</v>
      </c>
      <c r="X28" s="1">
        <v>71600</v>
      </c>
    </row>
    <row r="29" spans="1:39" ht="21.95" customHeight="1" thickBot="1" x14ac:dyDescent="0.25">
      <c r="A29" s="266"/>
      <c r="B29" s="268"/>
      <c r="C29" s="268"/>
      <c r="D29" s="268"/>
      <c r="E29" s="268"/>
      <c r="F29" s="235">
        <v>10180</v>
      </c>
      <c r="G29" s="235" t="s">
        <v>126</v>
      </c>
      <c r="H29" s="235" t="s">
        <v>127</v>
      </c>
      <c r="I29" s="235" t="s">
        <v>39</v>
      </c>
      <c r="J29" s="235" t="s">
        <v>24</v>
      </c>
      <c r="K29" s="235">
        <v>72500</v>
      </c>
      <c r="L29" s="235" t="s">
        <v>25</v>
      </c>
      <c r="M29" s="237">
        <f>SUM(budget_Brazil:budget_Egypt!M29)</f>
        <v>0</v>
      </c>
      <c r="N29" s="237">
        <f>SUM(budget_Brazil:budget_Egypt!N29)</f>
        <v>36</v>
      </c>
      <c r="O29" s="237">
        <f>SUM(budget_Brazil:budget_Egypt!O29)</f>
        <v>36</v>
      </c>
      <c r="P29" s="237">
        <f>SUM(budget_Brazil:budget_Egypt!P29)</f>
        <v>33</v>
      </c>
      <c r="Q29" s="237">
        <f t="shared" si="9"/>
        <v>105</v>
      </c>
      <c r="R29" s="238">
        <v>10</v>
      </c>
      <c r="S29" s="9">
        <f t="shared" si="10"/>
        <v>6.9784685471373947E-4</v>
      </c>
      <c r="X29" s="1">
        <v>72500</v>
      </c>
    </row>
    <row r="30" spans="1:39" ht="21.95" customHeight="1" thickBot="1" x14ac:dyDescent="0.25">
      <c r="A30" s="266"/>
      <c r="B30" s="268"/>
      <c r="C30" s="268"/>
      <c r="D30" s="268"/>
      <c r="E30" s="268"/>
      <c r="F30" s="235">
        <v>10180</v>
      </c>
      <c r="G30" s="235" t="s">
        <v>126</v>
      </c>
      <c r="H30" s="235" t="s">
        <v>127</v>
      </c>
      <c r="I30" s="235" t="s">
        <v>39</v>
      </c>
      <c r="J30" s="236" t="s">
        <v>26</v>
      </c>
      <c r="K30" s="235">
        <v>75700</v>
      </c>
      <c r="L30" s="235" t="s">
        <v>27</v>
      </c>
      <c r="M30" s="237">
        <f>SUM(budget_Brazil:budget_Egypt!M30)</f>
        <v>0</v>
      </c>
      <c r="N30" s="237">
        <f>SUM(budget_Brazil:budget_Egypt!N30)</f>
        <v>180</v>
      </c>
      <c r="O30" s="237">
        <f>SUM(budget_Brazil:budget_Egypt!O30)</f>
        <v>174</v>
      </c>
      <c r="P30" s="237">
        <f>SUM(budget_Brazil:budget_Egypt!P30)</f>
        <v>177</v>
      </c>
      <c r="Q30" s="237">
        <f t="shared" si="9"/>
        <v>531</v>
      </c>
      <c r="R30" s="238">
        <v>6</v>
      </c>
      <c r="S30" s="9">
        <f t="shared" si="10"/>
        <v>3.5324633912159568E-3</v>
      </c>
      <c r="X30" s="1">
        <v>75700</v>
      </c>
    </row>
    <row r="31" spans="1:39" ht="21.95" customHeight="1" thickBot="1" x14ac:dyDescent="0.25">
      <c r="A31" s="266"/>
      <c r="B31" s="268"/>
      <c r="C31" s="268"/>
      <c r="D31" s="268"/>
      <c r="E31" s="268"/>
      <c r="F31" s="235">
        <v>10180</v>
      </c>
      <c r="G31" s="235" t="s">
        <v>126</v>
      </c>
      <c r="H31" s="235" t="s">
        <v>127</v>
      </c>
      <c r="I31" s="235" t="s">
        <v>39</v>
      </c>
      <c r="J31" s="236" t="s">
        <v>28</v>
      </c>
      <c r="K31" s="235">
        <v>61200</v>
      </c>
      <c r="L31" s="235" t="s">
        <v>29</v>
      </c>
      <c r="M31" s="237">
        <f>SUM(budget_Brazil:budget_Egypt!M31)</f>
        <v>0</v>
      </c>
      <c r="N31" s="237">
        <f>SUM(budget_Brazil:budget_Egypt!N31)</f>
        <v>0</v>
      </c>
      <c r="O31" s="237">
        <f>SUM(budget_Brazil:budget_Egypt!O31)</f>
        <v>0</v>
      </c>
      <c r="P31" s="237">
        <f>SUM(budget_Brazil:budget_Egypt!P31)</f>
        <v>0</v>
      </c>
      <c r="Q31" s="237">
        <f t="shared" si="9"/>
        <v>0</v>
      </c>
      <c r="R31" s="238">
        <v>4</v>
      </c>
      <c r="S31" s="9">
        <f t="shared" si="10"/>
        <v>0</v>
      </c>
      <c r="X31" s="1">
        <v>61200</v>
      </c>
    </row>
    <row r="32" spans="1:39" ht="21.95" customHeight="1" thickBot="1" x14ac:dyDescent="0.25">
      <c r="A32" s="266"/>
      <c r="B32" s="268"/>
      <c r="C32" s="268"/>
      <c r="D32" s="268"/>
      <c r="E32" s="268"/>
      <c r="F32" s="235">
        <v>10180</v>
      </c>
      <c r="G32" s="235" t="s">
        <v>126</v>
      </c>
      <c r="H32" s="235" t="s">
        <v>127</v>
      </c>
      <c r="I32" s="235" t="s">
        <v>39</v>
      </c>
      <c r="J32" s="236" t="s">
        <v>28</v>
      </c>
      <c r="K32" s="235">
        <v>61300</v>
      </c>
      <c r="L32" s="235" t="s">
        <v>30</v>
      </c>
      <c r="M32" s="237">
        <f>SUM(budget_Brazil:budget_Egypt!M32)</f>
        <v>0</v>
      </c>
      <c r="N32" s="237">
        <f>SUM(budget_Brazil:budget_Egypt!N32)</f>
        <v>0</v>
      </c>
      <c r="O32" s="237">
        <f>SUM(budget_Brazil:budget_Egypt!O32)</f>
        <v>0</v>
      </c>
      <c r="P32" s="237">
        <f>SUM(budget_Brazil:budget_Egypt!P32)</f>
        <v>0</v>
      </c>
      <c r="Q32" s="237">
        <f t="shared" si="9"/>
        <v>0</v>
      </c>
      <c r="R32" s="238">
        <v>4</v>
      </c>
      <c r="S32" s="9">
        <f t="shared" si="10"/>
        <v>0</v>
      </c>
      <c r="X32" s="1">
        <v>61300</v>
      </c>
    </row>
    <row r="33" spans="1:39" s="2" customFormat="1" ht="21.95" customHeight="1" thickBot="1" x14ac:dyDescent="0.25">
      <c r="A33" s="266"/>
      <c r="B33" s="268"/>
      <c r="C33" s="268"/>
      <c r="D33" s="268"/>
      <c r="E33" s="268"/>
      <c r="F33" s="235">
        <v>10180</v>
      </c>
      <c r="G33" s="235" t="s">
        <v>126</v>
      </c>
      <c r="H33" s="235" t="s">
        <v>127</v>
      </c>
      <c r="I33" s="235" t="s">
        <v>39</v>
      </c>
      <c r="J33" s="236" t="s">
        <v>40</v>
      </c>
      <c r="K33" s="235">
        <v>72600</v>
      </c>
      <c r="L33" s="235" t="s">
        <v>40</v>
      </c>
      <c r="M33" s="237">
        <f>SUM(budget_Brazil:budget_Egypt!M33)</f>
        <v>0</v>
      </c>
      <c r="N33" s="237">
        <f>SUM(budget_Brazil:budget_Egypt!N33)</f>
        <v>730908</v>
      </c>
      <c r="O33" s="237">
        <f>SUM(budget_Brazil:budget_Egypt!O33)</f>
        <v>730908</v>
      </c>
      <c r="P33" s="237">
        <f>SUM(budget_Brazil:budget_Egypt!P33)</f>
        <v>365456.72</v>
      </c>
      <c r="Q33" s="237">
        <f t="shared" si="9"/>
        <v>1827272.72</v>
      </c>
      <c r="R33" s="238">
        <v>1</v>
      </c>
      <c r="S33" s="9">
        <f t="shared" si="10"/>
        <v>0</v>
      </c>
      <c r="U33" s="1"/>
      <c r="V33" s="1"/>
      <c r="W33" s="1"/>
      <c r="X33" s="1">
        <v>72600</v>
      </c>
      <c r="Y33" s="1"/>
      <c r="Z33" s="1"/>
      <c r="AA33" s="1"/>
      <c r="AB33" s="1"/>
      <c r="AC33" s="1"/>
      <c r="AD33" s="1"/>
      <c r="AE33" s="1"/>
      <c r="AF33" s="1"/>
      <c r="AG33" s="1"/>
      <c r="AH33" s="1"/>
      <c r="AI33" s="1"/>
      <c r="AJ33" s="1"/>
      <c r="AK33" s="1"/>
      <c r="AL33" s="1"/>
      <c r="AM33" s="1"/>
    </row>
    <row r="34" spans="1:39" s="2" customFormat="1" ht="21.95" customHeight="1" thickBot="1" x14ac:dyDescent="0.25">
      <c r="A34" s="266"/>
      <c r="B34" s="268"/>
      <c r="C34" s="269" t="s">
        <v>31</v>
      </c>
      <c r="D34" s="269"/>
      <c r="E34" s="269"/>
      <c r="F34" s="269"/>
      <c r="G34" s="269"/>
      <c r="H34" s="269"/>
      <c r="I34" s="269"/>
      <c r="J34" s="269"/>
      <c r="K34" s="269"/>
      <c r="L34" s="269"/>
      <c r="M34" s="237">
        <f>SUM(M25:M33)</f>
        <v>0</v>
      </c>
      <c r="N34" s="237">
        <f t="shared" ref="N34:Q34" si="11">SUM(N25:N33)</f>
        <v>740739</v>
      </c>
      <c r="O34" s="237">
        <f t="shared" si="11"/>
        <v>740448</v>
      </c>
      <c r="P34" s="237">
        <f t="shared" si="11"/>
        <v>375002.72</v>
      </c>
      <c r="Q34" s="237">
        <f t="shared" si="11"/>
        <v>1856189.72</v>
      </c>
      <c r="R34" s="238"/>
      <c r="S34" s="9"/>
      <c r="U34" s="1"/>
      <c r="V34" s="1"/>
      <c r="W34" s="1"/>
      <c r="X34" s="1"/>
      <c r="Y34" s="1"/>
      <c r="Z34" s="1"/>
      <c r="AA34" s="1"/>
      <c r="AB34" s="1"/>
      <c r="AC34" s="1"/>
      <c r="AD34" s="1"/>
      <c r="AE34" s="1"/>
      <c r="AF34" s="1"/>
      <c r="AG34" s="1"/>
      <c r="AH34" s="1"/>
      <c r="AI34" s="1"/>
      <c r="AJ34" s="1"/>
      <c r="AK34" s="1"/>
      <c r="AL34" s="1"/>
      <c r="AM34" s="1"/>
    </row>
    <row r="35" spans="1:39" s="2" customFormat="1" ht="21.95" customHeight="1" thickBot="1" x14ac:dyDescent="0.25">
      <c r="A35" s="266"/>
      <c r="B35" s="269" t="s">
        <v>41</v>
      </c>
      <c r="C35" s="269"/>
      <c r="D35" s="269"/>
      <c r="E35" s="269"/>
      <c r="F35" s="269"/>
      <c r="G35" s="269"/>
      <c r="H35" s="269"/>
      <c r="I35" s="269"/>
      <c r="J35" s="269"/>
      <c r="K35" s="269"/>
      <c r="L35" s="269"/>
      <c r="M35" s="237">
        <f>M34</f>
        <v>0</v>
      </c>
      <c r="N35" s="237">
        <f t="shared" ref="N35:Q35" si="12">N34</f>
        <v>740739</v>
      </c>
      <c r="O35" s="237">
        <f t="shared" si="12"/>
        <v>740448</v>
      </c>
      <c r="P35" s="237">
        <f t="shared" si="12"/>
        <v>375002.72</v>
      </c>
      <c r="Q35" s="237">
        <f t="shared" si="12"/>
        <v>1856189.72</v>
      </c>
      <c r="R35" s="238"/>
      <c r="S35" s="9"/>
      <c r="U35" s="1"/>
      <c r="V35" s="1"/>
      <c r="W35" s="1"/>
      <c r="X35" s="1"/>
      <c r="Y35" s="1"/>
      <c r="Z35" s="1"/>
      <c r="AA35" s="1"/>
      <c r="AB35" s="1"/>
      <c r="AC35" s="1"/>
      <c r="AD35" s="1"/>
      <c r="AE35" s="1"/>
      <c r="AF35" s="1"/>
      <c r="AG35" s="1"/>
      <c r="AH35" s="1"/>
      <c r="AI35" s="1"/>
      <c r="AJ35" s="1"/>
      <c r="AK35" s="1"/>
      <c r="AL35" s="1"/>
      <c r="AM35" s="1"/>
    </row>
    <row r="36" spans="1:39" s="2" customFormat="1" ht="21.95" customHeight="1" thickBot="1" x14ac:dyDescent="0.25">
      <c r="A36" s="266"/>
      <c r="B36" s="265" t="s">
        <v>42</v>
      </c>
      <c r="C36" s="265" t="s">
        <v>17</v>
      </c>
      <c r="D36" s="265">
        <v>62000</v>
      </c>
      <c r="E36" s="265">
        <v>10003</v>
      </c>
      <c r="F36" s="235">
        <v>10180</v>
      </c>
      <c r="G36" s="235" t="s">
        <v>126</v>
      </c>
      <c r="H36" s="235" t="s">
        <v>127</v>
      </c>
      <c r="I36" s="235" t="s">
        <v>43</v>
      </c>
      <c r="J36" s="236" t="s">
        <v>19</v>
      </c>
      <c r="K36" s="235">
        <v>71200</v>
      </c>
      <c r="L36" s="235" t="s">
        <v>19</v>
      </c>
      <c r="M36" s="237">
        <f>SUM(budget_Brazil:budget_Egypt!M36)</f>
        <v>0</v>
      </c>
      <c r="N36" s="237">
        <f>SUM(budget_Brazil:budget_Egypt!N36)</f>
        <v>0</v>
      </c>
      <c r="O36" s="237">
        <f>SUM(budget_Brazil:budget_Egypt!O36)</f>
        <v>0</v>
      </c>
      <c r="P36" s="237">
        <f>SUM(budget_Brazil:budget_Egypt!P36)</f>
        <v>0</v>
      </c>
      <c r="Q36" s="237">
        <f t="shared" ref="Q36:Q44" si="13">SUM(M36:P36)</f>
        <v>0</v>
      </c>
      <c r="R36" s="238">
        <v>2</v>
      </c>
      <c r="S36" s="9">
        <f t="shared" ref="S36:S44" si="14">VLOOKUP(K36, rpastarratio, 4, FALSE)*VLOOKUP(K36, rpastarratio, 8, FALSE)</f>
        <v>0</v>
      </c>
      <c r="U36" s="1"/>
      <c r="V36" s="1"/>
      <c r="W36" s="1"/>
      <c r="X36" s="1">
        <v>71200</v>
      </c>
      <c r="Y36" s="1"/>
      <c r="Z36" s="1"/>
      <c r="AA36" s="1"/>
      <c r="AB36" s="1"/>
      <c r="AC36" s="1"/>
      <c r="AD36" s="1"/>
      <c r="AE36" s="1"/>
      <c r="AF36" s="1"/>
      <c r="AG36" s="1"/>
      <c r="AH36" s="1"/>
      <c r="AI36" s="1"/>
      <c r="AJ36" s="1"/>
      <c r="AK36" s="1"/>
      <c r="AL36" s="1"/>
      <c r="AM36" s="1"/>
    </row>
    <row r="37" spans="1:39" s="2" customFormat="1" ht="21.95" customHeight="1" thickBot="1" x14ac:dyDescent="0.25">
      <c r="A37" s="266"/>
      <c r="B37" s="266"/>
      <c r="C37" s="266"/>
      <c r="D37" s="266"/>
      <c r="E37" s="266"/>
      <c r="F37" s="235">
        <v>10180</v>
      </c>
      <c r="G37" s="235" t="s">
        <v>126</v>
      </c>
      <c r="H37" s="235" t="s">
        <v>127</v>
      </c>
      <c r="I37" s="235" t="s">
        <v>43</v>
      </c>
      <c r="J37" s="236" t="s">
        <v>20</v>
      </c>
      <c r="K37" s="235">
        <v>71300</v>
      </c>
      <c r="L37" s="235" t="s">
        <v>20</v>
      </c>
      <c r="M37" s="237">
        <f>SUM(budget_Brazil:budget_Egypt!M37)</f>
        <v>0</v>
      </c>
      <c r="N37" s="237">
        <f>SUM(budget_Brazil:budget_Egypt!N37)</f>
        <v>14750</v>
      </c>
      <c r="O37" s="237">
        <f>SUM(budget_Brazil:budget_Egypt!O37)</f>
        <v>14316</v>
      </c>
      <c r="P37" s="237">
        <f>SUM(budget_Brazil:budget_Egypt!P37)</f>
        <v>14315</v>
      </c>
      <c r="Q37" s="237">
        <f t="shared" si="13"/>
        <v>43381</v>
      </c>
      <c r="R37" s="238">
        <v>3</v>
      </c>
      <c r="S37" s="9">
        <f t="shared" si="14"/>
        <v>1.1051829782922401E-2</v>
      </c>
      <c r="U37" s="1"/>
      <c r="V37" s="1"/>
      <c r="W37" s="1"/>
      <c r="X37" s="1">
        <v>71300</v>
      </c>
      <c r="Y37" s="1"/>
      <c r="Z37" s="1"/>
      <c r="AA37" s="1"/>
      <c r="AB37" s="1"/>
      <c r="AC37" s="1"/>
      <c r="AD37" s="1"/>
      <c r="AE37" s="1"/>
      <c r="AF37" s="1"/>
      <c r="AG37" s="1"/>
      <c r="AH37" s="1"/>
      <c r="AI37" s="1"/>
      <c r="AJ37" s="1"/>
      <c r="AK37" s="1"/>
      <c r="AL37" s="1"/>
      <c r="AM37" s="1"/>
    </row>
    <row r="38" spans="1:39" s="2" customFormat="1" ht="21.95" customHeight="1" thickBot="1" x14ac:dyDescent="0.25">
      <c r="A38" s="266"/>
      <c r="B38" s="266"/>
      <c r="C38" s="266"/>
      <c r="D38" s="266"/>
      <c r="E38" s="266"/>
      <c r="F38" s="235">
        <v>10180</v>
      </c>
      <c r="G38" s="235" t="s">
        <v>126</v>
      </c>
      <c r="H38" s="235" t="s">
        <v>127</v>
      </c>
      <c r="I38" s="235" t="s">
        <v>43</v>
      </c>
      <c r="J38" s="236" t="s">
        <v>21</v>
      </c>
      <c r="K38" s="235">
        <v>71400</v>
      </c>
      <c r="L38" s="235" t="s">
        <v>22</v>
      </c>
      <c r="M38" s="237">
        <f>SUM(budget_Brazil:budget_Egypt!M38)</f>
        <v>0</v>
      </c>
      <c r="N38" s="237">
        <f>SUM(budget_Brazil:budget_Egypt!N38)</f>
        <v>188497</v>
      </c>
      <c r="O38" s="237">
        <f>SUM(budget_Brazil:budget_Egypt!O38)</f>
        <v>182954</v>
      </c>
      <c r="P38" s="237">
        <f>SUM(budget_Brazil:budget_Egypt!P38)</f>
        <v>182951</v>
      </c>
      <c r="Q38" s="237">
        <f t="shared" si="13"/>
        <v>554402</v>
      </c>
      <c r="R38" s="238">
        <v>5</v>
      </c>
      <c r="S38" s="9">
        <f t="shared" si="14"/>
        <v>0.16928576997853703</v>
      </c>
      <c r="U38" s="1"/>
      <c r="V38" s="1"/>
      <c r="W38" s="1"/>
      <c r="X38" s="1">
        <v>71400</v>
      </c>
      <c r="Y38" s="1"/>
      <c r="Z38" s="1"/>
      <c r="AA38" s="1"/>
      <c r="AB38" s="1"/>
      <c r="AC38" s="1"/>
      <c r="AD38" s="1"/>
      <c r="AE38" s="1"/>
      <c r="AF38" s="1"/>
      <c r="AG38" s="1"/>
      <c r="AH38" s="1"/>
      <c r="AI38" s="1"/>
      <c r="AJ38" s="1"/>
      <c r="AK38" s="1"/>
      <c r="AL38" s="1"/>
      <c r="AM38" s="1"/>
    </row>
    <row r="39" spans="1:39" s="2" customFormat="1" ht="21.95" customHeight="1" thickBot="1" x14ac:dyDescent="0.25">
      <c r="A39" s="266"/>
      <c r="B39" s="266"/>
      <c r="C39" s="266"/>
      <c r="D39" s="266"/>
      <c r="E39" s="266"/>
      <c r="F39" s="235">
        <v>10180</v>
      </c>
      <c r="G39" s="235" t="s">
        <v>126</v>
      </c>
      <c r="H39" s="235" t="s">
        <v>127</v>
      </c>
      <c r="I39" s="235" t="s">
        <v>43</v>
      </c>
      <c r="J39" s="236" t="s">
        <v>23</v>
      </c>
      <c r="K39" s="235">
        <v>71600</v>
      </c>
      <c r="L39" s="235" t="s">
        <v>23</v>
      </c>
      <c r="M39" s="237">
        <f>SUM(budget_Brazil:budget_Egypt!M39)</f>
        <v>0</v>
      </c>
      <c r="N39" s="237">
        <f>SUM(budget_Brazil:budget_Egypt!N39)</f>
        <v>10953</v>
      </c>
      <c r="O39" s="237">
        <f>SUM(budget_Brazil:budget_Egypt!O39)</f>
        <v>10631</v>
      </c>
      <c r="P39" s="237">
        <f>SUM(budget_Brazil:budget_Egypt!P39)</f>
        <v>10632</v>
      </c>
      <c r="Q39" s="237">
        <f t="shared" si="13"/>
        <v>32216</v>
      </c>
      <c r="R39" s="238">
        <v>7</v>
      </c>
      <c r="S39" s="9">
        <f t="shared" si="14"/>
        <v>8.2070752783677901E-3</v>
      </c>
      <c r="U39" s="1"/>
      <c r="V39" s="1"/>
      <c r="W39" s="1"/>
      <c r="X39" s="1">
        <v>71600</v>
      </c>
      <c r="Y39" s="1"/>
      <c r="Z39" s="1"/>
      <c r="AA39" s="1"/>
      <c r="AB39" s="1"/>
      <c r="AC39" s="1"/>
      <c r="AD39" s="1"/>
      <c r="AE39" s="1"/>
      <c r="AF39" s="1"/>
      <c r="AG39" s="1"/>
      <c r="AH39" s="1"/>
      <c r="AI39" s="1"/>
      <c r="AJ39" s="1"/>
      <c r="AK39" s="1"/>
      <c r="AL39" s="1"/>
      <c r="AM39" s="1"/>
    </row>
    <row r="40" spans="1:39" s="2" customFormat="1" ht="21.95" customHeight="1" thickBot="1" x14ac:dyDescent="0.25">
      <c r="A40" s="266"/>
      <c r="B40" s="266"/>
      <c r="C40" s="266"/>
      <c r="D40" s="266"/>
      <c r="E40" s="266"/>
      <c r="F40" s="235">
        <v>10180</v>
      </c>
      <c r="G40" s="235" t="s">
        <v>126</v>
      </c>
      <c r="H40" s="235" t="s">
        <v>127</v>
      </c>
      <c r="I40" s="235" t="s">
        <v>43</v>
      </c>
      <c r="J40" s="235" t="s">
        <v>24</v>
      </c>
      <c r="K40" s="235">
        <v>72500</v>
      </c>
      <c r="L40" s="235" t="s">
        <v>25</v>
      </c>
      <c r="M40" s="237">
        <f>SUM(budget_Brazil:budget_Egypt!M40)</f>
        <v>0</v>
      </c>
      <c r="N40" s="237">
        <f>SUM(budget_Brazil:budget_Egypt!N40)</f>
        <v>930</v>
      </c>
      <c r="O40" s="237">
        <f>SUM(budget_Brazil:budget_Egypt!O40)</f>
        <v>904</v>
      </c>
      <c r="P40" s="237">
        <f>SUM(budget_Brazil:budget_Egypt!P40)</f>
        <v>906</v>
      </c>
      <c r="Q40" s="237">
        <f t="shared" si="13"/>
        <v>2740</v>
      </c>
      <c r="R40" s="238">
        <v>10</v>
      </c>
      <c r="S40" s="9">
        <f t="shared" si="14"/>
        <v>6.9784685471373903E-4</v>
      </c>
      <c r="U40" s="1"/>
      <c r="V40" s="1"/>
      <c r="W40" s="1"/>
      <c r="X40" s="1">
        <v>72500</v>
      </c>
      <c r="Y40" s="1"/>
      <c r="Z40" s="1"/>
      <c r="AA40" s="1"/>
      <c r="AB40" s="1"/>
      <c r="AC40" s="1"/>
      <c r="AD40" s="1"/>
      <c r="AE40" s="1"/>
      <c r="AF40" s="1"/>
      <c r="AG40" s="1"/>
      <c r="AH40" s="1"/>
      <c r="AI40" s="1"/>
      <c r="AJ40" s="1"/>
      <c r="AK40" s="1"/>
      <c r="AL40" s="1"/>
      <c r="AM40" s="1"/>
    </row>
    <row r="41" spans="1:39" ht="21.95" customHeight="1" thickBot="1" x14ac:dyDescent="0.25">
      <c r="A41" s="266"/>
      <c r="B41" s="266"/>
      <c r="C41" s="266"/>
      <c r="D41" s="266"/>
      <c r="E41" s="266"/>
      <c r="F41" s="235">
        <v>10180</v>
      </c>
      <c r="G41" s="235" t="s">
        <v>126</v>
      </c>
      <c r="H41" s="235" t="s">
        <v>127</v>
      </c>
      <c r="I41" s="235" t="s">
        <v>43</v>
      </c>
      <c r="J41" s="236" t="s">
        <v>26</v>
      </c>
      <c r="K41" s="235">
        <v>75700</v>
      </c>
      <c r="L41" s="235" t="s">
        <v>27</v>
      </c>
      <c r="M41" s="237">
        <f>SUM(budget_Brazil:budget_Egypt!M41)</f>
        <v>0</v>
      </c>
      <c r="N41" s="237">
        <f>SUM(budget_Brazil:budget_Egypt!N41)</f>
        <v>4714</v>
      </c>
      <c r="O41" s="237">
        <f>SUM(budget_Brazil:budget_Egypt!O41)</f>
        <v>4576</v>
      </c>
      <c r="P41" s="237">
        <f>SUM(budget_Brazil:budget_Egypt!P41)</f>
        <v>4576</v>
      </c>
      <c r="Q41" s="237">
        <f t="shared" si="13"/>
        <v>13866</v>
      </c>
      <c r="R41" s="238">
        <v>6</v>
      </c>
      <c r="S41" s="9">
        <f t="shared" si="14"/>
        <v>3.532463391215955E-3</v>
      </c>
      <c r="X41" s="1">
        <v>75700</v>
      </c>
    </row>
    <row r="42" spans="1:39" ht="21.95" customHeight="1" thickBot="1" x14ac:dyDescent="0.25">
      <c r="A42" s="266"/>
      <c r="B42" s="266"/>
      <c r="C42" s="266"/>
      <c r="D42" s="266"/>
      <c r="E42" s="266"/>
      <c r="F42" s="235">
        <v>10180</v>
      </c>
      <c r="G42" s="235" t="s">
        <v>126</v>
      </c>
      <c r="H42" s="235" t="s">
        <v>127</v>
      </c>
      <c r="I42" s="235" t="s">
        <v>43</v>
      </c>
      <c r="J42" s="236" t="s">
        <v>28</v>
      </c>
      <c r="K42" s="235">
        <v>61200</v>
      </c>
      <c r="L42" s="235" t="s">
        <v>29</v>
      </c>
      <c r="M42" s="237">
        <f>SUM(budget_Brazil:budget_Egypt!M42)</f>
        <v>0</v>
      </c>
      <c r="N42" s="237">
        <f>SUM(budget_Brazil:budget_Egypt!N42)</f>
        <v>0</v>
      </c>
      <c r="O42" s="237">
        <f>SUM(budget_Brazil:budget_Egypt!O42)</f>
        <v>0</v>
      </c>
      <c r="P42" s="237">
        <f>SUM(budget_Brazil:budget_Egypt!P42)</f>
        <v>0</v>
      </c>
      <c r="Q42" s="237">
        <f t="shared" si="13"/>
        <v>0</v>
      </c>
      <c r="R42" s="238">
        <v>4</v>
      </c>
      <c r="S42" s="9">
        <f t="shared" si="14"/>
        <v>0</v>
      </c>
      <c r="X42" s="1">
        <v>61200</v>
      </c>
    </row>
    <row r="43" spans="1:39" ht="21.95" customHeight="1" thickBot="1" x14ac:dyDescent="0.25">
      <c r="A43" s="266"/>
      <c r="B43" s="266"/>
      <c r="C43" s="266"/>
      <c r="D43" s="266"/>
      <c r="E43" s="266"/>
      <c r="F43" s="235">
        <v>10180</v>
      </c>
      <c r="G43" s="235" t="s">
        <v>126</v>
      </c>
      <c r="H43" s="235" t="s">
        <v>127</v>
      </c>
      <c r="I43" s="235" t="s">
        <v>43</v>
      </c>
      <c r="J43" s="236" t="s">
        <v>28</v>
      </c>
      <c r="K43" s="235">
        <v>61300</v>
      </c>
      <c r="L43" s="235" t="s">
        <v>30</v>
      </c>
      <c r="M43" s="237">
        <f>SUM(budget_Brazil:budget_Egypt!M43)</f>
        <v>0</v>
      </c>
      <c r="N43" s="237">
        <f>SUM(budget_Brazil:budget_Egypt!N43)</f>
        <v>0</v>
      </c>
      <c r="O43" s="237">
        <f>SUM(budget_Brazil:budget_Egypt!O43)</f>
        <v>0</v>
      </c>
      <c r="P43" s="237">
        <f>SUM(budget_Brazil:budget_Egypt!P43)</f>
        <v>0</v>
      </c>
      <c r="Q43" s="237">
        <f t="shared" si="13"/>
        <v>0</v>
      </c>
      <c r="R43" s="238">
        <v>4</v>
      </c>
      <c r="S43" s="9">
        <f t="shared" si="14"/>
        <v>0</v>
      </c>
      <c r="X43" s="1">
        <v>61300</v>
      </c>
    </row>
    <row r="44" spans="1:39" ht="21.95" customHeight="1" thickBot="1" x14ac:dyDescent="0.25">
      <c r="A44" s="266"/>
      <c r="B44" s="266"/>
      <c r="C44" s="267"/>
      <c r="D44" s="267"/>
      <c r="E44" s="267"/>
      <c r="F44" s="235">
        <v>10180</v>
      </c>
      <c r="G44" s="235" t="s">
        <v>126</v>
      </c>
      <c r="H44" s="235" t="s">
        <v>127</v>
      </c>
      <c r="I44" s="235" t="s">
        <v>43</v>
      </c>
      <c r="J44" s="236" t="s">
        <v>40</v>
      </c>
      <c r="K44" s="235">
        <v>72600</v>
      </c>
      <c r="L44" s="235" t="s">
        <v>40</v>
      </c>
      <c r="M44" s="237">
        <f>SUM(budget_Brazil:budget_Egypt!M44)</f>
        <v>0</v>
      </c>
      <c r="N44" s="237">
        <f>SUM(budget_Brazil:budget_Egypt!N44)</f>
        <v>4133900</v>
      </c>
      <c r="O44" s="237">
        <f>SUM(budget_Brazil:budget_Egypt!O44)</f>
        <v>4133900</v>
      </c>
      <c r="P44" s="237">
        <f>SUM(budget_Brazil:budget_Egypt!P44)</f>
        <v>2066950</v>
      </c>
      <c r="Q44" s="237">
        <f t="shared" si="13"/>
        <v>10334750</v>
      </c>
      <c r="R44" s="238">
        <v>1</v>
      </c>
      <c r="S44" s="9">
        <f t="shared" si="14"/>
        <v>0</v>
      </c>
      <c r="X44" s="1">
        <v>72600</v>
      </c>
    </row>
    <row r="45" spans="1:39" ht="21.95" customHeight="1" thickBot="1" x14ac:dyDescent="0.25">
      <c r="A45" s="266"/>
      <c r="B45" s="266"/>
      <c r="C45" s="270" t="s">
        <v>31</v>
      </c>
      <c r="D45" s="270"/>
      <c r="E45" s="270"/>
      <c r="F45" s="270"/>
      <c r="G45" s="270"/>
      <c r="H45" s="270"/>
      <c r="I45" s="270"/>
      <c r="J45" s="270"/>
      <c r="K45" s="270"/>
      <c r="L45" s="270"/>
      <c r="M45" s="237">
        <f>SUM(M36:M44)</f>
        <v>0</v>
      </c>
      <c r="N45" s="237">
        <f t="shared" ref="N45:Q45" si="15">SUM(N36:N44)</f>
        <v>4353744</v>
      </c>
      <c r="O45" s="237">
        <f t="shared" si="15"/>
        <v>4347281</v>
      </c>
      <c r="P45" s="237">
        <f t="shared" si="15"/>
        <v>2280330</v>
      </c>
      <c r="Q45" s="237">
        <f t="shared" si="15"/>
        <v>10981355</v>
      </c>
      <c r="R45" s="238"/>
      <c r="S45" s="9"/>
    </row>
    <row r="46" spans="1:39" ht="21.95" customHeight="1" thickBot="1" x14ac:dyDescent="0.25">
      <c r="A46" s="267"/>
      <c r="B46" s="270" t="s">
        <v>44</v>
      </c>
      <c r="C46" s="270"/>
      <c r="D46" s="270"/>
      <c r="E46" s="270"/>
      <c r="F46" s="270"/>
      <c r="G46" s="270"/>
      <c r="H46" s="270"/>
      <c r="I46" s="270"/>
      <c r="J46" s="270"/>
      <c r="K46" s="270"/>
      <c r="L46" s="270"/>
      <c r="M46" s="237">
        <f>M45</f>
        <v>0</v>
      </c>
      <c r="N46" s="237">
        <f t="shared" ref="N46:Q46" si="16">N45</f>
        <v>4353744</v>
      </c>
      <c r="O46" s="237">
        <f t="shared" si="16"/>
        <v>4347281</v>
      </c>
      <c r="P46" s="237">
        <f t="shared" si="16"/>
        <v>2280330</v>
      </c>
      <c r="Q46" s="237">
        <f t="shared" si="16"/>
        <v>10981355</v>
      </c>
      <c r="R46" s="238"/>
      <c r="T46" s="10"/>
      <c r="AC46" s="11"/>
      <c r="AF46" s="12"/>
      <c r="AG46" s="13"/>
    </row>
    <row r="47" spans="1:39" ht="21.95" customHeight="1" thickBot="1" x14ac:dyDescent="0.25">
      <c r="A47" s="271" t="s">
        <v>45</v>
      </c>
      <c r="B47" s="272"/>
      <c r="C47" s="272"/>
      <c r="D47" s="272"/>
      <c r="E47" s="272"/>
      <c r="F47" s="272"/>
      <c r="G47" s="272"/>
      <c r="H47" s="272"/>
      <c r="I47" s="272"/>
      <c r="J47" s="272"/>
      <c r="K47" s="272"/>
      <c r="L47" s="273"/>
      <c r="M47" s="237">
        <f t="shared" ref="M47:Q47" si="17">M35+M46</f>
        <v>0</v>
      </c>
      <c r="N47" s="237">
        <f t="shared" si="17"/>
        <v>5094483</v>
      </c>
      <c r="O47" s="237">
        <f t="shared" si="17"/>
        <v>5087729</v>
      </c>
      <c r="P47" s="237">
        <f t="shared" si="17"/>
        <v>2655332.7199999997</v>
      </c>
      <c r="Q47" s="237">
        <f t="shared" si="17"/>
        <v>12837544.720000001</v>
      </c>
      <c r="R47" s="238"/>
      <c r="U47" s="14"/>
      <c r="AC47" s="15"/>
      <c r="AM47" s="16"/>
    </row>
    <row r="48" spans="1:39" s="2" customFormat="1" ht="21.95" customHeight="1" thickBot="1" x14ac:dyDescent="0.25">
      <c r="A48" s="265" t="s">
        <v>46</v>
      </c>
      <c r="B48" s="268" t="s">
        <v>47</v>
      </c>
      <c r="C48" s="268" t="s">
        <v>17</v>
      </c>
      <c r="D48" s="268">
        <v>62000</v>
      </c>
      <c r="E48" s="268">
        <v>10003</v>
      </c>
      <c r="F48" s="235">
        <v>10180</v>
      </c>
      <c r="G48" s="235" t="s">
        <v>126</v>
      </c>
      <c r="H48" s="235" t="s">
        <v>127</v>
      </c>
      <c r="I48" s="235" t="s">
        <v>48</v>
      </c>
      <c r="J48" s="236" t="s">
        <v>19</v>
      </c>
      <c r="K48" s="235">
        <v>71200</v>
      </c>
      <c r="L48" s="235" t="s">
        <v>19</v>
      </c>
      <c r="M48" s="237">
        <f>SUM(budget_Brazil:budget_Egypt!M48)</f>
        <v>0</v>
      </c>
      <c r="N48" s="237">
        <f>SUM(budget_Brazil:budget_Egypt!N48)</f>
        <v>0</v>
      </c>
      <c r="O48" s="237">
        <f>SUM(budget_Brazil:budget_Egypt!O48)</f>
        <v>0</v>
      </c>
      <c r="P48" s="237">
        <f>SUM(budget_Brazil:budget_Egypt!P48)</f>
        <v>0</v>
      </c>
      <c r="Q48" s="237">
        <f t="shared" ref="Q48:Q56" si="18">SUM(M48:P48)</f>
        <v>0</v>
      </c>
      <c r="R48" s="238">
        <v>2</v>
      </c>
      <c r="S48" s="9">
        <f t="shared" ref="S48:S56" si="19">VLOOKUP(K48, rpacoreratio, 5, FALSE)*VLOOKUP(K48, rpacoreratio, 8, FALSE)</f>
        <v>0</v>
      </c>
      <c r="U48" s="1"/>
      <c r="V48" s="1"/>
      <c r="W48" s="1"/>
      <c r="X48" s="1">
        <v>71200</v>
      </c>
      <c r="Y48" s="1"/>
      <c r="Z48" s="1"/>
      <c r="AA48" s="1"/>
      <c r="AB48" s="1"/>
      <c r="AC48" s="1"/>
      <c r="AD48" s="1"/>
      <c r="AE48" s="1"/>
      <c r="AF48" s="1"/>
      <c r="AG48" s="1"/>
      <c r="AH48" s="1"/>
      <c r="AI48" s="1"/>
      <c r="AJ48" s="1"/>
      <c r="AK48" s="1"/>
      <c r="AL48" s="1"/>
      <c r="AM48" s="1"/>
    </row>
    <row r="49" spans="1:39" s="2" customFormat="1" ht="21.95" customHeight="1" thickBot="1" x14ac:dyDescent="0.25">
      <c r="A49" s="266"/>
      <c r="B49" s="268"/>
      <c r="C49" s="268"/>
      <c r="D49" s="268"/>
      <c r="E49" s="268"/>
      <c r="F49" s="235">
        <v>10180</v>
      </c>
      <c r="G49" s="235" t="s">
        <v>126</v>
      </c>
      <c r="H49" s="235" t="s">
        <v>127</v>
      </c>
      <c r="I49" s="235" t="s">
        <v>48</v>
      </c>
      <c r="J49" s="236" t="s">
        <v>20</v>
      </c>
      <c r="K49" s="235">
        <v>71300</v>
      </c>
      <c r="L49" s="235" t="s">
        <v>20</v>
      </c>
      <c r="M49" s="237">
        <f>SUM(budget_Brazil:budget_Egypt!M49)</f>
        <v>0</v>
      </c>
      <c r="N49" s="237">
        <f>SUM(budget_Brazil:budget_Egypt!N49)</f>
        <v>312</v>
      </c>
      <c r="O49" s="237">
        <f>SUM(budget_Brazil:budget_Egypt!O49)</f>
        <v>303</v>
      </c>
      <c r="P49" s="237">
        <f>SUM(budget_Brazil:budget_Egypt!P49)</f>
        <v>303</v>
      </c>
      <c r="Q49" s="237">
        <f t="shared" si="18"/>
        <v>918</v>
      </c>
      <c r="R49" s="238">
        <v>3</v>
      </c>
      <c r="S49" s="9">
        <f t="shared" si="19"/>
        <v>6.1210093879457608E-3</v>
      </c>
      <c r="U49" s="1"/>
      <c r="V49" s="1"/>
      <c r="W49" s="1"/>
      <c r="X49" s="1">
        <v>71300</v>
      </c>
      <c r="Y49" s="1"/>
      <c r="Z49" s="1"/>
      <c r="AA49" s="1"/>
      <c r="AB49" s="1"/>
      <c r="AC49" s="1"/>
      <c r="AD49" s="1"/>
      <c r="AE49" s="1"/>
      <c r="AF49" s="1"/>
      <c r="AG49" s="1"/>
      <c r="AH49" s="1"/>
      <c r="AI49" s="1"/>
      <c r="AJ49" s="1"/>
      <c r="AK49" s="1"/>
      <c r="AL49" s="1"/>
      <c r="AM49" s="1"/>
    </row>
    <row r="50" spans="1:39" s="2" customFormat="1" ht="21.95" customHeight="1" thickBot="1" x14ac:dyDescent="0.25">
      <c r="A50" s="266"/>
      <c r="B50" s="268"/>
      <c r="C50" s="268"/>
      <c r="D50" s="268"/>
      <c r="E50" s="268"/>
      <c r="F50" s="235">
        <v>10180</v>
      </c>
      <c r="G50" s="235" t="s">
        <v>126</v>
      </c>
      <c r="H50" s="235" t="s">
        <v>127</v>
      </c>
      <c r="I50" s="235" t="s">
        <v>48</v>
      </c>
      <c r="J50" s="236" t="s">
        <v>21</v>
      </c>
      <c r="K50" s="235">
        <v>71400</v>
      </c>
      <c r="L50" s="235" t="s">
        <v>22</v>
      </c>
      <c r="M50" s="237">
        <f>SUM(budget_Brazil:budget_Egypt!M50)</f>
        <v>0</v>
      </c>
      <c r="N50" s="237">
        <f>SUM(budget_Brazil:budget_Egypt!N50)</f>
        <v>4701</v>
      </c>
      <c r="O50" s="237">
        <f>SUM(budget_Brazil:budget_Egypt!O50)</f>
        <v>4563</v>
      </c>
      <c r="P50" s="237">
        <f>SUM(budget_Brazil:budget_Egypt!P50)</f>
        <v>4563</v>
      </c>
      <c r="Q50" s="237">
        <f t="shared" si="18"/>
        <v>13827</v>
      </c>
      <c r="R50" s="238">
        <v>5</v>
      </c>
      <c r="S50" s="9">
        <f t="shared" si="19"/>
        <v>9.2177594545789457E-2</v>
      </c>
      <c r="U50" s="1"/>
      <c r="V50" s="1"/>
      <c r="W50" s="1"/>
      <c r="X50" s="1">
        <v>71400</v>
      </c>
      <c r="Y50" s="1"/>
      <c r="Z50" s="1"/>
      <c r="AA50" s="1"/>
      <c r="AB50" s="1"/>
      <c r="AC50" s="1"/>
      <c r="AD50" s="1"/>
      <c r="AE50" s="1"/>
      <c r="AF50" s="1"/>
      <c r="AG50" s="1"/>
      <c r="AH50" s="1"/>
      <c r="AI50" s="1"/>
      <c r="AJ50" s="1"/>
      <c r="AK50" s="1"/>
      <c r="AL50" s="1"/>
      <c r="AM50" s="1"/>
    </row>
    <row r="51" spans="1:39" s="2" customFormat="1" ht="21.95" customHeight="1" thickBot="1" x14ac:dyDescent="0.25">
      <c r="A51" s="266"/>
      <c r="B51" s="268"/>
      <c r="C51" s="268"/>
      <c r="D51" s="268"/>
      <c r="E51" s="268"/>
      <c r="F51" s="235">
        <v>10180</v>
      </c>
      <c r="G51" s="235" t="s">
        <v>126</v>
      </c>
      <c r="H51" s="235" t="s">
        <v>127</v>
      </c>
      <c r="I51" s="235" t="s">
        <v>48</v>
      </c>
      <c r="J51" s="236" t="s">
        <v>23</v>
      </c>
      <c r="K51" s="235">
        <v>71600</v>
      </c>
      <c r="L51" s="235" t="s">
        <v>23</v>
      </c>
      <c r="M51" s="237">
        <f>SUM(budget_Brazil:budget_Egypt!M51)</f>
        <v>0</v>
      </c>
      <c r="N51" s="237">
        <f>SUM(budget_Brazil:budget_Egypt!N51)</f>
        <v>903</v>
      </c>
      <c r="O51" s="237">
        <f>SUM(budget_Brazil:budget_Egypt!O51)</f>
        <v>876</v>
      </c>
      <c r="P51" s="237">
        <f>SUM(budget_Brazil:budget_Egypt!P51)</f>
        <v>873</v>
      </c>
      <c r="Q51" s="237">
        <f t="shared" si="18"/>
        <v>2652</v>
      </c>
      <c r="R51" s="238">
        <v>7</v>
      </c>
      <c r="S51" s="9">
        <f t="shared" si="19"/>
        <v>1.768655089038422E-2</v>
      </c>
      <c r="U51" s="1"/>
      <c r="V51" s="1"/>
      <c r="W51" s="1"/>
      <c r="X51" s="1">
        <v>71600</v>
      </c>
      <c r="Y51" s="1"/>
      <c r="Z51" s="1"/>
      <c r="AA51" s="1"/>
      <c r="AB51" s="1"/>
      <c r="AC51" s="1"/>
      <c r="AD51" s="1"/>
      <c r="AE51" s="1"/>
      <c r="AF51" s="1"/>
      <c r="AG51" s="1"/>
      <c r="AH51" s="1"/>
      <c r="AI51" s="1"/>
      <c r="AJ51" s="1"/>
      <c r="AK51" s="1"/>
      <c r="AL51" s="1"/>
      <c r="AM51" s="1"/>
    </row>
    <row r="52" spans="1:39" s="2" customFormat="1" ht="21.95" customHeight="1" thickBot="1" x14ac:dyDescent="0.25">
      <c r="A52" s="266"/>
      <c r="B52" s="268"/>
      <c r="C52" s="268"/>
      <c r="D52" s="268"/>
      <c r="E52" s="268"/>
      <c r="F52" s="235">
        <v>10180</v>
      </c>
      <c r="G52" s="235" t="s">
        <v>126</v>
      </c>
      <c r="H52" s="235" t="s">
        <v>127</v>
      </c>
      <c r="I52" s="235" t="s">
        <v>48</v>
      </c>
      <c r="J52" s="236" t="s">
        <v>24</v>
      </c>
      <c r="K52" s="235">
        <v>72500</v>
      </c>
      <c r="L52" s="235" t="s">
        <v>25</v>
      </c>
      <c r="M52" s="237">
        <f>SUM(budget_Brazil:budget_Egypt!M52)</f>
        <v>0</v>
      </c>
      <c r="N52" s="237">
        <f>SUM(budget_Brazil:budget_Egypt!N52)</f>
        <v>18</v>
      </c>
      <c r="O52" s="237">
        <f>SUM(budget_Brazil:budget_Egypt!O52)</f>
        <v>18</v>
      </c>
      <c r="P52" s="237">
        <f>SUM(budget_Brazil:budget_Egypt!P52)</f>
        <v>21</v>
      </c>
      <c r="Q52" s="237">
        <f t="shared" si="18"/>
        <v>57</v>
      </c>
      <c r="R52" s="238">
        <v>10</v>
      </c>
      <c r="S52" s="9">
        <f t="shared" si="19"/>
        <v>3.8649921662828888E-4</v>
      </c>
      <c r="U52" s="1"/>
      <c r="V52" s="1"/>
      <c r="W52" s="1"/>
      <c r="X52" s="1">
        <v>72500</v>
      </c>
      <c r="Y52" s="1"/>
      <c r="Z52" s="1"/>
      <c r="AA52" s="1"/>
      <c r="AB52" s="1"/>
      <c r="AC52" s="1"/>
      <c r="AD52" s="1"/>
      <c r="AE52" s="1"/>
      <c r="AF52" s="1"/>
      <c r="AG52" s="1"/>
      <c r="AH52" s="1"/>
      <c r="AI52" s="1"/>
      <c r="AJ52" s="1"/>
      <c r="AK52" s="1"/>
      <c r="AL52" s="1"/>
      <c r="AM52" s="1"/>
    </row>
    <row r="53" spans="1:39" s="2" customFormat="1" ht="21.95" customHeight="1" thickBot="1" x14ac:dyDescent="0.25">
      <c r="A53" s="266"/>
      <c r="B53" s="268"/>
      <c r="C53" s="268"/>
      <c r="D53" s="268"/>
      <c r="E53" s="268"/>
      <c r="F53" s="235">
        <v>10180</v>
      </c>
      <c r="G53" s="235" t="s">
        <v>126</v>
      </c>
      <c r="H53" s="235" t="s">
        <v>127</v>
      </c>
      <c r="I53" s="235" t="s">
        <v>48</v>
      </c>
      <c r="J53" s="236" t="s">
        <v>23</v>
      </c>
      <c r="K53" s="235">
        <v>74500</v>
      </c>
      <c r="L53" s="235" t="s">
        <v>49</v>
      </c>
      <c r="M53" s="237">
        <f>SUM(budget_Brazil:budget_Egypt!M53)</f>
        <v>0</v>
      </c>
      <c r="N53" s="237">
        <f>SUM(budget_Brazil:budget_Egypt!N53)</f>
        <v>21</v>
      </c>
      <c r="O53" s="237">
        <f>SUM(budget_Brazil:budget_Egypt!O53)</f>
        <v>21</v>
      </c>
      <c r="P53" s="237">
        <f>SUM(budget_Brazil:budget_Egypt!P53)</f>
        <v>18</v>
      </c>
      <c r="Q53" s="237">
        <f t="shared" si="18"/>
        <v>60</v>
      </c>
      <c r="R53" s="238">
        <v>11</v>
      </c>
      <c r="S53" s="9">
        <f t="shared" si="19"/>
        <v>4.0236622493648098E-4</v>
      </c>
      <c r="U53" s="1"/>
      <c r="V53" s="1"/>
      <c r="W53" s="1"/>
      <c r="X53" s="1">
        <v>74500</v>
      </c>
      <c r="Y53" s="1"/>
      <c r="Z53" s="1"/>
      <c r="AA53" s="1"/>
      <c r="AB53" s="1"/>
      <c r="AC53" s="1"/>
      <c r="AD53" s="1"/>
      <c r="AE53" s="1"/>
      <c r="AF53" s="1"/>
      <c r="AG53" s="1"/>
      <c r="AH53" s="1"/>
      <c r="AI53" s="1"/>
      <c r="AJ53" s="1"/>
      <c r="AK53" s="1"/>
      <c r="AL53" s="1"/>
      <c r="AM53" s="1"/>
    </row>
    <row r="54" spans="1:39" s="2" customFormat="1" ht="21.95" customHeight="1" thickBot="1" x14ac:dyDescent="0.25">
      <c r="A54" s="266"/>
      <c r="B54" s="268"/>
      <c r="C54" s="268"/>
      <c r="D54" s="268"/>
      <c r="E54" s="268"/>
      <c r="F54" s="235">
        <v>10180</v>
      </c>
      <c r="G54" s="235" t="s">
        <v>126</v>
      </c>
      <c r="H54" s="235" t="s">
        <v>127</v>
      </c>
      <c r="I54" s="235" t="s">
        <v>48</v>
      </c>
      <c r="J54" s="236" t="s">
        <v>26</v>
      </c>
      <c r="K54" s="235">
        <v>75700</v>
      </c>
      <c r="L54" s="235" t="s">
        <v>27</v>
      </c>
      <c r="M54" s="237">
        <f>SUM(budget_Brazil:budget_Egypt!M54)</f>
        <v>0</v>
      </c>
      <c r="N54" s="237">
        <f>SUM(budget_Brazil:budget_Egypt!N54)</f>
        <v>99</v>
      </c>
      <c r="O54" s="237">
        <f>SUM(budget_Brazil:budget_Egypt!O54)</f>
        <v>96</v>
      </c>
      <c r="P54" s="237">
        <f>SUM(budget_Brazil:budget_Egypt!P54)</f>
        <v>99</v>
      </c>
      <c r="Q54" s="237">
        <f t="shared" si="18"/>
        <v>294</v>
      </c>
      <c r="R54" s="238">
        <v>6</v>
      </c>
      <c r="S54" s="9">
        <f t="shared" si="19"/>
        <v>1.9564285065991694E-3</v>
      </c>
      <c r="U54" s="1"/>
      <c r="V54" s="1"/>
      <c r="W54" s="1"/>
      <c r="X54" s="1">
        <v>75700</v>
      </c>
      <c r="Y54" s="1"/>
      <c r="Z54" s="1"/>
      <c r="AA54" s="1"/>
      <c r="AB54" s="1"/>
      <c r="AC54" s="1"/>
      <c r="AD54" s="1"/>
      <c r="AE54" s="1"/>
      <c r="AF54" s="1"/>
      <c r="AG54" s="1"/>
      <c r="AH54" s="1"/>
      <c r="AI54" s="1"/>
      <c r="AJ54" s="1"/>
      <c r="AK54" s="1"/>
      <c r="AL54" s="1"/>
      <c r="AM54" s="1"/>
    </row>
    <row r="55" spans="1:39" s="2" customFormat="1" ht="21.95" customHeight="1" thickBot="1" x14ac:dyDescent="0.25">
      <c r="A55" s="266"/>
      <c r="B55" s="268"/>
      <c r="C55" s="268"/>
      <c r="D55" s="268"/>
      <c r="E55" s="268"/>
      <c r="F55" s="235">
        <v>10180</v>
      </c>
      <c r="G55" s="235" t="s">
        <v>126</v>
      </c>
      <c r="H55" s="235" t="s">
        <v>127</v>
      </c>
      <c r="I55" s="235" t="s">
        <v>48</v>
      </c>
      <c r="J55" s="236" t="s">
        <v>28</v>
      </c>
      <c r="K55" s="235">
        <v>61200</v>
      </c>
      <c r="L55" s="235" t="s">
        <v>29</v>
      </c>
      <c r="M55" s="237">
        <f>SUM(budget_Brazil:budget_Egypt!M55)</f>
        <v>0</v>
      </c>
      <c r="N55" s="237">
        <f>SUM(budget_Brazil:budget_Egypt!N55)</f>
        <v>0</v>
      </c>
      <c r="O55" s="237">
        <f>SUM(budget_Brazil:budget_Egypt!O55)</f>
        <v>0</v>
      </c>
      <c r="P55" s="237">
        <f>SUM(budget_Brazil:budget_Egypt!P55)</f>
        <v>0</v>
      </c>
      <c r="Q55" s="237">
        <f t="shared" si="18"/>
        <v>0</v>
      </c>
      <c r="R55" s="238">
        <v>4</v>
      </c>
      <c r="S55" s="9">
        <f t="shared" si="19"/>
        <v>0</v>
      </c>
      <c r="U55" s="1"/>
      <c r="V55" s="1"/>
      <c r="W55" s="1"/>
      <c r="X55" s="1">
        <v>61200</v>
      </c>
      <c r="Y55" s="1"/>
      <c r="Z55" s="1"/>
      <c r="AA55" s="1"/>
      <c r="AB55" s="1"/>
      <c r="AC55" s="1"/>
      <c r="AD55" s="1"/>
      <c r="AE55" s="1"/>
      <c r="AF55" s="1"/>
      <c r="AG55" s="1"/>
      <c r="AH55" s="1"/>
      <c r="AI55" s="1"/>
      <c r="AJ55" s="1"/>
      <c r="AK55" s="1"/>
      <c r="AL55" s="1"/>
      <c r="AM55" s="1"/>
    </row>
    <row r="56" spans="1:39" s="2" customFormat="1" ht="21.95" customHeight="1" thickBot="1" x14ac:dyDescent="0.25">
      <c r="A56" s="266"/>
      <c r="B56" s="268"/>
      <c r="C56" s="268"/>
      <c r="D56" s="268"/>
      <c r="E56" s="268"/>
      <c r="F56" s="235">
        <v>10180</v>
      </c>
      <c r="G56" s="235" t="s">
        <v>126</v>
      </c>
      <c r="H56" s="235" t="s">
        <v>127</v>
      </c>
      <c r="I56" s="235" t="s">
        <v>48</v>
      </c>
      <c r="J56" s="236" t="s">
        <v>28</v>
      </c>
      <c r="K56" s="235">
        <v>61300</v>
      </c>
      <c r="L56" s="235" t="s">
        <v>30</v>
      </c>
      <c r="M56" s="237">
        <f>SUM(budget_Brazil:budget_Egypt!M56)</f>
        <v>0</v>
      </c>
      <c r="N56" s="237">
        <f>SUM(budget_Brazil:budget_Egypt!N56)</f>
        <v>0</v>
      </c>
      <c r="O56" s="237">
        <f>SUM(budget_Brazil:budget_Egypt!O56)</f>
        <v>0</v>
      </c>
      <c r="P56" s="237">
        <f>SUM(budget_Brazil:budget_Egypt!P56)</f>
        <v>0</v>
      </c>
      <c r="Q56" s="237">
        <f t="shared" si="18"/>
        <v>0</v>
      </c>
      <c r="R56" s="238">
        <v>4</v>
      </c>
      <c r="S56" s="9">
        <f t="shared" si="19"/>
        <v>0</v>
      </c>
      <c r="U56" s="1"/>
      <c r="V56" s="1"/>
      <c r="W56" s="1"/>
      <c r="X56" s="1">
        <v>61300</v>
      </c>
      <c r="Y56" s="1"/>
      <c r="Z56" s="1"/>
      <c r="AA56" s="1"/>
      <c r="AB56" s="1"/>
      <c r="AC56" s="1"/>
      <c r="AD56" s="1"/>
      <c r="AE56" s="1"/>
      <c r="AF56" s="1"/>
      <c r="AG56" s="1"/>
      <c r="AH56" s="1"/>
      <c r="AI56" s="1"/>
      <c r="AJ56" s="1"/>
      <c r="AK56" s="1"/>
      <c r="AL56" s="1"/>
      <c r="AM56" s="1"/>
    </row>
    <row r="57" spans="1:39" s="2" customFormat="1" ht="21.95" customHeight="1" thickBot="1" x14ac:dyDescent="0.25">
      <c r="A57" s="266"/>
      <c r="B57" s="268"/>
      <c r="C57" s="269" t="s">
        <v>31</v>
      </c>
      <c r="D57" s="269"/>
      <c r="E57" s="269"/>
      <c r="F57" s="269"/>
      <c r="G57" s="269"/>
      <c r="H57" s="269"/>
      <c r="I57" s="269"/>
      <c r="J57" s="269"/>
      <c r="K57" s="269"/>
      <c r="L57" s="269"/>
      <c r="M57" s="237">
        <f>SUM(M48:M56)</f>
        <v>0</v>
      </c>
      <c r="N57" s="237">
        <f t="shared" ref="N57:Q57" si="20">SUM(N48:N56)</f>
        <v>6054</v>
      </c>
      <c r="O57" s="237">
        <f t="shared" si="20"/>
        <v>5877</v>
      </c>
      <c r="P57" s="237">
        <f t="shared" si="20"/>
        <v>5877</v>
      </c>
      <c r="Q57" s="237">
        <f t="shared" si="20"/>
        <v>17808</v>
      </c>
      <c r="R57" s="238"/>
      <c r="S57" s="9"/>
      <c r="U57" s="1"/>
      <c r="V57" s="1"/>
      <c r="W57" s="1"/>
      <c r="X57" s="1"/>
      <c r="Y57" s="1"/>
      <c r="Z57" s="1"/>
      <c r="AA57" s="1"/>
      <c r="AB57" s="1"/>
      <c r="AC57" s="1"/>
      <c r="AD57" s="1"/>
      <c r="AE57" s="1"/>
      <c r="AF57" s="1"/>
      <c r="AG57" s="1"/>
      <c r="AH57" s="1"/>
      <c r="AI57" s="1"/>
      <c r="AJ57" s="1"/>
      <c r="AK57" s="1"/>
      <c r="AL57" s="1"/>
      <c r="AM57" s="1"/>
    </row>
    <row r="58" spans="1:39" s="2" customFormat="1" ht="21.95" customHeight="1" thickBot="1" x14ac:dyDescent="0.25">
      <c r="A58" s="266"/>
      <c r="B58" s="269" t="s">
        <v>50</v>
      </c>
      <c r="C58" s="269"/>
      <c r="D58" s="269"/>
      <c r="E58" s="269"/>
      <c r="F58" s="269"/>
      <c r="G58" s="269"/>
      <c r="H58" s="269"/>
      <c r="I58" s="269"/>
      <c r="J58" s="269"/>
      <c r="K58" s="269"/>
      <c r="L58" s="269"/>
      <c r="M58" s="237">
        <f>M57</f>
        <v>0</v>
      </c>
      <c r="N58" s="237">
        <f t="shared" ref="N58:Q58" si="21">N57</f>
        <v>6054</v>
      </c>
      <c r="O58" s="237">
        <f t="shared" si="21"/>
        <v>5877</v>
      </c>
      <c r="P58" s="237">
        <f t="shared" si="21"/>
        <v>5877</v>
      </c>
      <c r="Q58" s="237">
        <f t="shared" si="21"/>
        <v>17808</v>
      </c>
      <c r="R58" s="238"/>
      <c r="S58" s="9"/>
      <c r="U58" s="1"/>
      <c r="V58" s="1"/>
      <c r="W58" s="1"/>
      <c r="X58" s="1"/>
      <c r="Y58" s="1"/>
      <c r="Z58" s="1"/>
      <c r="AA58" s="1"/>
      <c r="AB58" s="1"/>
      <c r="AC58" s="1"/>
      <c r="AD58" s="1"/>
      <c r="AE58" s="1"/>
      <c r="AF58" s="1"/>
      <c r="AG58" s="1"/>
      <c r="AH58" s="1"/>
      <c r="AI58" s="1"/>
      <c r="AJ58" s="1"/>
      <c r="AK58" s="1"/>
      <c r="AL58" s="1"/>
      <c r="AM58" s="1"/>
    </row>
    <row r="59" spans="1:39" s="2" customFormat="1" ht="21.95" customHeight="1" thickBot="1" x14ac:dyDescent="0.25">
      <c r="A59" s="266"/>
      <c r="B59" s="265" t="s">
        <v>51</v>
      </c>
      <c r="C59" s="265" t="s">
        <v>17</v>
      </c>
      <c r="D59" s="265">
        <v>62000</v>
      </c>
      <c r="E59" s="265">
        <v>10003</v>
      </c>
      <c r="F59" s="235">
        <v>10180</v>
      </c>
      <c r="G59" s="235" t="s">
        <v>126</v>
      </c>
      <c r="H59" s="235" t="s">
        <v>127</v>
      </c>
      <c r="I59" s="235" t="s">
        <v>52</v>
      </c>
      <c r="J59" s="236" t="s">
        <v>19</v>
      </c>
      <c r="K59" s="235">
        <v>71200</v>
      </c>
      <c r="L59" s="235" t="s">
        <v>19</v>
      </c>
      <c r="M59" s="237">
        <f>SUM(budget_Brazil:budget_Egypt!M59)</f>
        <v>0</v>
      </c>
      <c r="N59" s="237">
        <f>SUM(budget_Brazil:budget_Egypt!N59)</f>
        <v>0</v>
      </c>
      <c r="O59" s="237">
        <f>SUM(budget_Brazil:budget_Egypt!O59)</f>
        <v>0</v>
      </c>
      <c r="P59" s="237">
        <f>SUM(budget_Brazil:budget_Egypt!P59)</f>
        <v>0</v>
      </c>
      <c r="Q59" s="237">
        <f t="shared" ref="Q59:Q67" si="22">SUM(M59:P59)</f>
        <v>0</v>
      </c>
      <c r="R59" s="238">
        <v>2</v>
      </c>
      <c r="S59" s="9">
        <f t="shared" ref="S59:S67" si="23">VLOOKUP(K59, rpastarratio, 5, FALSE)*VLOOKUP(K59, rpastarratio, 8, FALSE)</f>
        <v>0</v>
      </c>
      <c r="U59" s="1"/>
      <c r="V59" s="1"/>
      <c r="W59" s="1"/>
      <c r="X59" s="1">
        <v>71200</v>
      </c>
      <c r="Y59" s="1"/>
      <c r="Z59" s="1"/>
      <c r="AA59" s="1"/>
      <c r="AB59" s="1"/>
      <c r="AC59" s="1"/>
      <c r="AD59" s="1"/>
      <c r="AE59" s="1"/>
      <c r="AF59" s="1"/>
      <c r="AG59" s="1"/>
      <c r="AH59" s="1"/>
      <c r="AI59" s="1"/>
      <c r="AJ59" s="1"/>
      <c r="AK59" s="1"/>
      <c r="AL59" s="1"/>
      <c r="AM59" s="1"/>
    </row>
    <row r="60" spans="1:39" s="2" customFormat="1" ht="21.95" customHeight="1" thickBot="1" x14ac:dyDescent="0.25">
      <c r="A60" s="266"/>
      <c r="B60" s="266"/>
      <c r="C60" s="266"/>
      <c r="D60" s="266"/>
      <c r="E60" s="266"/>
      <c r="F60" s="235">
        <v>10180</v>
      </c>
      <c r="G60" s="235" t="s">
        <v>126</v>
      </c>
      <c r="H60" s="235" t="s">
        <v>127</v>
      </c>
      <c r="I60" s="235" t="s">
        <v>52</v>
      </c>
      <c r="J60" s="236" t="s">
        <v>20</v>
      </c>
      <c r="K60" s="235">
        <v>71300</v>
      </c>
      <c r="L60" s="235" t="s">
        <v>20</v>
      </c>
      <c r="M60" s="237">
        <f>SUM(budget_Brazil:budget_Egypt!M60)</f>
        <v>0</v>
      </c>
      <c r="N60" s="237">
        <f>SUM(budget_Brazil:budget_Egypt!N60)</f>
        <v>8169</v>
      </c>
      <c r="O60" s="237">
        <f>SUM(budget_Brazil:budget_Egypt!O60)</f>
        <v>7928</v>
      </c>
      <c r="P60" s="237">
        <f>SUM(budget_Brazil:budget_Egypt!P60)</f>
        <v>7929</v>
      </c>
      <c r="Q60" s="237">
        <f t="shared" si="22"/>
        <v>24026</v>
      </c>
      <c r="R60" s="238">
        <v>3</v>
      </c>
      <c r="S60" s="9">
        <f t="shared" si="23"/>
        <v>6.1210093879457573E-3</v>
      </c>
      <c r="U60" s="1"/>
      <c r="V60" s="1"/>
      <c r="W60" s="1"/>
      <c r="X60" s="1">
        <v>71300</v>
      </c>
      <c r="Y60" s="1"/>
      <c r="Z60" s="1"/>
      <c r="AA60" s="1"/>
      <c r="AB60" s="1"/>
      <c r="AC60" s="1"/>
      <c r="AD60" s="1"/>
      <c r="AE60" s="1"/>
      <c r="AF60" s="1"/>
      <c r="AG60" s="1"/>
      <c r="AH60" s="1"/>
      <c r="AI60" s="1"/>
      <c r="AJ60" s="1"/>
      <c r="AK60" s="1"/>
      <c r="AL60" s="1"/>
      <c r="AM60" s="1"/>
    </row>
    <row r="61" spans="1:39" s="2" customFormat="1" ht="21.95" customHeight="1" thickBot="1" x14ac:dyDescent="0.25">
      <c r="A61" s="266"/>
      <c r="B61" s="266"/>
      <c r="C61" s="266"/>
      <c r="D61" s="266"/>
      <c r="E61" s="266"/>
      <c r="F61" s="235">
        <v>10180</v>
      </c>
      <c r="G61" s="235" t="s">
        <v>126</v>
      </c>
      <c r="H61" s="235" t="s">
        <v>127</v>
      </c>
      <c r="I61" s="235" t="s">
        <v>52</v>
      </c>
      <c r="J61" s="236" t="s">
        <v>21</v>
      </c>
      <c r="K61" s="235">
        <v>71400</v>
      </c>
      <c r="L61" s="235" t="s">
        <v>22</v>
      </c>
      <c r="M61" s="237">
        <f>SUM(budget_Brazil:budget_Egypt!M61)</f>
        <v>0</v>
      </c>
      <c r="N61" s="237">
        <f>SUM(budget_Brazil:budget_Egypt!N61)</f>
        <v>102637</v>
      </c>
      <c r="O61" s="237">
        <f>SUM(budget_Brazil:budget_Egypt!O61)</f>
        <v>99620</v>
      </c>
      <c r="P61" s="237">
        <f>SUM(budget_Brazil:budget_Egypt!P61)</f>
        <v>99620</v>
      </c>
      <c r="Q61" s="237">
        <f t="shared" si="22"/>
        <v>301877</v>
      </c>
      <c r="R61" s="238">
        <v>5</v>
      </c>
      <c r="S61" s="9">
        <f t="shared" si="23"/>
        <v>9.2177594545789415E-2</v>
      </c>
      <c r="U61" s="1"/>
      <c r="V61" s="1"/>
      <c r="W61" s="1"/>
      <c r="X61" s="1">
        <v>71400</v>
      </c>
      <c r="Y61" s="1"/>
      <c r="Z61" s="1"/>
      <c r="AA61" s="1"/>
      <c r="AB61" s="1"/>
      <c r="AC61" s="1"/>
      <c r="AD61" s="1"/>
      <c r="AE61" s="1"/>
      <c r="AF61" s="1"/>
      <c r="AG61" s="1"/>
      <c r="AH61" s="1"/>
      <c r="AI61" s="1"/>
      <c r="AJ61" s="1"/>
      <c r="AK61" s="1"/>
      <c r="AL61" s="1"/>
      <c r="AM61" s="1"/>
    </row>
    <row r="62" spans="1:39" s="2" customFormat="1" ht="21.95" customHeight="1" thickBot="1" x14ac:dyDescent="0.25">
      <c r="A62" s="266"/>
      <c r="B62" s="266"/>
      <c r="C62" s="266"/>
      <c r="D62" s="266"/>
      <c r="E62" s="266"/>
      <c r="F62" s="235">
        <v>10180</v>
      </c>
      <c r="G62" s="235" t="s">
        <v>126</v>
      </c>
      <c r="H62" s="235" t="s">
        <v>127</v>
      </c>
      <c r="I62" s="235" t="s">
        <v>52</v>
      </c>
      <c r="J62" s="236" t="s">
        <v>23</v>
      </c>
      <c r="K62" s="235">
        <v>71600</v>
      </c>
      <c r="L62" s="235" t="s">
        <v>23</v>
      </c>
      <c r="M62" s="237">
        <f>SUM(budget_Brazil:budget_Egypt!M62)</f>
        <v>0</v>
      </c>
      <c r="N62" s="237">
        <f>SUM(budget_Brazil:budget_Egypt!N62)</f>
        <v>23604</v>
      </c>
      <c r="O62" s="237">
        <f>SUM(budget_Brazil:budget_Egypt!O62)</f>
        <v>22909</v>
      </c>
      <c r="P62" s="237">
        <f>SUM(budget_Brazil:budget_Egypt!P62)</f>
        <v>22911</v>
      </c>
      <c r="Q62" s="237">
        <f t="shared" si="22"/>
        <v>69424</v>
      </c>
      <c r="R62" s="238">
        <v>7</v>
      </c>
      <c r="S62" s="9">
        <f t="shared" si="23"/>
        <v>1.768655089038421E-2</v>
      </c>
      <c r="U62" s="1"/>
      <c r="V62" s="1"/>
      <c r="W62" s="1"/>
      <c r="X62" s="1">
        <v>71600</v>
      </c>
      <c r="Y62" s="1"/>
      <c r="Z62" s="1"/>
      <c r="AA62" s="1"/>
      <c r="AB62" s="1"/>
      <c r="AC62" s="1"/>
      <c r="AD62" s="1"/>
      <c r="AE62" s="1"/>
      <c r="AF62" s="1"/>
      <c r="AG62" s="1"/>
      <c r="AH62" s="1"/>
      <c r="AI62" s="1"/>
      <c r="AJ62" s="1"/>
      <c r="AK62" s="1"/>
      <c r="AL62" s="1"/>
      <c r="AM62" s="1"/>
    </row>
    <row r="63" spans="1:39" s="2" customFormat="1" ht="21.95" customHeight="1" thickBot="1" x14ac:dyDescent="0.25">
      <c r="A63" s="266"/>
      <c r="B63" s="266"/>
      <c r="C63" s="266"/>
      <c r="D63" s="266"/>
      <c r="E63" s="266"/>
      <c r="F63" s="235">
        <v>10180</v>
      </c>
      <c r="G63" s="235" t="s">
        <v>126</v>
      </c>
      <c r="H63" s="235" t="s">
        <v>127</v>
      </c>
      <c r="I63" s="235" t="s">
        <v>52</v>
      </c>
      <c r="J63" s="236" t="s">
        <v>24</v>
      </c>
      <c r="K63" s="235">
        <v>72500</v>
      </c>
      <c r="L63" s="235" t="s">
        <v>25</v>
      </c>
      <c r="M63" s="237">
        <f>SUM(budget_Brazil:budget_Egypt!M63)</f>
        <v>0</v>
      </c>
      <c r="N63" s="237">
        <f>SUM(budget_Brazil:budget_Egypt!N63)</f>
        <v>515</v>
      </c>
      <c r="O63" s="237">
        <f>SUM(budget_Brazil:budget_Egypt!O63)</f>
        <v>499</v>
      </c>
      <c r="P63" s="237">
        <f>SUM(budget_Brazil:budget_Egypt!P63)</f>
        <v>502</v>
      </c>
      <c r="Q63" s="237">
        <f t="shared" si="22"/>
        <v>1516</v>
      </c>
      <c r="R63" s="238">
        <v>10</v>
      </c>
      <c r="S63" s="9">
        <f t="shared" si="23"/>
        <v>3.8649921662828871E-4</v>
      </c>
      <c r="U63" s="1"/>
      <c r="V63" s="1"/>
      <c r="W63" s="1"/>
      <c r="X63" s="1">
        <v>72500</v>
      </c>
      <c r="Y63" s="1"/>
      <c r="Z63" s="1"/>
      <c r="AA63" s="1"/>
      <c r="AB63" s="1"/>
      <c r="AC63" s="1"/>
      <c r="AD63" s="1"/>
      <c r="AE63" s="1"/>
      <c r="AF63" s="1"/>
      <c r="AG63" s="1"/>
      <c r="AH63" s="1"/>
      <c r="AI63" s="1"/>
      <c r="AJ63" s="1"/>
      <c r="AK63" s="1"/>
      <c r="AL63" s="1"/>
      <c r="AM63" s="1"/>
    </row>
    <row r="64" spans="1:39" s="2" customFormat="1" ht="21.95" customHeight="1" thickBot="1" x14ac:dyDescent="0.25">
      <c r="A64" s="266"/>
      <c r="B64" s="266"/>
      <c r="C64" s="266"/>
      <c r="D64" s="266"/>
      <c r="E64" s="266"/>
      <c r="F64" s="235">
        <v>10180</v>
      </c>
      <c r="G64" s="235" t="s">
        <v>126</v>
      </c>
      <c r="H64" s="235" t="s">
        <v>127</v>
      </c>
      <c r="I64" s="235" t="s">
        <v>52</v>
      </c>
      <c r="J64" s="236" t="s">
        <v>23</v>
      </c>
      <c r="K64" s="235">
        <v>74500</v>
      </c>
      <c r="L64" s="235" t="s">
        <v>49</v>
      </c>
      <c r="M64" s="237">
        <f>SUM(budget_Brazil:budget_Egypt!M64)</f>
        <v>0</v>
      </c>
      <c r="N64" s="237">
        <f>SUM(budget_Brazil:budget_Egypt!N64)</f>
        <v>536</v>
      </c>
      <c r="O64" s="237">
        <f>SUM(budget_Brazil:budget_Egypt!O64)</f>
        <v>521</v>
      </c>
      <c r="P64" s="237">
        <f>SUM(budget_Brazil:budget_Egypt!P64)</f>
        <v>523</v>
      </c>
      <c r="Q64" s="237">
        <f t="shared" si="22"/>
        <v>1580</v>
      </c>
      <c r="R64" s="238">
        <v>11</v>
      </c>
      <c r="S64" s="9">
        <f t="shared" si="23"/>
        <v>4.0236622493648077E-4</v>
      </c>
      <c r="U64" s="1"/>
      <c r="V64" s="1"/>
      <c r="W64" s="1"/>
      <c r="X64" s="1">
        <v>74500</v>
      </c>
      <c r="Y64" s="1"/>
      <c r="Z64" s="1"/>
      <c r="AA64" s="1"/>
      <c r="AB64" s="1"/>
      <c r="AC64" s="1"/>
      <c r="AD64" s="1"/>
      <c r="AE64" s="1"/>
      <c r="AF64" s="1"/>
      <c r="AG64" s="1"/>
      <c r="AH64" s="1"/>
      <c r="AI64" s="1"/>
      <c r="AJ64" s="1"/>
      <c r="AK64" s="1"/>
      <c r="AL64" s="1"/>
      <c r="AM64" s="1"/>
    </row>
    <row r="65" spans="1:39" s="2" customFormat="1" ht="21.95" customHeight="1" thickBot="1" x14ac:dyDescent="0.25">
      <c r="A65" s="266"/>
      <c r="B65" s="266"/>
      <c r="C65" s="266"/>
      <c r="D65" s="266"/>
      <c r="E65" s="266"/>
      <c r="F65" s="235">
        <v>10180</v>
      </c>
      <c r="G65" s="235" t="s">
        <v>126</v>
      </c>
      <c r="H65" s="235" t="s">
        <v>127</v>
      </c>
      <c r="I65" s="235" t="s">
        <v>52</v>
      </c>
      <c r="J65" s="236" t="s">
        <v>26</v>
      </c>
      <c r="K65" s="235">
        <v>75700</v>
      </c>
      <c r="L65" s="235" t="s">
        <v>27</v>
      </c>
      <c r="M65" s="237">
        <f>SUM(budget_Brazil:budget_Egypt!M65)</f>
        <v>0</v>
      </c>
      <c r="N65" s="237">
        <f>SUM(budget_Brazil:budget_Egypt!N65)</f>
        <v>2611</v>
      </c>
      <c r="O65" s="237">
        <f>SUM(budget_Brazil:budget_Egypt!O65)</f>
        <v>2535</v>
      </c>
      <c r="P65" s="237">
        <f>SUM(budget_Brazil:budget_Egypt!P65)</f>
        <v>2534</v>
      </c>
      <c r="Q65" s="237">
        <f t="shared" si="22"/>
        <v>7680</v>
      </c>
      <c r="R65" s="238">
        <v>6</v>
      </c>
      <c r="S65" s="9">
        <f t="shared" si="23"/>
        <v>1.9564285065991681E-3</v>
      </c>
      <c r="U65" s="1"/>
      <c r="V65" s="1"/>
      <c r="W65" s="1"/>
      <c r="X65" s="1">
        <v>75700</v>
      </c>
      <c r="Y65" s="1"/>
      <c r="Z65" s="1"/>
      <c r="AA65" s="1"/>
      <c r="AB65" s="1"/>
      <c r="AC65" s="1"/>
      <c r="AD65" s="1"/>
      <c r="AE65" s="1"/>
      <c r="AF65" s="1"/>
      <c r="AG65" s="1"/>
      <c r="AH65" s="1"/>
      <c r="AI65" s="1"/>
      <c r="AJ65" s="1"/>
      <c r="AK65" s="1"/>
      <c r="AL65" s="1"/>
      <c r="AM65" s="1"/>
    </row>
    <row r="66" spans="1:39" s="2" customFormat="1" ht="21.95" customHeight="1" thickBot="1" x14ac:dyDescent="0.25">
      <c r="A66" s="266"/>
      <c r="B66" s="266"/>
      <c r="C66" s="266"/>
      <c r="D66" s="266"/>
      <c r="E66" s="266"/>
      <c r="F66" s="235">
        <v>10180</v>
      </c>
      <c r="G66" s="235" t="s">
        <v>126</v>
      </c>
      <c r="H66" s="235" t="s">
        <v>127</v>
      </c>
      <c r="I66" s="235" t="s">
        <v>52</v>
      </c>
      <c r="J66" s="236" t="s">
        <v>28</v>
      </c>
      <c r="K66" s="235">
        <v>61200</v>
      </c>
      <c r="L66" s="235" t="s">
        <v>29</v>
      </c>
      <c r="M66" s="237">
        <f>SUM(budget_Brazil:budget_Egypt!M66)</f>
        <v>0</v>
      </c>
      <c r="N66" s="237">
        <f>SUM(budget_Brazil:budget_Egypt!N66)</f>
        <v>0</v>
      </c>
      <c r="O66" s="237">
        <f>SUM(budget_Brazil:budget_Egypt!O66)</f>
        <v>0</v>
      </c>
      <c r="P66" s="237">
        <f>SUM(budget_Brazil:budget_Egypt!P66)</f>
        <v>0</v>
      </c>
      <c r="Q66" s="237">
        <f t="shared" si="22"/>
        <v>0</v>
      </c>
      <c r="R66" s="238">
        <v>4</v>
      </c>
      <c r="S66" s="9">
        <f t="shared" si="23"/>
        <v>0</v>
      </c>
      <c r="U66" s="1"/>
      <c r="V66" s="1"/>
      <c r="W66" s="1"/>
      <c r="X66" s="1">
        <v>61200</v>
      </c>
      <c r="Y66" s="1"/>
      <c r="Z66" s="1"/>
      <c r="AA66" s="1"/>
      <c r="AB66" s="1"/>
      <c r="AC66" s="1"/>
      <c r="AD66" s="1"/>
      <c r="AE66" s="1"/>
      <c r="AF66" s="1"/>
      <c r="AG66" s="1"/>
      <c r="AH66" s="1"/>
      <c r="AI66" s="1"/>
      <c r="AJ66" s="1"/>
      <c r="AK66" s="1"/>
      <c r="AL66" s="1"/>
      <c r="AM66" s="1"/>
    </row>
    <row r="67" spans="1:39" s="2" customFormat="1" ht="21.95" customHeight="1" thickBot="1" x14ac:dyDescent="0.25">
      <c r="A67" s="266"/>
      <c r="B67" s="266"/>
      <c r="C67" s="267"/>
      <c r="D67" s="267"/>
      <c r="E67" s="267"/>
      <c r="F67" s="235">
        <v>10180</v>
      </c>
      <c r="G67" s="235" t="s">
        <v>126</v>
      </c>
      <c r="H67" s="235" t="s">
        <v>127</v>
      </c>
      <c r="I67" s="235" t="s">
        <v>52</v>
      </c>
      <c r="J67" s="236" t="s">
        <v>28</v>
      </c>
      <c r="K67" s="235">
        <v>61300</v>
      </c>
      <c r="L67" s="235" t="s">
        <v>30</v>
      </c>
      <c r="M67" s="237">
        <f>SUM(budget_Brazil:budget_Egypt!M67)</f>
        <v>0</v>
      </c>
      <c r="N67" s="237">
        <f>SUM(budget_Brazil:budget_Egypt!N67)</f>
        <v>0</v>
      </c>
      <c r="O67" s="237">
        <f>SUM(budget_Brazil:budget_Egypt!O67)</f>
        <v>0</v>
      </c>
      <c r="P67" s="237">
        <f>SUM(budget_Brazil:budget_Egypt!P67)</f>
        <v>0</v>
      </c>
      <c r="Q67" s="237">
        <f t="shared" si="22"/>
        <v>0</v>
      </c>
      <c r="R67" s="238">
        <v>4</v>
      </c>
      <c r="S67" s="9">
        <f t="shared" si="23"/>
        <v>0</v>
      </c>
      <c r="U67" s="1"/>
      <c r="V67" s="1"/>
      <c r="W67" s="1"/>
      <c r="X67" s="1">
        <v>61300</v>
      </c>
      <c r="Y67" s="1"/>
      <c r="Z67" s="1"/>
      <c r="AA67" s="1"/>
      <c r="AB67" s="1"/>
      <c r="AC67" s="1"/>
      <c r="AD67" s="1"/>
      <c r="AE67" s="1"/>
      <c r="AF67" s="1"/>
      <c r="AG67" s="1"/>
      <c r="AH67" s="1"/>
      <c r="AI67" s="1"/>
      <c r="AJ67" s="1"/>
      <c r="AK67" s="1"/>
      <c r="AL67" s="1"/>
      <c r="AM67" s="1"/>
    </row>
    <row r="68" spans="1:39" s="2" customFormat="1" ht="21.95" customHeight="1" thickBot="1" x14ac:dyDescent="0.25">
      <c r="A68" s="266"/>
      <c r="B68" s="266"/>
      <c r="C68" s="270" t="s">
        <v>31</v>
      </c>
      <c r="D68" s="270"/>
      <c r="E68" s="270"/>
      <c r="F68" s="270"/>
      <c r="G68" s="270"/>
      <c r="H68" s="270"/>
      <c r="I68" s="270"/>
      <c r="J68" s="270"/>
      <c r="K68" s="270"/>
      <c r="L68" s="270"/>
      <c r="M68" s="237">
        <f>SUM(M59:M67)</f>
        <v>0</v>
      </c>
      <c r="N68" s="237">
        <f t="shared" ref="N68:Q68" si="24">SUM(N59:N67)</f>
        <v>138072</v>
      </c>
      <c r="O68" s="237">
        <f t="shared" si="24"/>
        <v>134012</v>
      </c>
      <c r="P68" s="237">
        <f t="shared" si="24"/>
        <v>134019</v>
      </c>
      <c r="Q68" s="237">
        <f t="shared" si="24"/>
        <v>406103</v>
      </c>
      <c r="R68" s="238"/>
      <c r="S68" s="9"/>
      <c r="U68" s="1"/>
      <c r="V68" s="1"/>
      <c r="W68" s="1"/>
      <c r="X68" s="1"/>
      <c r="Y68" s="1"/>
      <c r="Z68" s="1"/>
      <c r="AA68" s="1"/>
      <c r="AB68" s="1"/>
      <c r="AC68" s="1"/>
      <c r="AD68" s="1"/>
      <c r="AE68" s="1"/>
      <c r="AF68" s="1"/>
      <c r="AG68" s="1"/>
      <c r="AH68" s="1"/>
      <c r="AI68" s="1"/>
      <c r="AJ68" s="1"/>
      <c r="AK68" s="1"/>
      <c r="AL68" s="1"/>
      <c r="AM68" s="1"/>
    </row>
    <row r="69" spans="1:39" ht="21.95" customHeight="1" thickBot="1" x14ac:dyDescent="0.25">
      <c r="A69" s="267"/>
      <c r="B69" s="270" t="s">
        <v>53</v>
      </c>
      <c r="C69" s="270"/>
      <c r="D69" s="270"/>
      <c r="E69" s="270"/>
      <c r="F69" s="270"/>
      <c r="G69" s="270"/>
      <c r="H69" s="270"/>
      <c r="I69" s="270"/>
      <c r="J69" s="270"/>
      <c r="K69" s="270"/>
      <c r="L69" s="270"/>
      <c r="M69" s="237">
        <f>M68</f>
        <v>0</v>
      </c>
      <c r="N69" s="237">
        <f t="shared" ref="N69:Q69" si="25">N68</f>
        <v>138072</v>
      </c>
      <c r="O69" s="237">
        <f t="shared" si="25"/>
        <v>134012</v>
      </c>
      <c r="P69" s="237">
        <f t="shared" si="25"/>
        <v>134019</v>
      </c>
      <c r="Q69" s="237">
        <f t="shared" si="25"/>
        <v>406103</v>
      </c>
      <c r="R69" s="238"/>
      <c r="T69" s="10"/>
      <c r="AC69" s="11"/>
      <c r="AF69" s="12"/>
      <c r="AG69" s="13"/>
    </row>
    <row r="70" spans="1:39" ht="21.95" customHeight="1" thickBot="1" x14ac:dyDescent="0.25">
      <c r="A70" s="271" t="s">
        <v>54</v>
      </c>
      <c r="B70" s="272"/>
      <c r="C70" s="272"/>
      <c r="D70" s="272"/>
      <c r="E70" s="272"/>
      <c r="F70" s="272"/>
      <c r="G70" s="272"/>
      <c r="H70" s="272"/>
      <c r="I70" s="272"/>
      <c r="J70" s="272"/>
      <c r="K70" s="272"/>
      <c r="L70" s="273"/>
      <c r="M70" s="237">
        <f t="shared" ref="M70:Q70" si="26">M58+M69</f>
        <v>0</v>
      </c>
      <c r="N70" s="237">
        <f t="shared" si="26"/>
        <v>144126</v>
      </c>
      <c r="O70" s="237">
        <f t="shared" si="26"/>
        <v>139889</v>
      </c>
      <c r="P70" s="237">
        <f t="shared" si="26"/>
        <v>139896</v>
      </c>
      <c r="Q70" s="237">
        <f t="shared" si="26"/>
        <v>423911</v>
      </c>
      <c r="R70" s="238"/>
      <c r="U70" s="14"/>
      <c r="AC70" s="15"/>
      <c r="AM70" s="16"/>
    </row>
    <row r="71" spans="1:39" ht="21.95" customHeight="1" thickBot="1" x14ac:dyDescent="0.25">
      <c r="A71" s="265" t="s">
        <v>55</v>
      </c>
      <c r="B71" s="268" t="s">
        <v>56</v>
      </c>
      <c r="C71" s="268" t="s">
        <v>17</v>
      </c>
      <c r="D71" s="268">
        <v>62000</v>
      </c>
      <c r="E71" s="268">
        <v>10003</v>
      </c>
      <c r="F71" s="235">
        <v>10180</v>
      </c>
      <c r="G71" s="235" t="s">
        <v>126</v>
      </c>
      <c r="H71" s="235" t="s">
        <v>127</v>
      </c>
      <c r="I71" s="235" t="s">
        <v>57</v>
      </c>
      <c r="J71" s="236" t="s">
        <v>19</v>
      </c>
      <c r="K71" s="235">
        <v>71200</v>
      </c>
      <c r="L71" s="235" t="s">
        <v>19</v>
      </c>
      <c r="M71" s="237">
        <f>SUM(budget_Brazil:budget_Egypt!M71)</f>
        <v>0</v>
      </c>
      <c r="N71" s="237">
        <f>SUM(budget_Brazil:budget_Egypt!N71)</f>
        <v>0</v>
      </c>
      <c r="O71" s="237">
        <f>SUM(budget_Brazil:budget_Egypt!O71)</f>
        <v>0</v>
      </c>
      <c r="P71" s="237">
        <f>SUM(budget_Brazil:budget_Egypt!P71)</f>
        <v>0</v>
      </c>
      <c r="Q71" s="237">
        <f t="shared" ref="Q71:Q79" si="27">SUM(M71:P71)</f>
        <v>0</v>
      </c>
      <c r="R71" s="238">
        <v>2</v>
      </c>
      <c r="S71" s="9">
        <f t="shared" ref="S71:S79" si="28">VLOOKUP(K71, rpacoreratio, 6, FALSE)*VLOOKUP(K71, rpacoreratio, 8, FALSE)</f>
        <v>0</v>
      </c>
      <c r="X71" s="1">
        <v>71200</v>
      </c>
    </row>
    <row r="72" spans="1:39" ht="21.95" customHeight="1" thickBot="1" x14ac:dyDescent="0.25">
      <c r="A72" s="266"/>
      <c r="B72" s="268"/>
      <c r="C72" s="268"/>
      <c r="D72" s="268"/>
      <c r="E72" s="268"/>
      <c r="F72" s="235">
        <v>10180</v>
      </c>
      <c r="G72" s="235" t="s">
        <v>126</v>
      </c>
      <c r="H72" s="235" t="s">
        <v>127</v>
      </c>
      <c r="I72" s="235" t="s">
        <v>57</v>
      </c>
      <c r="J72" s="236" t="s">
        <v>20</v>
      </c>
      <c r="K72" s="235">
        <v>71300</v>
      </c>
      <c r="L72" s="235" t="s">
        <v>20</v>
      </c>
      <c r="M72" s="237">
        <f>SUM(budget_Brazil:budget_Egypt!M72)</f>
        <v>0</v>
      </c>
      <c r="N72" s="237">
        <f>SUM(budget_Brazil:budget_Egypt!N72)</f>
        <v>564</v>
      </c>
      <c r="O72" s="237">
        <f>SUM(budget_Brazil:budget_Egypt!O72)</f>
        <v>549</v>
      </c>
      <c r="P72" s="237">
        <f>SUM(budget_Brazil:budget_Egypt!P72)</f>
        <v>549</v>
      </c>
      <c r="Q72" s="237">
        <f t="shared" si="27"/>
        <v>1662</v>
      </c>
      <c r="R72" s="238">
        <v>3</v>
      </c>
      <c r="S72" s="9">
        <f t="shared" si="28"/>
        <v>1.1084820146212829E-2</v>
      </c>
      <c r="X72" s="1">
        <v>71300</v>
      </c>
    </row>
    <row r="73" spans="1:39" ht="21.95" customHeight="1" thickBot="1" x14ac:dyDescent="0.25">
      <c r="A73" s="266"/>
      <c r="B73" s="268"/>
      <c r="C73" s="268"/>
      <c r="D73" s="268"/>
      <c r="E73" s="268"/>
      <c r="F73" s="235">
        <v>10180</v>
      </c>
      <c r="G73" s="235" t="s">
        <v>126</v>
      </c>
      <c r="H73" s="235" t="s">
        <v>127</v>
      </c>
      <c r="I73" s="235" t="s">
        <v>57</v>
      </c>
      <c r="J73" s="236" t="s">
        <v>21</v>
      </c>
      <c r="K73" s="235">
        <v>71400</v>
      </c>
      <c r="L73" s="235" t="s">
        <v>22</v>
      </c>
      <c r="M73" s="237">
        <f>SUM(budget_Brazil:budget_Egypt!M73)</f>
        <v>0</v>
      </c>
      <c r="N73" s="237">
        <f>SUM(budget_Brazil:budget_Egypt!N73)</f>
        <v>1596</v>
      </c>
      <c r="O73" s="237">
        <f>SUM(budget_Brazil:budget_Egypt!O73)</f>
        <v>1548</v>
      </c>
      <c r="P73" s="237">
        <f>SUM(budget_Brazil:budget_Egypt!P73)</f>
        <v>1548</v>
      </c>
      <c r="Q73" s="237">
        <f t="shared" si="27"/>
        <v>4692</v>
      </c>
      <c r="R73" s="238">
        <v>5</v>
      </c>
      <c r="S73" s="9">
        <f t="shared" si="28"/>
        <v>3.1270142178718506E-2</v>
      </c>
      <c r="X73" s="1">
        <v>71400</v>
      </c>
    </row>
    <row r="74" spans="1:39" ht="21.95" customHeight="1" thickBot="1" x14ac:dyDescent="0.25">
      <c r="A74" s="266"/>
      <c r="B74" s="268"/>
      <c r="C74" s="268"/>
      <c r="D74" s="268"/>
      <c r="E74" s="268"/>
      <c r="F74" s="235">
        <v>10180</v>
      </c>
      <c r="G74" s="235" t="s">
        <v>126</v>
      </c>
      <c r="H74" s="235" t="s">
        <v>127</v>
      </c>
      <c r="I74" s="235" t="s">
        <v>57</v>
      </c>
      <c r="J74" s="236" t="s">
        <v>23</v>
      </c>
      <c r="K74" s="235">
        <v>71600</v>
      </c>
      <c r="L74" s="235" t="s">
        <v>23</v>
      </c>
      <c r="M74" s="237">
        <f>SUM(budget_Brazil:budget_Egypt!M74)</f>
        <v>0</v>
      </c>
      <c r="N74" s="237">
        <f>SUM(budget_Brazil:budget_Egypt!N74)</f>
        <v>2097</v>
      </c>
      <c r="O74" s="237">
        <f>SUM(budget_Brazil:budget_Egypt!O74)</f>
        <v>2037</v>
      </c>
      <c r="P74" s="237">
        <f>SUM(budget_Brazil:budget_Egypt!P74)</f>
        <v>2037</v>
      </c>
      <c r="Q74" s="237">
        <f t="shared" si="27"/>
        <v>6171</v>
      </c>
      <c r="R74" s="238">
        <v>7</v>
      </c>
      <c r="S74" s="9">
        <f t="shared" si="28"/>
        <v>4.1134974061424981E-2</v>
      </c>
      <c r="X74" s="1">
        <v>71600</v>
      </c>
    </row>
    <row r="75" spans="1:39" ht="21.95" customHeight="1" thickBot="1" x14ac:dyDescent="0.25">
      <c r="A75" s="266"/>
      <c r="B75" s="268"/>
      <c r="C75" s="268"/>
      <c r="D75" s="268"/>
      <c r="E75" s="268"/>
      <c r="F75" s="235">
        <v>10180</v>
      </c>
      <c r="G75" s="235" t="s">
        <v>126</v>
      </c>
      <c r="H75" s="235" t="s">
        <v>127</v>
      </c>
      <c r="I75" s="235" t="s">
        <v>57</v>
      </c>
      <c r="J75" s="236" t="s">
        <v>58</v>
      </c>
      <c r="K75" s="235">
        <v>72100</v>
      </c>
      <c r="L75" s="235" t="s">
        <v>59</v>
      </c>
      <c r="M75" s="237">
        <f>SUM(budget_Brazil:budget_Egypt!M75)</f>
        <v>0</v>
      </c>
      <c r="N75" s="237">
        <f>SUM(budget_Brazil:budget_Egypt!N75)</f>
        <v>0</v>
      </c>
      <c r="O75" s="237">
        <f>SUM(budget_Brazil:budget_Egypt!O75)</f>
        <v>0</v>
      </c>
      <c r="P75" s="237">
        <f>SUM(budget_Brazil:budget_Egypt!P75)</f>
        <v>0</v>
      </c>
      <c r="Q75" s="237">
        <f t="shared" si="27"/>
        <v>0</v>
      </c>
      <c r="R75" s="238">
        <v>12</v>
      </c>
      <c r="S75" s="9">
        <f t="shared" si="28"/>
        <v>0</v>
      </c>
      <c r="X75" s="1">
        <v>72100</v>
      </c>
    </row>
    <row r="76" spans="1:39" ht="21.95" customHeight="1" thickBot="1" x14ac:dyDescent="0.25">
      <c r="A76" s="266"/>
      <c r="B76" s="268"/>
      <c r="C76" s="268"/>
      <c r="D76" s="268"/>
      <c r="E76" s="268"/>
      <c r="F76" s="235">
        <v>10180</v>
      </c>
      <c r="G76" s="235" t="s">
        <v>126</v>
      </c>
      <c r="H76" s="235" t="s">
        <v>127</v>
      </c>
      <c r="I76" s="235" t="s">
        <v>57</v>
      </c>
      <c r="J76" s="236" t="s">
        <v>24</v>
      </c>
      <c r="K76" s="235">
        <v>72500</v>
      </c>
      <c r="L76" s="235" t="s">
        <v>25</v>
      </c>
      <c r="M76" s="237">
        <f>SUM(budget_Brazil:budget_Egypt!M76)</f>
        <v>0</v>
      </c>
      <c r="N76" s="237">
        <f>SUM(budget_Brazil:budget_Egypt!N76)</f>
        <v>180</v>
      </c>
      <c r="O76" s="237">
        <f>SUM(budget_Brazil:budget_Egypt!O76)</f>
        <v>174</v>
      </c>
      <c r="P76" s="237">
        <f>SUM(budget_Brazil:budget_Egypt!P76)</f>
        <v>171</v>
      </c>
      <c r="Q76" s="237">
        <f t="shared" si="27"/>
        <v>525</v>
      </c>
      <c r="R76" s="238">
        <v>10</v>
      </c>
      <c r="S76" s="9">
        <f t="shared" si="28"/>
        <v>3.4996363977802436E-3</v>
      </c>
      <c r="X76" s="1">
        <v>72500</v>
      </c>
    </row>
    <row r="77" spans="1:39" ht="21.95" customHeight="1" thickBot="1" x14ac:dyDescent="0.25">
      <c r="A77" s="266"/>
      <c r="B77" s="268"/>
      <c r="C77" s="268"/>
      <c r="D77" s="268"/>
      <c r="E77" s="268"/>
      <c r="F77" s="235">
        <v>10180</v>
      </c>
      <c r="G77" s="235" t="s">
        <v>126</v>
      </c>
      <c r="H77" s="235" t="s">
        <v>127</v>
      </c>
      <c r="I77" s="235" t="s">
        <v>57</v>
      </c>
      <c r="J77" s="236" t="s">
        <v>23</v>
      </c>
      <c r="K77" s="235">
        <v>74500</v>
      </c>
      <c r="L77" s="235" t="s">
        <v>49</v>
      </c>
      <c r="M77" s="237">
        <f>SUM(budget_Brazil:budget_Egypt!M77)</f>
        <v>0</v>
      </c>
      <c r="N77" s="237">
        <f>SUM(budget_Brazil:budget_Egypt!N77)</f>
        <v>1176</v>
      </c>
      <c r="O77" s="237">
        <f>SUM(budget_Brazil:budget_Egypt!O77)</f>
        <v>1143</v>
      </c>
      <c r="P77" s="237">
        <f>SUM(budget_Brazil:budget_Egypt!P77)</f>
        <v>1143</v>
      </c>
      <c r="Q77" s="237">
        <f t="shared" si="27"/>
        <v>3462</v>
      </c>
      <c r="R77" s="238">
        <v>11</v>
      </c>
      <c r="S77" s="9">
        <f t="shared" si="28"/>
        <v>2.3087514687527108E-2</v>
      </c>
      <c r="X77" s="1">
        <v>74500</v>
      </c>
    </row>
    <row r="78" spans="1:39" ht="21.95" customHeight="1" thickBot="1" x14ac:dyDescent="0.25">
      <c r="A78" s="266"/>
      <c r="B78" s="268"/>
      <c r="C78" s="268"/>
      <c r="D78" s="268"/>
      <c r="E78" s="268"/>
      <c r="F78" s="235">
        <v>10180</v>
      </c>
      <c r="G78" s="235" t="s">
        <v>126</v>
      </c>
      <c r="H78" s="235" t="s">
        <v>127</v>
      </c>
      <c r="I78" s="235" t="s">
        <v>57</v>
      </c>
      <c r="J78" s="236" t="s">
        <v>26</v>
      </c>
      <c r="K78" s="235">
        <v>75700</v>
      </c>
      <c r="L78" s="235" t="s">
        <v>27</v>
      </c>
      <c r="M78" s="237">
        <f>SUM(budget_Brazil:budget_Egypt!M78)</f>
        <v>0</v>
      </c>
      <c r="N78" s="237">
        <f>SUM(budget_Brazil:budget_Egypt!N78)</f>
        <v>924</v>
      </c>
      <c r="O78" s="237">
        <f>SUM(budget_Brazil:budget_Egypt!O78)</f>
        <v>897</v>
      </c>
      <c r="P78" s="237">
        <f>SUM(budget_Brazil:budget_Egypt!P78)</f>
        <v>894</v>
      </c>
      <c r="Q78" s="237">
        <f t="shared" si="27"/>
        <v>2715</v>
      </c>
      <c r="R78" s="238">
        <v>6</v>
      </c>
      <c r="S78" s="9">
        <f t="shared" si="28"/>
        <v>1.810037452749574E-2</v>
      </c>
      <c r="X78" s="1">
        <v>75700</v>
      </c>
    </row>
    <row r="79" spans="1:39" ht="21.95" customHeight="1" thickBot="1" x14ac:dyDescent="0.25">
      <c r="A79" s="266"/>
      <c r="B79" s="268"/>
      <c r="C79" s="268"/>
      <c r="D79" s="268"/>
      <c r="E79" s="268"/>
      <c r="F79" s="235">
        <v>10180</v>
      </c>
      <c r="G79" s="235" t="s">
        <v>126</v>
      </c>
      <c r="H79" s="235" t="s">
        <v>127</v>
      </c>
      <c r="I79" s="235" t="s">
        <v>57</v>
      </c>
      <c r="J79" s="236" t="s">
        <v>28</v>
      </c>
      <c r="K79" s="235">
        <v>61300</v>
      </c>
      <c r="L79" s="235" t="s">
        <v>30</v>
      </c>
      <c r="M79" s="237">
        <f>SUM(budget_Brazil:budget_Egypt!M79)</f>
        <v>0</v>
      </c>
      <c r="N79" s="237">
        <f>SUM(budget_Brazil:budget_Egypt!N79)</f>
        <v>0</v>
      </c>
      <c r="O79" s="237">
        <f>SUM(budget_Brazil:budget_Egypt!O79)</f>
        <v>0</v>
      </c>
      <c r="P79" s="237">
        <f>SUM(budget_Brazil:budget_Egypt!P79)</f>
        <v>0</v>
      </c>
      <c r="Q79" s="237">
        <f t="shared" si="27"/>
        <v>0</v>
      </c>
      <c r="R79" s="238">
        <v>4</v>
      </c>
      <c r="S79" s="9">
        <f t="shared" si="28"/>
        <v>0</v>
      </c>
      <c r="X79" s="1">
        <v>61300</v>
      </c>
    </row>
    <row r="80" spans="1:39" ht="21.95" customHeight="1" thickBot="1" x14ac:dyDescent="0.25">
      <c r="A80" s="266"/>
      <c r="B80" s="268"/>
      <c r="C80" s="269" t="s">
        <v>31</v>
      </c>
      <c r="D80" s="269"/>
      <c r="E80" s="269"/>
      <c r="F80" s="269"/>
      <c r="G80" s="269"/>
      <c r="H80" s="269"/>
      <c r="I80" s="269"/>
      <c r="J80" s="269"/>
      <c r="K80" s="269"/>
      <c r="L80" s="269"/>
      <c r="M80" s="237">
        <f>SUM(M71:M79)</f>
        <v>0</v>
      </c>
      <c r="N80" s="237">
        <f t="shared" ref="N80:Q80" si="29">SUM(N71:N79)</f>
        <v>6537</v>
      </c>
      <c r="O80" s="237">
        <f t="shared" si="29"/>
        <v>6348</v>
      </c>
      <c r="P80" s="237">
        <f t="shared" si="29"/>
        <v>6342</v>
      </c>
      <c r="Q80" s="237">
        <f t="shared" si="29"/>
        <v>19227</v>
      </c>
      <c r="R80" s="238"/>
      <c r="S80" s="9"/>
    </row>
    <row r="81" spans="1:39" ht="21.95" customHeight="1" thickBot="1" x14ac:dyDescent="0.25">
      <c r="A81" s="266"/>
      <c r="B81" s="269" t="s">
        <v>60</v>
      </c>
      <c r="C81" s="269"/>
      <c r="D81" s="269"/>
      <c r="E81" s="269"/>
      <c r="F81" s="269"/>
      <c r="G81" s="269"/>
      <c r="H81" s="269"/>
      <c r="I81" s="269"/>
      <c r="J81" s="269"/>
      <c r="K81" s="269"/>
      <c r="L81" s="269"/>
      <c r="M81" s="237">
        <f>M80</f>
        <v>0</v>
      </c>
      <c r="N81" s="237">
        <f t="shared" ref="N81:Q81" si="30">N80</f>
        <v>6537</v>
      </c>
      <c r="O81" s="237">
        <f t="shared" si="30"/>
        <v>6348</v>
      </c>
      <c r="P81" s="237">
        <f t="shared" si="30"/>
        <v>6342</v>
      </c>
      <c r="Q81" s="237">
        <f t="shared" si="30"/>
        <v>19227</v>
      </c>
      <c r="R81" s="238"/>
      <c r="S81" s="9"/>
    </row>
    <row r="82" spans="1:39" ht="21.95" customHeight="1" thickBot="1" x14ac:dyDescent="0.25">
      <c r="A82" s="266"/>
      <c r="B82" s="268" t="s">
        <v>61</v>
      </c>
      <c r="C82" s="265" t="s">
        <v>17</v>
      </c>
      <c r="D82" s="265">
        <v>62000</v>
      </c>
      <c r="E82" s="265">
        <v>10003</v>
      </c>
      <c r="F82" s="235">
        <v>10180</v>
      </c>
      <c r="G82" s="235" t="s">
        <v>126</v>
      </c>
      <c r="H82" s="235" t="s">
        <v>127</v>
      </c>
      <c r="I82" s="235" t="s">
        <v>62</v>
      </c>
      <c r="J82" s="236" t="s">
        <v>19</v>
      </c>
      <c r="K82" s="235">
        <v>71200</v>
      </c>
      <c r="L82" s="235" t="s">
        <v>19</v>
      </c>
      <c r="M82" s="237">
        <f>SUM(budget_Brazil:budget_Egypt!M82)</f>
        <v>0</v>
      </c>
      <c r="N82" s="237">
        <f>SUM(budget_Brazil:budget_Egypt!N82)</f>
        <v>0</v>
      </c>
      <c r="O82" s="237">
        <f>SUM(budget_Brazil:budget_Egypt!O82)</f>
        <v>0</v>
      </c>
      <c r="P82" s="237">
        <f>SUM(budget_Brazil:budget_Egypt!P82)</f>
        <v>0</v>
      </c>
      <c r="Q82" s="237">
        <f t="shared" ref="Q82:Q90" si="31">SUM(M82:P82)</f>
        <v>0</v>
      </c>
      <c r="R82" s="238">
        <v>2</v>
      </c>
      <c r="S82" s="9">
        <f t="shared" ref="S82:S90" si="32">VLOOKUP(K82, rpastarratio, 6, FALSE)*VLOOKUP(K82, rpastarratio, 8, FALSE)</f>
        <v>0</v>
      </c>
      <c r="X82" s="1">
        <v>71200</v>
      </c>
    </row>
    <row r="83" spans="1:39" ht="21.95" customHeight="1" thickBot="1" x14ac:dyDescent="0.25">
      <c r="A83" s="266"/>
      <c r="B83" s="268"/>
      <c r="C83" s="266"/>
      <c r="D83" s="266"/>
      <c r="E83" s="266"/>
      <c r="F83" s="235">
        <v>10180</v>
      </c>
      <c r="G83" s="235" t="s">
        <v>126</v>
      </c>
      <c r="H83" s="235" t="s">
        <v>127</v>
      </c>
      <c r="I83" s="235" t="s">
        <v>62</v>
      </c>
      <c r="J83" s="236" t="s">
        <v>20</v>
      </c>
      <c r="K83" s="235">
        <v>71300</v>
      </c>
      <c r="L83" s="235" t="s">
        <v>20</v>
      </c>
      <c r="M83" s="237">
        <f>SUM(budget_Brazil:budget_Egypt!M83)</f>
        <v>0</v>
      </c>
      <c r="N83" s="237">
        <f>SUM(budget_Brazil:budget_Egypt!N83)</f>
        <v>14794</v>
      </c>
      <c r="O83" s="237">
        <f>SUM(budget_Brazil:budget_Egypt!O83)</f>
        <v>14359</v>
      </c>
      <c r="P83" s="237">
        <f>SUM(budget_Brazil:budget_Egypt!P83)</f>
        <v>14357</v>
      </c>
      <c r="Q83" s="237">
        <f t="shared" si="31"/>
        <v>43510</v>
      </c>
      <c r="R83" s="238">
        <v>3</v>
      </c>
      <c r="S83" s="9">
        <f t="shared" si="32"/>
        <v>1.1084820146212824E-2</v>
      </c>
      <c r="X83" s="1">
        <v>71300</v>
      </c>
    </row>
    <row r="84" spans="1:39" ht="21.95" customHeight="1" thickBot="1" x14ac:dyDescent="0.25">
      <c r="A84" s="266"/>
      <c r="B84" s="268"/>
      <c r="C84" s="266"/>
      <c r="D84" s="266"/>
      <c r="E84" s="266"/>
      <c r="F84" s="235">
        <v>10180</v>
      </c>
      <c r="G84" s="235" t="s">
        <v>126</v>
      </c>
      <c r="H84" s="235" t="s">
        <v>127</v>
      </c>
      <c r="I84" s="235" t="s">
        <v>62</v>
      </c>
      <c r="J84" s="236" t="s">
        <v>21</v>
      </c>
      <c r="K84" s="235">
        <v>71400</v>
      </c>
      <c r="L84" s="235" t="s">
        <v>22</v>
      </c>
      <c r="M84" s="237">
        <f>SUM(budget_Brazil:budget_Egypt!M84)</f>
        <v>0</v>
      </c>
      <c r="N84" s="237">
        <f>SUM(budget_Brazil:budget_Egypt!N84)</f>
        <v>34820</v>
      </c>
      <c r="O84" s="237">
        <f>SUM(budget_Brazil:budget_Egypt!O84)</f>
        <v>33795</v>
      </c>
      <c r="P84" s="237">
        <f>SUM(budget_Brazil:budget_Egypt!P84)</f>
        <v>33793</v>
      </c>
      <c r="Q84" s="237">
        <f t="shared" si="31"/>
        <v>102408</v>
      </c>
      <c r="R84" s="238">
        <v>5</v>
      </c>
      <c r="S84" s="9">
        <f t="shared" si="32"/>
        <v>3.1270142178718492E-2</v>
      </c>
      <c r="X84" s="1">
        <v>71400</v>
      </c>
    </row>
    <row r="85" spans="1:39" ht="21.95" customHeight="1" thickBot="1" x14ac:dyDescent="0.25">
      <c r="A85" s="266"/>
      <c r="B85" s="268"/>
      <c r="C85" s="266"/>
      <c r="D85" s="266"/>
      <c r="E85" s="266"/>
      <c r="F85" s="235">
        <v>10180</v>
      </c>
      <c r="G85" s="235" t="s">
        <v>126</v>
      </c>
      <c r="H85" s="235" t="s">
        <v>127</v>
      </c>
      <c r="I85" s="235" t="s">
        <v>62</v>
      </c>
      <c r="J85" s="236" t="s">
        <v>23</v>
      </c>
      <c r="K85" s="235">
        <v>71600</v>
      </c>
      <c r="L85" s="235" t="s">
        <v>23</v>
      </c>
      <c r="M85" s="237">
        <f>SUM(budget_Brazil:budget_Egypt!M85)</f>
        <v>0</v>
      </c>
      <c r="N85" s="237">
        <f>SUM(budget_Brazil:budget_Egypt!N85)</f>
        <v>54898</v>
      </c>
      <c r="O85" s="237">
        <f>SUM(budget_Brazil:budget_Egypt!O85)</f>
        <v>53282</v>
      </c>
      <c r="P85" s="237">
        <f>SUM(budget_Brazil:budget_Egypt!P85)</f>
        <v>53283</v>
      </c>
      <c r="Q85" s="237">
        <f t="shared" si="31"/>
        <v>161463</v>
      </c>
      <c r="R85" s="238">
        <v>7</v>
      </c>
      <c r="S85" s="9">
        <f t="shared" si="32"/>
        <v>4.1134974061424953E-2</v>
      </c>
      <c r="X85" s="1">
        <v>71600</v>
      </c>
    </row>
    <row r="86" spans="1:39" ht="21.95" customHeight="1" thickBot="1" x14ac:dyDescent="0.25">
      <c r="A86" s="266"/>
      <c r="B86" s="268"/>
      <c r="C86" s="266"/>
      <c r="D86" s="266"/>
      <c r="E86" s="266"/>
      <c r="F86" s="235">
        <v>10180</v>
      </c>
      <c r="G86" s="235" t="s">
        <v>126</v>
      </c>
      <c r="H86" s="235" t="s">
        <v>127</v>
      </c>
      <c r="I86" s="235" t="s">
        <v>62</v>
      </c>
      <c r="J86" s="236" t="s">
        <v>58</v>
      </c>
      <c r="K86" s="235">
        <v>72100</v>
      </c>
      <c r="L86" s="235" t="s">
        <v>59</v>
      </c>
      <c r="M86" s="237">
        <f>SUM(budget_Brazil:budget_Egypt!M86)</f>
        <v>0</v>
      </c>
      <c r="N86" s="237">
        <f>SUM(budget_Brazil:budget_Egypt!N86)</f>
        <v>0</v>
      </c>
      <c r="O86" s="237">
        <f>SUM(budget_Brazil:budget_Egypt!O86)</f>
        <v>0</v>
      </c>
      <c r="P86" s="237">
        <f>SUM(budget_Brazil:budget_Egypt!P86)</f>
        <v>0</v>
      </c>
      <c r="Q86" s="237">
        <f t="shared" si="31"/>
        <v>0</v>
      </c>
      <c r="R86" s="238">
        <v>12</v>
      </c>
      <c r="S86" s="9">
        <f t="shared" si="32"/>
        <v>0</v>
      </c>
      <c r="X86" s="1">
        <v>72100</v>
      </c>
    </row>
    <row r="87" spans="1:39" ht="21.95" customHeight="1" thickBot="1" x14ac:dyDescent="0.25">
      <c r="A87" s="266"/>
      <c r="B87" s="268"/>
      <c r="C87" s="266"/>
      <c r="D87" s="266"/>
      <c r="E87" s="266"/>
      <c r="F87" s="235">
        <v>10180</v>
      </c>
      <c r="G87" s="235" t="s">
        <v>126</v>
      </c>
      <c r="H87" s="235" t="s">
        <v>127</v>
      </c>
      <c r="I87" s="235" t="s">
        <v>62</v>
      </c>
      <c r="J87" s="236" t="s">
        <v>24</v>
      </c>
      <c r="K87" s="235">
        <v>72500</v>
      </c>
      <c r="L87" s="235" t="s">
        <v>25</v>
      </c>
      <c r="M87" s="237">
        <f>SUM(budget_Brazil:budget_Egypt!M87)</f>
        <v>0</v>
      </c>
      <c r="N87" s="237">
        <f>SUM(budget_Brazil:budget_Egypt!N87)</f>
        <v>4671</v>
      </c>
      <c r="O87" s="237">
        <f>SUM(budget_Brazil:budget_Egypt!O87)</f>
        <v>4533</v>
      </c>
      <c r="P87" s="237">
        <f>SUM(budget_Brazil:budget_Egypt!P87)</f>
        <v>4533</v>
      </c>
      <c r="Q87" s="237">
        <f t="shared" si="31"/>
        <v>13737</v>
      </c>
      <c r="R87" s="238">
        <v>10</v>
      </c>
      <c r="S87" s="9">
        <f t="shared" si="32"/>
        <v>3.4996363977802419E-3</v>
      </c>
      <c r="X87" s="1">
        <v>72500</v>
      </c>
    </row>
    <row r="88" spans="1:39" ht="21.95" customHeight="1" thickBot="1" x14ac:dyDescent="0.25">
      <c r="A88" s="266"/>
      <c r="B88" s="268"/>
      <c r="C88" s="266"/>
      <c r="D88" s="266"/>
      <c r="E88" s="266"/>
      <c r="F88" s="235">
        <v>10180</v>
      </c>
      <c r="G88" s="235" t="s">
        <v>126</v>
      </c>
      <c r="H88" s="235" t="s">
        <v>127</v>
      </c>
      <c r="I88" s="235" t="s">
        <v>62</v>
      </c>
      <c r="J88" s="236" t="s">
        <v>23</v>
      </c>
      <c r="K88" s="235">
        <v>74500</v>
      </c>
      <c r="L88" s="235" t="s">
        <v>49</v>
      </c>
      <c r="M88" s="237">
        <f>SUM(budget_Brazil:budget_Egypt!M88)</f>
        <v>0</v>
      </c>
      <c r="N88" s="237">
        <f>SUM(budget_Brazil:budget_Egypt!N88)</f>
        <v>30811</v>
      </c>
      <c r="O88" s="237">
        <f>SUM(budget_Brazil:budget_Egypt!O88)</f>
        <v>29905</v>
      </c>
      <c r="P88" s="237">
        <f>SUM(budget_Brazil:budget_Egypt!P88)</f>
        <v>29907</v>
      </c>
      <c r="Q88" s="237">
        <f t="shared" si="31"/>
        <v>90623</v>
      </c>
      <c r="R88" s="238">
        <v>11</v>
      </c>
      <c r="S88" s="9">
        <f t="shared" si="32"/>
        <v>2.3087514687527094E-2</v>
      </c>
      <c r="X88" s="1">
        <v>74500</v>
      </c>
    </row>
    <row r="89" spans="1:39" ht="21.95" customHeight="1" thickBot="1" x14ac:dyDescent="0.25">
      <c r="A89" s="266"/>
      <c r="B89" s="268"/>
      <c r="C89" s="266"/>
      <c r="D89" s="266"/>
      <c r="E89" s="266"/>
      <c r="F89" s="235">
        <v>10180</v>
      </c>
      <c r="G89" s="235" t="s">
        <v>126</v>
      </c>
      <c r="H89" s="235" t="s">
        <v>127</v>
      </c>
      <c r="I89" s="235" t="s">
        <v>62</v>
      </c>
      <c r="J89" s="236" t="s">
        <v>26</v>
      </c>
      <c r="K89" s="235">
        <v>75700</v>
      </c>
      <c r="L89" s="235" t="s">
        <v>27</v>
      </c>
      <c r="M89" s="237">
        <f>SUM(budget_Brazil:budget_Egypt!M89)</f>
        <v>0</v>
      </c>
      <c r="N89" s="237">
        <f>SUM(budget_Brazil:budget_Egypt!N89)</f>
        <v>24157</v>
      </c>
      <c r="O89" s="237">
        <f>SUM(budget_Brazil:budget_Egypt!O89)</f>
        <v>23445</v>
      </c>
      <c r="P89" s="237">
        <f>SUM(budget_Brazil:budget_Egypt!P89)</f>
        <v>23445</v>
      </c>
      <c r="Q89" s="237">
        <f t="shared" si="31"/>
        <v>71047</v>
      </c>
      <c r="R89" s="238">
        <v>6</v>
      </c>
      <c r="S89" s="9">
        <f t="shared" si="32"/>
        <v>1.8100374527495727E-2</v>
      </c>
      <c r="X89" s="1">
        <v>75700</v>
      </c>
    </row>
    <row r="90" spans="1:39" ht="21.95" customHeight="1" thickBot="1" x14ac:dyDescent="0.25">
      <c r="A90" s="266"/>
      <c r="B90" s="268"/>
      <c r="C90" s="267"/>
      <c r="D90" s="267"/>
      <c r="E90" s="267"/>
      <c r="F90" s="235">
        <v>10180</v>
      </c>
      <c r="G90" s="235" t="s">
        <v>126</v>
      </c>
      <c r="H90" s="235" t="s">
        <v>127</v>
      </c>
      <c r="I90" s="235" t="s">
        <v>62</v>
      </c>
      <c r="J90" s="236" t="s">
        <v>28</v>
      </c>
      <c r="K90" s="235">
        <v>61300</v>
      </c>
      <c r="L90" s="235" t="s">
        <v>30</v>
      </c>
      <c r="M90" s="237">
        <f>SUM(budget_Brazil:budget_Egypt!M90)</f>
        <v>0</v>
      </c>
      <c r="N90" s="237">
        <f>SUM(budget_Brazil:budget_Egypt!N90)</f>
        <v>0</v>
      </c>
      <c r="O90" s="237">
        <f>SUM(budget_Brazil:budget_Egypt!O90)</f>
        <v>0</v>
      </c>
      <c r="P90" s="237">
        <f>SUM(budget_Brazil:budget_Egypt!P90)</f>
        <v>0</v>
      </c>
      <c r="Q90" s="237">
        <f t="shared" si="31"/>
        <v>0</v>
      </c>
      <c r="R90" s="238">
        <v>4</v>
      </c>
      <c r="S90" s="9">
        <f t="shared" si="32"/>
        <v>0</v>
      </c>
      <c r="X90" s="1">
        <v>61300</v>
      </c>
    </row>
    <row r="91" spans="1:39" ht="21.95" customHeight="1" thickBot="1" x14ac:dyDescent="0.25">
      <c r="A91" s="266"/>
      <c r="B91" s="268"/>
      <c r="C91" s="270" t="s">
        <v>31</v>
      </c>
      <c r="D91" s="270"/>
      <c r="E91" s="270"/>
      <c r="F91" s="270"/>
      <c r="G91" s="270"/>
      <c r="H91" s="270"/>
      <c r="I91" s="270"/>
      <c r="J91" s="270"/>
      <c r="K91" s="270"/>
      <c r="L91" s="270"/>
      <c r="M91" s="237">
        <f>SUM(M82:M90)</f>
        <v>0</v>
      </c>
      <c r="N91" s="237">
        <f t="shared" ref="N91:Q91" si="33">SUM(N82:N90)</f>
        <v>164151</v>
      </c>
      <c r="O91" s="237">
        <f t="shared" si="33"/>
        <v>159319</v>
      </c>
      <c r="P91" s="237">
        <f t="shared" si="33"/>
        <v>159318</v>
      </c>
      <c r="Q91" s="237">
        <f t="shared" si="33"/>
        <v>482788</v>
      </c>
      <c r="R91" s="238"/>
      <c r="T91" s="17"/>
      <c r="AC91" s="11"/>
      <c r="AE91" s="15"/>
      <c r="AF91" s="12"/>
      <c r="AG91" s="13"/>
    </row>
    <row r="92" spans="1:39" ht="21.95" customHeight="1" thickBot="1" x14ac:dyDescent="0.25">
      <c r="A92" s="267"/>
      <c r="B92" s="270" t="s">
        <v>63</v>
      </c>
      <c r="C92" s="270"/>
      <c r="D92" s="270"/>
      <c r="E92" s="270"/>
      <c r="F92" s="270"/>
      <c r="G92" s="270"/>
      <c r="H92" s="270"/>
      <c r="I92" s="270"/>
      <c r="J92" s="270"/>
      <c r="K92" s="270"/>
      <c r="L92" s="270"/>
      <c r="M92" s="237">
        <f>M91</f>
        <v>0</v>
      </c>
      <c r="N92" s="237">
        <f t="shared" ref="N92:Q92" si="34">N91</f>
        <v>164151</v>
      </c>
      <c r="O92" s="237">
        <f t="shared" si="34"/>
        <v>159319</v>
      </c>
      <c r="P92" s="237">
        <f t="shared" si="34"/>
        <v>159318</v>
      </c>
      <c r="Q92" s="237">
        <f t="shared" si="34"/>
        <v>482788</v>
      </c>
      <c r="R92" s="238"/>
      <c r="T92" s="10"/>
      <c r="AC92" s="11"/>
      <c r="AF92" s="12"/>
      <c r="AG92" s="13"/>
    </row>
    <row r="93" spans="1:39" ht="21.95" customHeight="1" thickBot="1" x14ac:dyDescent="0.25">
      <c r="A93" s="271" t="s">
        <v>64</v>
      </c>
      <c r="B93" s="272"/>
      <c r="C93" s="272"/>
      <c r="D93" s="272"/>
      <c r="E93" s="272"/>
      <c r="F93" s="272"/>
      <c r="G93" s="272"/>
      <c r="H93" s="272"/>
      <c r="I93" s="272"/>
      <c r="J93" s="272"/>
      <c r="K93" s="272"/>
      <c r="L93" s="273"/>
      <c r="M93" s="237">
        <f>M81+M92</f>
        <v>0</v>
      </c>
      <c r="N93" s="237">
        <f t="shared" ref="N93:Q93" si="35">N81+N92</f>
        <v>170688</v>
      </c>
      <c r="O93" s="237">
        <f t="shared" si="35"/>
        <v>165667</v>
      </c>
      <c r="P93" s="237">
        <f t="shared" si="35"/>
        <v>165660</v>
      </c>
      <c r="Q93" s="237">
        <f t="shared" si="35"/>
        <v>502015</v>
      </c>
      <c r="R93" s="238"/>
      <c r="U93" s="14"/>
      <c r="AC93" s="15"/>
      <c r="AM93" s="16"/>
    </row>
    <row r="94" spans="1:39" ht="21.95" customHeight="1" thickBot="1" x14ac:dyDescent="0.25">
      <c r="A94" s="265" t="s">
        <v>65</v>
      </c>
      <c r="B94" s="268" t="s">
        <v>66</v>
      </c>
      <c r="C94" s="268" t="s">
        <v>17</v>
      </c>
      <c r="D94" s="268">
        <v>62000</v>
      </c>
      <c r="E94" s="268">
        <v>10003</v>
      </c>
      <c r="F94" s="235">
        <v>10180</v>
      </c>
      <c r="G94" s="235" t="s">
        <v>126</v>
      </c>
      <c r="H94" s="235" t="s">
        <v>127</v>
      </c>
      <c r="I94" s="235" t="s">
        <v>66</v>
      </c>
      <c r="J94" s="236" t="s">
        <v>21</v>
      </c>
      <c r="K94" s="235">
        <v>71400</v>
      </c>
      <c r="L94" s="235" t="s">
        <v>22</v>
      </c>
      <c r="M94" s="237">
        <f>SUM(budget_Brazil:budget_Egypt!M94)</f>
        <v>0</v>
      </c>
      <c r="N94" s="237">
        <f>SUM(budget_Brazil:budget_Egypt!N94)</f>
        <v>9969</v>
      </c>
      <c r="O94" s="237">
        <f>SUM(budget_Brazil:budget_Egypt!O94)</f>
        <v>9675</v>
      </c>
      <c r="P94" s="237">
        <f>SUM(budget_Brazil:budget_Egypt!P94)</f>
        <v>9675</v>
      </c>
      <c r="Q94" s="237">
        <f t="shared" ref="Q94:Q108" si="36">SUM(M94:P94)</f>
        <v>29319</v>
      </c>
      <c r="R94" s="238">
        <v>5</v>
      </c>
      <c r="S94" s="9">
        <f t="shared" ref="S94:S108" si="37">VLOOKUP(K94, rpacoreratio, 7, FALSE)*VLOOKUP(K94, rpacoreratio, 8, FALSE)</f>
        <v>0.19546413010552866</v>
      </c>
      <c r="X94" s="1">
        <v>71400</v>
      </c>
    </row>
    <row r="95" spans="1:39" ht="21.95" customHeight="1" thickBot="1" x14ac:dyDescent="0.25">
      <c r="A95" s="266"/>
      <c r="B95" s="268"/>
      <c r="C95" s="268"/>
      <c r="D95" s="268"/>
      <c r="E95" s="268"/>
      <c r="F95" s="235">
        <v>10180</v>
      </c>
      <c r="G95" s="235" t="s">
        <v>126</v>
      </c>
      <c r="H95" s="235" t="s">
        <v>127</v>
      </c>
      <c r="I95" s="235" t="s">
        <v>66</v>
      </c>
      <c r="J95" s="236" t="s">
        <v>23</v>
      </c>
      <c r="K95" s="235">
        <v>71600</v>
      </c>
      <c r="L95" s="235" t="s">
        <v>23</v>
      </c>
      <c r="M95" s="237">
        <f>SUM(budget_Brazil:budget_Egypt!M95)</f>
        <v>0</v>
      </c>
      <c r="N95" s="237">
        <f>SUM(budget_Brazil:budget_Egypt!N95)</f>
        <v>972</v>
      </c>
      <c r="O95" s="237">
        <f>SUM(budget_Brazil:budget_Egypt!O95)</f>
        <v>945</v>
      </c>
      <c r="P95" s="237">
        <f>SUM(budget_Brazil:budget_Egypt!P95)</f>
        <v>945</v>
      </c>
      <c r="Q95" s="237">
        <f t="shared" si="36"/>
        <v>2862</v>
      </c>
      <c r="R95" s="238">
        <v>7</v>
      </c>
      <c r="S95" s="9">
        <f t="shared" si="37"/>
        <v>1.9088921632889836E-2</v>
      </c>
      <c r="X95" s="1">
        <v>71600</v>
      </c>
    </row>
    <row r="96" spans="1:39" ht="21.95" customHeight="1" thickBot="1" x14ac:dyDescent="0.25">
      <c r="A96" s="266"/>
      <c r="B96" s="268"/>
      <c r="C96" s="268"/>
      <c r="D96" s="268"/>
      <c r="E96" s="268"/>
      <c r="F96" s="235">
        <v>10180</v>
      </c>
      <c r="G96" s="235" t="s">
        <v>126</v>
      </c>
      <c r="H96" s="235" t="s">
        <v>127</v>
      </c>
      <c r="I96" s="235" t="s">
        <v>66</v>
      </c>
      <c r="J96" s="236" t="s">
        <v>58</v>
      </c>
      <c r="K96" s="235">
        <v>72200</v>
      </c>
      <c r="L96" s="235" t="s">
        <v>67</v>
      </c>
      <c r="M96" s="237">
        <f>SUM(budget_Brazil:budget_Egypt!M96)</f>
        <v>0</v>
      </c>
      <c r="N96" s="237">
        <f>SUM(budget_Brazil:budget_Egypt!N96)</f>
        <v>69</v>
      </c>
      <c r="O96" s="237">
        <f>SUM(budget_Brazil:budget_Egypt!O96)</f>
        <v>69</v>
      </c>
      <c r="P96" s="237">
        <f>SUM(budget_Brazil:budget_Egypt!P96)</f>
        <v>69</v>
      </c>
      <c r="Q96" s="237">
        <f t="shared" si="36"/>
        <v>207</v>
      </c>
      <c r="R96" s="238">
        <v>13</v>
      </c>
      <c r="S96" s="9">
        <f t="shared" si="37"/>
        <v>1.3809950556502937E-3</v>
      </c>
      <c r="U96" s="247"/>
      <c r="X96" s="1">
        <v>72200</v>
      </c>
    </row>
    <row r="97" spans="1:39" ht="21.95" customHeight="1" thickBot="1" x14ac:dyDescent="0.25">
      <c r="A97" s="266"/>
      <c r="B97" s="268"/>
      <c r="C97" s="268"/>
      <c r="D97" s="268"/>
      <c r="E97" s="268"/>
      <c r="F97" s="235">
        <v>10180</v>
      </c>
      <c r="G97" s="235" t="s">
        <v>126</v>
      </c>
      <c r="H97" s="235" t="s">
        <v>127</v>
      </c>
      <c r="I97" s="235" t="s">
        <v>66</v>
      </c>
      <c r="J97" s="236" t="s">
        <v>58</v>
      </c>
      <c r="K97" s="235">
        <v>72300</v>
      </c>
      <c r="L97" s="235" t="s">
        <v>68</v>
      </c>
      <c r="M97" s="237">
        <f>SUM(budget_Brazil:budget_Egypt!M97)</f>
        <v>0</v>
      </c>
      <c r="N97" s="237">
        <f>SUM(budget_Brazil:budget_Egypt!N97)</f>
        <v>0</v>
      </c>
      <c r="O97" s="237">
        <f>SUM(budget_Brazil:budget_Egypt!O97)</f>
        <v>0</v>
      </c>
      <c r="P97" s="237">
        <f>SUM(budget_Brazil:budget_Egypt!P97)</f>
        <v>0</v>
      </c>
      <c r="Q97" s="237">
        <f t="shared" si="36"/>
        <v>0</v>
      </c>
      <c r="R97" s="238">
        <v>14</v>
      </c>
      <c r="S97" s="9">
        <f t="shared" si="37"/>
        <v>0</v>
      </c>
      <c r="X97" s="1">
        <v>72300</v>
      </c>
    </row>
    <row r="98" spans="1:39" ht="21.95" customHeight="1" thickBot="1" x14ac:dyDescent="0.25">
      <c r="A98" s="266"/>
      <c r="B98" s="268"/>
      <c r="C98" s="268"/>
      <c r="D98" s="268"/>
      <c r="E98" s="268"/>
      <c r="F98" s="235">
        <v>10180</v>
      </c>
      <c r="G98" s="235" t="s">
        <v>126</v>
      </c>
      <c r="H98" s="235" t="s">
        <v>127</v>
      </c>
      <c r="I98" s="235" t="s">
        <v>66</v>
      </c>
      <c r="J98" s="236" t="s">
        <v>58</v>
      </c>
      <c r="K98" s="235">
        <v>72400</v>
      </c>
      <c r="L98" s="235" t="s">
        <v>69</v>
      </c>
      <c r="M98" s="237">
        <f>SUM(budget_Brazil:budget_Egypt!M98)</f>
        <v>0</v>
      </c>
      <c r="N98" s="237">
        <f>SUM(budget_Brazil:budget_Egypt!N98)</f>
        <v>501</v>
      </c>
      <c r="O98" s="237">
        <f>SUM(budget_Brazil:budget_Egypt!O98)</f>
        <v>486</v>
      </c>
      <c r="P98" s="237">
        <f>SUM(budget_Brazil:budget_Egypt!P98)</f>
        <v>486</v>
      </c>
      <c r="Q98" s="237">
        <f t="shared" si="36"/>
        <v>1473</v>
      </c>
      <c r="R98" s="238">
        <v>15</v>
      </c>
      <c r="S98" s="9">
        <f t="shared" si="37"/>
        <v>9.8297058690645835E-3</v>
      </c>
      <c r="X98" s="1">
        <v>72400</v>
      </c>
    </row>
    <row r="99" spans="1:39" ht="21.95" customHeight="1" thickBot="1" x14ac:dyDescent="0.25">
      <c r="A99" s="266"/>
      <c r="B99" s="268"/>
      <c r="C99" s="268"/>
      <c r="D99" s="268"/>
      <c r="E99" s="268"/>
      <c r="F99" s="235">
        <v>10180</v>
      </c>
      <c r="G99" s="235" t="s">
        <v>126</v>
      </c>
      <c r="H99" s="235" t="s">
        <v>127</v>
      </c>
      <c r="I99" s="235" t="s">
        <v>66</v>
      </c>
      <c r="J99" s="236" t="s">
        <v>24</v>
      </c>
      <c r="K99" s="235">
        <v>72500</v>
      </c>
      <c r="L99" s="235" t="s">
        <v>25</v>
      </c>
      <c r="M99" s="237">
        <f>SUM(budget_Brazil:budget_Egypt!M99)</f>
        <v>0</v>
      </c>
      <c r="N99" s="237">
        <f>SUM(budget_Brazil:budget_Egypt!N99)</f>
        <v>456</v>
      </c>
      <c r="O99" s="237">
        <f>SUM(budget_Brazil:budget_Egypt!O99)</f>
        <v>444</v>
      </c>
      <c r="P99" s="237">
        <f>SUM(budget_Brazil:budget_Egypt!P99)</f>
        <v>441</v>
      </c>
      <c r="Q99" s="237">
        <f t="shared" si="36"/>
        <v>1341</v>
      </c>
      <c r="R99" s="238">
        <v>10</v>
      </c>
      <c r="S99" s="9">
        <f t="shared" si="37"/>
        <v>8.9354246977183076E-3</v>
      </c>
      <c r="X99" s="1">
        <v>72500</v>
      </c>
    </row>
    <row r="100" spans="1:39" ht="21.95" customHeight="1" thickBot="1" x14ac:dyDescent="0.25">
      <c r="A100" s="266"/>
      <c r="B100" s="268"/>
      <c r="C100" s="268"/>
      <c r="D100" s="268"/>
      <c r="E100" s="268"/>
      <c r="F100" s="235">
        <v>10180</v>
      </c>
      <c r="G100" s="235" t="s">
        <v>126</v>
      </c>
      <c r="H100" s="235" t="s">
        <v>127</v>
      </c>
      <c r="I100" s="235" t="s">
        <v>66</v>
      </c>
      <c r="J100" s="236" t="s">
        <v>58</v>
      </c>
      <c r="K100" s="235">
        <v>72800</v>
      </c>
      <c r="L100" s="235" t="s">
        <v>70</v>
      </c>
      <c r="M100" s="237">
        <f>SUM(budget_Brazil:budget_Egypt!M100)</f>
        <v>0</v>
      </c>
      <c r="N100" s="237">
        <f>SUM(budget_Brazil:budget_Egypt!N100)</f>
        <v>318</v>
      </c>
      <c r="O100" s="237">
        <f>SUM(budget_Brazil:budget_Egypt!O100)</f>
        <v>309</v>
      </c>
      <c r="P100" s="237">
        <f>SUM(budget_Brazil:budget_Egypt!P100)</f>
        <v>312</v>
      </c>
      <c r="Q100" s="237">
        <f t="shared" si="36"/>
        <v>939</v>
      </c>
      <c r="R100" s="238">
        <v>16</v>
      </c>
      <c r="S100" s="9">
        <f t="shared" si="37"/>
        <v>6.2690135248252626E-3</v>
      </c>
      <c r="X100" s="1">
        <v>72800</v>
      </c>
    </row>
    <row r="101" spans="1:39" ht="21.95" customHeight="1" thickBot="1" x14ac:dyDescent="0.25">
      <c r="A101" s="266"/>
      <c r="B101" s="268"/>
      <c r="C101" s="268"/>
      <c r="D101" s="268"/>
      <c r="E101" s="268"/>
      <c r="F101" s="235">
        <v>10180</v>
      </c>
      <c r="G101" s="235" t="s">
        <v>126</v>
      </c>
      <c r="H101" s="235" t="s">
        <v>127</v>
      </c>
      <c r="I101" s="235" t="s">
        <v>66</v>
      </c>
      <c r="J101" s="236" t="s">
        <v>71</v>
      </c>
      <c r="K101" s="235">
        <v>73100</v>
      </c>
      <c r="L101" s="235" t="s">
        <v>72</v>
      </c>
      <c r="M101" s="237">
        <f>SUM(budget_Brazil:budget_Egypt!M101)</f>
        <v>0</v>
      </c>
      <c r="N101" s="237">
        <f>SUM(budget_Brazil:budget_Egypt!N101)</f>
        <v>4116</v>
      </c>
      <c r="O101" s="237">
        <f>SUM(budget_Brazil:budget_Egypt!O101)</f>
        <v>3996</v>
      </c>
      <c r="P101" s="237">
        <f>SUM(budget_Brazil:budget_Egypt!P101)</f>
        <v>3996</v>
      </c>
      <c r="Q101" s="237">
        <f t="shared" si="36"/>
        <v>12108</v>
      </c>
      <c r="R101" s="238">
        <v>8</v>
      </c>
      <c r="S101" s="9">
        <f t="shared" si="37"/>
        <v>8.0719428593636136E-2</v>
      </c>
      <c r="X101" s="1">
        <v>73100</v>
      </c>
    </row>
    <row r="102" spans="1:39" ht="21.95" customHeight="1" thickBot="1" x14ac:dyDescent="0.25">
      <c r="A102" s="266"/>
      <c r="B102" s="268"/>
      <c r="C102" s="268"/>
      <c r="D102" s="268"/>
      <c r="E102" s="268"/>
      <c r="F102" s="235">
        <v>10180</v>
      </c>
      <c r="G102" s="235" t="s">
        <v>126</v>
      </c>
      <c r="H102" s="235" t="s">
        <v>127</v>
      </c>
      <c r="I102" s="235" t="s">
        <v>66</v>
      </c>
      <c r="J102" s="236" t="s">
        <v>58</v>
      </c>
      <c r="K102" s="235">
        <v>73400</v>
      </c>
      <c r="L102" s="235" t="s">
        <v>73</v>
      </c>
      <c r="M102" s="237">
        <f>SUM(budget_Brazil:budget_Egypt!M102)</f>
        <v>0</v>
      </c>
      <c r="N102" s="237">
        <f>SUM(budget_Brazil:budget_Egypt!N102)</f>
        <v>243</v>
      </c>
      <c r="O102" s="237">
        <f>SUM(budget_Brazil:budget_Egypt!O102)</f>
        <v>234</v>
      </c>
      <c r="P102" s="237">
        <f>SUM(budget_Brazil:budget_Egypt!P102)</f>
        <v>234</v>
      </c>
      <c r="Q102" s="237">
        <f t="shared" si="36"/>
        <v>711</v>
      </c>
      <c r="R102" s="238">
        <v>17</v>
      </c>
      <c r="S102" s="9">
        <f t="shared" si="37"/>
        <v>4.7455922829596296E-3</v>
      </c>
      <c r="X102" s="1">
        <v>73400</v>
      </c>
    </row>
    <row r="103" spans="1:39" ht="21.95" customHeight="1" thickBot="1" x14ac:dyDescent="0.25">
      <c r="A103" s="266"/>
      <c r="B103" s="268"/>
      <c r="C103" s="268"/>
      <c r="D103" s="268"/>
      <c r="E103" s="268"/>
      <c r="F103" s="235">
        <v>10180</v>
      </c>
      <c r="G103" s="235" t="s">
        <v>126</v>
      </c>
      <c r="H103" s="235" t="s">
        <v>127</v>
      </c>
      <c r="I103" s="235" t="s">
        <v>66</v>
      </c>
      <c r="J103" s="236" t="s">
        <v>74</v>
      </c>
      <c r="K103" s="235">
        <v>74100</v>
      </c>
      <c r="L103" s="235" t="s">
        <v>75</v>
      </c>
      <c r="M103" s="237">
        <f>SUM(budget_Brazil:budget_Egypt!M103)</f>
        <v>0</v>
      </c>
      <c r="N103" s="237">
        <f>SUM(budget_Brazil:budget_Egypt!N103)</f>
        <v>654</v>
      </c>
      <c r="O103" s="237">
        <f>SUM(budget_Brazil:budget_Egypt!O103)</f>
        <v>633</v>
      </c>
      <c r="P103" s="237">
        <f>SUM(budget_Brazil:budget_Egypt!P103)</f>
        <v>633</v>
      </c>
      <c r="Q103" s="237">
        <f t="shared" si="36"/>
        <v>1920</v>
      </c>
      <c r="R103" s="238">
        <v>9</v>
      </c>
      <c r="S103" s="9">
        <f t="shared" si="37"/>
        <v>1.279755251095744E-2</v>
      </c>
      <c r="X103" s="1">
        <v>74100</v>
      </c>
    </row>
    <row r="104" spans="1:39" ht="21.95" customHeight="1" thickBot="1" x14ac:dyDescent="0.25">
      <c r="A104" s="266"/>
      <c r="B104" s="268"/>
      <c r="C104" s="268"/>
      <c r="D104" s="268"/>
      <c r="E104" s="268"/>
      <c r="F104" s="235">
        <v>10180</v>
      </c>
      <c r="G104" s="235" t="s">
        <v>126</v>
      </c>
      <c r="H104" s="235" t="s">
        <v>127</v>
      </c>
      <c r="I104" s="235" t="s">
        <v>66</v>
      </c>
      <c r="J104" s="236" t="s">
        <v>58</v>
      </c>
      <c r="K104" s="235">
        <v>74200</v>
      </c>
      <c r="L104" s="235" t="s">
        <v>76</v>
      </c>
      <c r="M104" s="237">
        <f>SUM(budget_Brazil:budget_Egypt!M104)</f>
        <v>0</v>
      </c>
      <c r="N104" s="237">
        <f>SUM(budget_Brazil:budget_Egypt!N104)</f>
        <v>228</v>
      </c>
      <c r="O104" s="237">
        <f>SUM(budget_Brazil:budget_Egypt!O104)</f>
        <v>222</v>
      </c>
      <c r="P104" s="237">
        <f>SUM(budget_Brazil:budget_Egypt!P104)</f>
        <v>219</v>
      </c>
      <c r="Q104" s="237">
        <f t="shared" si="36"/>
        <v>669</v>
      </c>
      <c r="R104" s="238">
        <v>18</v>
      </c>
      <c r="S104" s="9">
        <f t="shared" si="37"/>
        <v>4.4532398282170031E-3</v>
      </c>
      <c r="X104" s="1">
        <v>74200</v>
      </c>
    </row>
    <row r="105" spans="1:39" ht="21.95" customHeight="1" thickBot="1" x14ac:dyDescent="0.25">
      <c r="A105" s="266"/>
      <c r="B105" s="268"/>
      <c r="C105" s="268"/>
      <c r="D105" s="268"/>
      <c r="E105" s="268"/>
      <c r="F105" s="235">
        <v>10180</v>
      </c>
      <c r="G105" s="235" t="s">
        <v>126</v>
      </c>
      <c r="H105" s="235" t="s">
        <v>127</v>
      </c>
      <c r="I105" s="235" t="s">
        <v>66</v>
      </c>
      <c r="J105" s="236" t="s">
        <v>23</v>
      </c>
      <c r="K105" s="235">
        <v>74500</v>
      </c>
      <c r="L105" s="235" t="s">
        <v>49</v>
      </c>
      <c r="M105" s="237">
        <f>SUM(budget_Brazil:budget_Egypt!M105)</f>
        <v>0</v>
      </c>
      <c r="N105" s="237">
        <f>SUM(budget_Brazil:budget_Egypt!N105)</f>
        <v>288</v>
      </c>
      <c r="O105" s="237">
        <f>SUM(budget_Brazil:budget_Egypt!O105)</f>
        <v>279</v>
      </c>
      <c r="P105" s="237">
        <f>SUM(budget_Brazil:budget_Egypt!P105)</f>
        <v>276</v>
      </c>
      <c r="Q105" s="237">
        <f t="shared" si="36"/>
        <v>843</v>
      </c>
      <c r="R105" s="238">
        <v>11</v>
      </c>
      <c r="S105" s="9">
        <f t="shared" si="37"/>
        <v>5.5771968870457524E-3</v>
      </c>
      <c r="X105" s="1">
        <v>74500</v>
      </c>
    </row>
    <row r="106" spans="1:39" ht="21.95" customHeight="1" thickBot="1" x14ac:dyDescent="0.25">
      <c r="A106" s="266"/>
      <c r="B106" s="268"/>
      <c r="C106" s="268"/>
      <c r="D106" s="268"/>
      <c r="E106" s="268"/>
      <c r="F106" s="235">
        <v>10180</v>
      </c>
      <c r="G106" s="235" t="s">
        <v>126</v>
      </c>
      <c r="H106" s="235" t="s">
        <v>127</v>
      </c>
      <c r="I106" s="235" t="s">
        <v>66</v>
      </c>
      <c r="J106" s="236" t="s">
        <v>23</v>
      </c>
      <c r="K106" s="235">
        <v>74700</v>
      </c>
      <c r="L106" s="235" t="s">
        <v>77</v>
      </c>
      <c r="M106" s="237">
        <f>SUM(budget_Brazil:budget_Egypt!M106)</f>
        <v>0</v>
      </c>
      <c r="N106" s="237">
        <f>SUM(budget_Brazil:budget_Egypt!N106)</f>
        <v>0</v>
      </c>
      <c r="O106" s="237">
        <f>SUM(budget_Brazil:budget_Egypt!O106)</f>
        <v>0</v>
      </c>
      <c r="P106" s="237">
        <f>SUM(budget_Brazil:budget_Egypt!P106)</f>
        <v>0</v>
      </c>
      <c r="Q106" s="237">
        <f t="shared" si="36"/>
        <v>0</v>
      </c>
      <c r="R106" s="238">
        <v>19</v>
      </c>
      <c r="S106" s="9">
        <f t="shared" si="37"/>
        <v>0</v>
      </c>
      <c r="X106" s="1">
        <v>74700</v>
      </c>
    </row>
    <row r="107" spans="1:39" ht="21.95" customHeight="1" thickBot="1" x14ac:dyDescent="0.25">
      <c r="A107" s="266"/>
      <c r="B107" s="268"/>
      <c r="C107" s="268"/>
      <c r="D107" s="268"/>
      <c r="E107" s="268"/>
      <c r="F107" s="235">
        <v>10180</v>
      </c>
      <c r="G107" s="235" t="s">
        <v>126</v>
      </c>
      <c r="H107" s="235" t="s">
        <v>127</v>
      </c>
      <c r="I107" s="235" t="s">
        <v>66</v>
      </c>
      <c r="J107" s="236" t="s">
        <v>28</v>
      </c>
      <c r="K107" s="235">
        <v>61200</v>
      </c>
      <c r="L107" s="235" t="s">
        <v>29</v>
      </c>
      <c r="M107" s="237">
        <f>SUM(budget_Brazil:budget_Egypt!M107)</f>
        <v>0</v>
      </c>
      <c r="N107" s="237">
        <f>SUM(budget_Brazil:budget_Egypt!N107)</f>
        <v>0</v>
      </c>
      <c r="O107" s="237">
        <f>SUM(budget_Brazil:budget_Egypt!O107)</f>
        <v>0</v>
      </c>
      <c r="P107" s="237">
        <f>SUM(budget_Brazil:budget_Egypt!P107)</f>
        <v>0</v>
      </c>
      <c r="Q107" s="237">
        <f t="shared" si="36"/>
        <v>0</v>
      </c>
      <c r="R107" s="238">
        <v>4</v>
      </c>
      <c r="S107" s="9">
        <f t="shared" si="37"/>
        <v>0</v>
      </c>
      <c r="X107" s="1">
        <v>61200</v>
      </c>
    </row>
    <row r="108" spans="1:39" s="2" customFormat="1" ht="21.95" customHeight="1" thickBot="1" x14ac:dyDescent="0.25">
      <c r="A108" s="266"/>
      <c r="B108" s="268"/>
      <c r="C108" s="268"/>
      <c r="D108" s="268"/>
      <c r="E108" s="268"/>
      <c r="F108" s="235">
        <v>10180</v>
      </c>
      <c r="G108" s="235" t="s">
        <v>126</v>
      </c>
      <c r="H108" s="235" t="s">
        <v>127</v>
      </c>
      <c r="I108" s="235" t="s">
        <v>66</v>
      </c>
      <c r="J108" s="236" t="s">
        <v>28</v>
      </c>
      <c r="K108" s="235">
        <v>61300</v>
      </c>
      <c r="L108" s="235" t="s">
        <v>30</v>
      </c>
      <c r="M108" s="237">
        <f>SUM(budget_Brazil:budget_Egypt!M108)</f>
        <v>0</v>
      </c>
      <c r="N108" s="237">
        <f>SUM(budget_Brazil:budget_Egypt!N108)</f>
        <v>0</v>
      </c>
      <c r="O108" s="237">
        <f>SUM(budget_Brazil:budget_Egypt!O108)</f>
        <v>0</v>
      </c>
      <c r="P108" s="237">
        <f>SUM(budget_Brazil:budget_Egypt!P108)</f>
        <v>0</v>
      </c>
      <c r="Q108" s="237">
        <f t="shared" si="36"/>
        <v>0</v>
      </c>
      <c r="R108" s="238">
        <v>4</v>
      </c>
      <c r="S108" s="9">
        <f t="shared" si="37"/>
        <v>0</v>
      </c>
      <c r="U108" s="1"/>
      <c r="V108" s="1"/>
      <c r="W108" s="1"/>
      <c r="X108" s="1">
        <v>61300</v>
      </c>
      <c r="Y108" s="1"/>
      <c r="Z108" s="1"/>
      <c r="AA108" s="1"/>
      <c r="AB108" s="1"/>
      <c r="AC108" s="1"/>
      <c r="AD108" s="1"/>
      <c r="AE108" s="1"/>
      <c r="AF108" s="1"/>
      <c r="AG108" s="1"/>
      <c r="AH108" s="1"/>
      <c r="AI108" s="1"/>
      <c r="AJ108" s="1"/>
      <c r="AK108" s="1"/>
      <c r="AL108" s="1"/>
      <c r="AM108" s="1"/>
    </row>
    <row r="109" spans="1:39" s="2" customFormat="1" ht="21.95" customHeight="1" thickBot="1" x14ac:dyDescent="0.25">
      <c r="A109" s="266"/>
      <c r="B109" s="268"/>
      <c r="C109" s="269" t="s">
        <v>31</v>
      </c>
      <c r="D109" s="269"/>
      <c r="E109" s="269"/>
      <c r="F109" s="269"/>
      <c r="G109" s="269"/>
      <c r="H109" s="269"/>
      <c r="I109" s="269"/>
      <c r="J109" s="269"/>
      <c r="K109" s="269"/>
      <c r="L109" s="269"/>
      <c r="M109" s="237">
        <f>SUM(M94:M108)</f>
        <v>0</v>
      </c>
      <c r="N109" s="237">
        <f t="shared" ref="N109:Q109" si="38">SUM(N94:N108)</f>
        <v>17814</v>
      </c>
      <c r="O109" s="237">
        <f t="shared" si="38"/>
        <v>17292</v>
      </c>
      <c r="P109" s="237">
        <f t="shared" si="38"/>
        <v>17286</v>
      </c>
      <c r="Q109" s="237">
        <f t="shared" si="38"/>
        <v>52392</v>
      </c>
      <c r="R109" s="238"/>
      <c r="S109" s="9"/>
      <c r="U109" s="1"/>
      <c r="V109" s="1"/>
      <c r="W109" s="1"/>
      <c r="X109" s="1"/>
      <c r="Y109" s="1"/>
      <c r="Z109" s="1"/>
      <c r="AA109" s="1"/>
      <c r="AB109" s="1"/>
      <c r="AC109" s="1"/>
      <c r="AD109" s="1"/>
      <c r="AE109" s="1"/>
      <c r="AF109" s="1"/>
      <c r="AG109" s="1"/>
      <c r="AH109" s="1"/>
      <c r="AI109" s="1"/>
      <c r="AJ109" s="1"/>
      <c r="AK109" s="1"/>
      <c r="AL109" s="1"/>
      <c r="AM109" s="1"/>
    </row>
    <row r="110" spans="1:39" s="2" customFormat="1" ht="21.95" customHeight="1" thickBot="1" x14ac:dyDescent="0.25">
      <c r="A110" s="266"/>
      <c r="B110" s="269" t="s">
        <v>78</v>
      </c>
      <c r="C110" s="269"/>
      <c r="D110" s="269"/>
      <c r="E110" s="269"/>
      <c r="F110" s="269"/>
      <c r="G110" s="269"/>
      <c r="H110" s="269"/>
      <c r="I110" s="269"/>
      <c r="J110" s="269"/>
      <c r="K110" s="269"/>
      <c r="L110" s="269"/>
      <c r="M110" s="237">
        <f>M109</f>
        <v>0</v>
      </c>
      <c r="N110" s="237">
        <f t="shared" ref="N110:Q110" si="39">N109</f>
        <v>17814</v>
      </c>
      <c r="O110" s="237">
        <f t="shared" si="39"/>
        <v>17292</v>
      </c>
      <c r="P110" s="237">
        <f t="shared" si="39"/>
        <v>17286</v>
      </c>
      <c r="Q110" s="237">
        <f t="shared" si="39"/>
        <v>52392</v>
      </c>
      <c r="R110" s="238"/>
      <c r="S110" s="9"/>
      <c r="U110" s="1"/>
      <c r="V110" s="1"/>
      <c r="W110" s="1"/>
      <c r="X110" s="1"/>
      <c r="Y110" s="1"/>
      <c r="Z110" s="1"/>
      <c r="AA110" s="1"/>
      <c r="AB110" s="1"/>
      <c r="AC110" s="1"/>
      <c r="AD110" s="1"/>
      <c r="AE110" s="1"/>
      <c r="AF110" s="1"/>
      <c r="AG110" s="1"/>
      <c r="AH110" s="1"/>
      <c r="AI110" s="1"/>
      <c r="AJ110" s="1"/>
      <c r="AK110" s="1"/>
      <c r="AL110" s="1"/>
      <c r="AM110" s="1"/>
    </row>
    <row r="111" spans="1:39" s="2" customFormat="1" ht="21.95" customHeight="1" thickBot="1" x14ac:dyDescent="0.25">
      <c r="A111" s="266"/>
      <c r="B111" s="265" t="s">
        <v>79</v>
      </c>
      <c r="C111" s="265" t="s">
        <v>17</v>
      </c>
      <c r="D111" s="265">
        <v>62000</v>
      </c>
      <c r="E111" s="265">
        <v>10003</v>
      </c>
      <c r="F111" s="235">
        <v>10180</v>
      </c>
      <c r="G111" s="235" t="s">
        <v>126</v>
      </c>
      <c r="H111" s="235" t="s">
        <v>127</v>
      </c>
      <c r="I111" s="235" t="s">
        <v>79</v>
      </c>
      <c r="J111" s="236" t="s">
        <v>21</v>
      </c>
      <c r="K111" s="235">
        <v>71400</v>
      </c>
      <c r="L111" s="235" t="s">
        <v>22</v>
      </c>
      <c r="M111" s="237">
        <f>SUM(budget_Brazil:budget_Egypt!M111)</f>
        <v>0</v>
      </c>
      <c r="N111" s="237">
        <f>SUM(budget_Brazil:budget_Egypt!N111)</f>
        <v>217645</v>
      </c>
      <c r="O111" s="237">
        <f>SUM(budget_Brazil:budget_Egypt!O111)</f>
        <v>211245</v>
      </c>
      <c r="P111" s="237">
        <f>SUM(budget_Brazil:budget_Egypt!P111)</f>
        <v>211243</v>
      </c>
      <c r="Q111" s="237">
        <f t="shared" ref="Q111:Q125" si="40">SUM(M111:P111)</f>
        <v>640133</v>
      </c>
      <c r="R111" s="238">
        <v>5</v>
      </c>
      <c r="S111" s="9">
        <f t="shared" ref="S111:S125" si="41">VLOOKUP(K111, rpastarratio, 7, FALSE)*VLOOKUP(K111, rpastarratio, 8, FALSE)</f>
        <v>0.1954641301055286</v>
      </c>
      <c r="U111" s="1"/>
      <c r="V111" s="1"/>
      <c r="W111" s="1"/>
      <c r="X111" s="1">
        <v>71400</v>
      </c>
      <c r="Y111" s="1"/>
      <c r="Z111" s="1"/>
      <c r="AA111" s="1"/>
      <c r="AB111" s="1"/>
      <c r="AC111" s="1"/>
      <c r="AD111" s="1"/>
      <c r="AE111" s="1"/>
      <c r="AF111" s="1"/>
      <c r="AG111" s="1"/>
      <c r="AH111" s="1"/>
      <c r="AI111" s="1"/>
      <c r="AJ111" s="1"/>
      <c r="AK111" s="1"/>
      <c r="AL111" s="1"/>
      <c r="AM111" s="1"/>
    </row>
    <row r="112" spans="1:39" s="2" customFormat="1" ht="21.95" customHeight="1" thickBot="1" x14ac:dyDescent="0.25">
      <c r="A112" s="266"/>
      <c r="B112" s="266"/>
      <c r="C112" s="266"/>
      <c r="D112" s="266"/>
      <c r="E112" s="266"/>
      <c r="F112" s="235">
        <v>10180</v>
      </c>
      <c r="G112" s="235" t="s">
        <v>126</v>
      </c>
      <c r="H112" s="235" t="s">
        <v>127</v>
      </c>
      <c r="I112" s="235" t="s">
        <v>79</v>
      </c>
      <c r="J112" s="236" t="s">
        <v>23</v>
      </c>
      <c r="K112" s="235">
        <v>71600</v>
      </c>
      <c r="L112" s="235" t="s">
        <v>23</v>
      </c>
      <c r="M112" s="237">
        <f>SUM(budget_Brazil:budget_Egypt!M112)</f>
        <v>0</v>
      </c>
      <c r="N112" s="237">
        <f>SUM(budget_Brazil:budget_Egypt!N112)</f>
        <v>25475</v>
      </c>
      <c r="O112" s="237">
        <f>SUM(budget_Brazil:budget_Egypt!O112)</f>
        <v>24726</v>
      </c>
      <c r="P112" s="237">
        <f>SUM(budget_Brazil:budget_Egypt!P112)</f>
        <v>24726</v>
      </c>
      <c r="Q112" s="237">
        <f t="shared" si="40"/>
        <v>74927</v>
      </c>
      <c r="R112" s="238">
        <v>7</v>
      </c>
      <c r="S112" s="9">
        <f t="shared" si="41"/>
        <v>1.9088921632889829E-2</v>
      </c>
      <c r="U112" s="1"/>
      <c r="V112" s="1"/>
      <c r="W112" s="1"/>
      <c r="X112" s="1">
        <v>71600</v>
      </c>
      <c r="Y112" s="1"/>
      <c r="Z112" s="1"/>
      <c r="AA112" s="1"/>
      <c r="AB112" s="1"/>
      <c r="AC112" s="1"/>
      <c r="AD112" s="1"/>
      <c r="AE112" s="1"/>
      <c r="AF112" s="1"/>
      <c r="AG112" s="1"/>
      <c r="AH112" s="1"/>
      <c r="AI112" s="1"/>
      <c r="AJ112" s="1"/>
      <c r="AK112" s="1"/>
      <c r="AL112" s="1"/>
      <c r="AM112" s="1"/>
    </row>
    <row r="113" spans="1:39" s="2" customFormat="1" ht="21.95" customHeight="1" thickBot="1" x14ac:dyDescent="0.25">
      <c r="A113" s="266"/>
      <c r="B113" s="266"/>
      <c r="C113" s="266"/>
      <c r="D113" s="266"/>
      <c r="E113" s="266"/>
      <c r="F113" s="235">
        <v>10180</v>
      </c>
      <c r="G113" s="235" t="s">
        <v>126</v>
      </c>
      <c r="H113" s="235" t="s">
        <v>127</v>
      </c>
      <c r="I113" s="235" t="s">
        <v>79</v>
      </c>
      <c r="J113" s="236" t="s">
        <v>58</v>
      </c>
      <c r="K113" s="235">
        <v>72200</v>
      </c>
      <c r="L113" s="235" t="s">
        <v>67</v>
      </c>
      <c r="M113" s="237">
        <f>SUM(budget_Brazil:budget_Egypt!M113)</f>
        <v>0</v>
      </c>
      <c r="N113" s="237">
        <f>SUM(budget_Brazil:budget_Egypt!N113)</f>
        <v>1843</v>
      </c>
      <c r="O113" s="237">
        <f>SUM(budget_Brazil:budget_Egypt!O113)</f>
        <v>1789</v>
      </c>
      <c r="P113" s="237">
        <f>SUM(budget_Brazil:budget_Egypt!P113)</f>
        <v>1788</v>
      </c>
      <c r="Q113" s="237">
        <f t="shared" si="40"/>
        <v>5420</v>
      </c>
      <c r="R113" s="238">
        <v>13</v>
      </c>
      <c r="S113" s="9">
        <f t="shared" si="41"/>
        <v>1.3809950556502931E-3</v>
      </c>
      <c r="U113" s="1"/>
      <c r="V113" s="1"/>
      <c r="W113" s="1"/>
      <c r="X113" s="1">
        <v>72200</v>
      </c>
      <c r="Y113" s="1"/>
      <c r="Z113" s="1"/>
      <c r="AA113" s="1"/>
      <c r="AB113" s="1"/>
      <c r="AC113" s="1"/>
      <c r="AD113" s="1"/>
      <c r="AE113" s="1"/>
      <c r="AF113" s="1"/>
      <c r="AG113" s="1"/>
      <c r="AH113" s="1"/>
      <c r="AI113" s="1"/>
      <c r="AJ113" s="1"/>
      <c r="AK113" s="1"/>
      <c r="AL113" s="1"/>
      <c r="AM113" s="1"/>
    </row>
    <row r="114" spans="1:39" s="2" customFormat="1" ht="21.95" customHeight="1" thickBot="1" x14ac:dyDescent="0.25">
      <c r="A114" s="266"/>
      <c r="B114" s="266"/>
      <c r="C114" s="266"/>
      <c r="D114" s="266"/>
      <c r="E114" s="266"/>
      <c r="F114" s="235">
        <v>10180</v>
      </c>
      <c r="G114" s="235" t="s">
        <v>126</v>
      </c>
      <c r="H114" s="235" t="s">
        <v>127</v>
      </c>
      <c r="I114" s="235" t="s">
        <v>79</v>
      </c>
      <c r="J114" s="236" t="s">
        <v>58</v>
      </c>
      <c r="K114" s="235">
        <v>72300</v>
      </c>
      <c r="L114" s="235" t="s">
        <v>68</v>
      </c>
      <c r="M114" s="237">
        <f>SUM(budget_Brazil:budget_Egypt!M114)</f>
        <v>0</v>
      </c>
      <c r="N114" s="237">
        <f>SUM(budget_Brazil:budget_Egypt!N114)</f>
        <v>0</v>
      </c>
      <c r="O114" s="237">
        <f>SUM(budget_Brazil:budget_Egypt!O114)</f>
        <v>0</v>
      </c>
      <c r="P114" s="237">
        <f>SUM(budget_Brazil:budget_Egypt!P114)</f>
        <v>0</v>
      </c>
      <c r="Q114" s="237">
        <f t="shared" si="40"/>
        <v>0</v>
      </c>
      <c r="R114" s="238">
        <v>14</v>
      </c>
      <c r="S114" s="9">
        <f t="shared" si="41"/>
        <v>0</v>
      </c>
      <c r="U114" s="1"/>
      <c r="V114" s="1"/>
      <c r="W114" s="1"/>
      <c r="X114" s="1">
        <v>72300</v>
      </c>
      <c r="Y114" s="1"/>
      <c r="Z114" s="1"/>
      <c r="AA114" s="1"/>
      <c r="AB114" s="1"/>
      <c r="AC114" s="1"/>
      <c r="AD114" s="1"/>
      <c r="AE114" s="1"/>
      <c r="AF114" s="1"/>
      <c r="AG114" s="1"/>
      <c r="AH114" s="1"/>
      <c r="AI114" s="1"/>
      <c r="AJ114" s="1"/>
      <c r="AK114" s="1"/>
      <c r="AL114" s="1"/>
      <c r="AM114" s="1"/>
    </row>
    <row r="115" spans="1:39" s="2" customFormat="1" ht="21.95" customHeight="1" thickBot="1" x14ac:dyDescent="0.25">
      <c r="A115" s="266"/>
      <c r="B115" s="266"/>
      <c r="C115" s="266"/>
      <c r="D115" s="266"/>
      <c r="E115" s="266"/>
      <c r="F115" s="235">
        <v>10180</v>
      </c>
      <c r="G115" s="235" t="s">
        <v>126</v>
      </c>
      <c r="H115" s="235" t="s">
        <v>127</v>
      </c>
      <c r="I115" s="235" t="s">
        <v>79</v>
      </c>
      <c r="J115" s="236" t="s">
        <v>58</v>
      </c>
      <c r="K115" s="235">
        <v>72400</v>
      </c>
      <c r="L115" s="235" t="s">
        <v>69</v>
      </c>
      <c r="M115" s="237">
        <f>SUM(budget_Brazil:budget_Egypt!M115)</f>
        <v>0</v>
      </c>
      <c r="N115" s="237">
        <f>SUM(budget_Brazil:budget_Egypt!N115)</f>
        <v>13118</v>
      </c>
      <c r="O115" s="237">
        <f>SUM(budget_Brazil:budget_Egypt!O115)</f>
        <v>12732</v>
      </c>
      <c r="P115" s="237">
        <f>SUM(budget_Brazil:budget_Egypt!P115)</f>
        <v>12733</v>
      </c>
      <c r="Q115" s="237">
        <f t="shared" si="40"/>
        <v>38583</v>
      </c>
      <c r="R115" s="238">
        <v>15</v>
      </c>
      <c r="S115" s="9">
        <f t="shared" si="41"/>
        <v>9.8297058690645783E-3</v>
      </c>
      <c r="U115" s="1"/>
      <c r="V115" s="1"/>
      <c r="W115" s="1"/>
      <c r="X115" s="1">
        <v>72400</v>
      </c>
      <c r="Y115" s="1"/>
      <c r="Z115" s="1"/>
      <c r="AA115" s="1"/>
      <c r="AB115" s="1"/>
      <c r="AC115" s="1"/>
      <c r="AD115" s="1"/>
      <c r="AE115" s="1"/>
      <c r="AF115" s="1"/>
      <c r="AG115" s="1"/>
      <c r="AH115" s="1"/>
      <c r="AI115" s="1"/>
      <c r="AJ115" s="1"/>
      <c r="AK115" s="1"/>
      <c r="AL115" s="1"/>
      <c r="AM115" s="1"/>
    </row>
    <row r="116" spans="1:39" s="2" customFormat="1" ht="21.95" customHeight="1" thickBot="1" x14ac:dyDescent="0.25">
      <c r="A116" s="266"/>
      <c r="B116" s="266"/>
      <c r="C116" s="266"/>
      <c r="D116" s="266"/>
      <c r="E116" s="266"/>
      <c r="F116" s="235">
        <v>10180</v>
      </c>
      <c r="G116" s="235" t="s">
        <v>126</v>
      </c>
      <c r="H116" s="235" t="s">
        <v>127</v>
      </c>
      <c r="I116" s="235" t="s">
        <v>79</v>
      </c>
      <c r="J116" s="236" t="s">
        <v>24</v>
      </c>
      <c r="K116" s="235">
        <v>72500</v>
      </c>
      <c r="L116" s="235" t="s">
        <v>25</v>
      </c>
      <c r="M116" s="237">
        <f>SUM(budget_Brazil:budget_Egypt!M116)</f>
        <v>0</v>
      </c>
      <c r="N116" s="237">
        <f>SUM(budget_Brazil:budget_Egypt!N116)</f>
        <v>11926</v>
      </c>
      <c r="O116" s="237">
        <f>SUM(budget_Brazil:budget_Egypt!O116)</f>
        <v>11575</v>
      </c>
      <c r="P116" s="237">
        <f>SUM(budget_Brazil:budget_Egypt!P116)</f>
        <v>11573</v>
      </c>
      <c r="Q116" s="237">
        <f t="shared" si="40"/>
        <v>35074</v>
      </c>
      <c r="R116" s="238">
        <v>10</v>
      </c>
      <c r="S116" s="9">
        <f t="shared" si="41"/>
        <v>8.9354246977183041E-3</v>
      </c>
      <c r="U116" s="1"/>
      <c r="V116" s="1"/>
      <c r="W116" s="1"/>
      <c r="X116" s="1">
        <v>72500</v>
      </c>
      <c r="Y116" s="1"/>
      <c r="Z116" s="1"/>
      <c r="AA116" s="1"/>
      <c r="AB116" s="1"/>
      <c r="AC116" s="1"/>
      <c r="AD116" s="1"/>
      <c r="AE116" s="1"/>
      <c r="AF116" s="1"/>
      <c r="AG116" s="1"/>
      <c r="AH116" s="1"/>
      <c r="AI116" s="1"/>
      <c r="AJ116" s="1"/>
      <c r="AK116" s="1"/>
      <c r="AL116" s="1"/>
      <c r="AM116" s="1"/>
    </row>
    <row r="117" spans="1:39" s="2" customFormat="1" ht="21.95" customHeight="1" thickBot="1" x14ac:dyDescent="0.25">
      <c r="A117" s="266"/>
      <c r="B117" s="266"/>
      <c r="C117" s="266"/>
      <c r="D117" s="266"/>
      <c r="E117" s="266"/>
      <c r="F117" s="235">
        <v>10180</v>
      </c>
      <c r="G117" s="235" t="s">
        <v>126</v>
      </c>
      <c r="H117" s="235" t="s">
        <v>127</v>
      </c>
      <c r="I117" s="235" t="s">
        <v>79</v>
      </c>
      <c r="J117" s="236" t="s">
        <v>58</v>
      </c>
      <c r="K117" s="235">
        <v>72800</v>
      </c>
      <c r="L117" s="235" t="s">
        <v>70</v>
      </c>
      <c r="M117" s="237">
        <f>SUM(budget_Brazil:budget_Egypt!M117)</f>
        <v>0</v>
      </c>
      <c r="N117" s="237">
        <f>SUM(budget_Brazil:budget_Egypt!N117)</f>
        <v>8367</v>
      </c>
      <c r="O117" s="237">
        <f>SUM(budget_Brazil:budget_Egypt!O117)</f>
        <v>8120</v>
      </c>
      <c r="P117" s="237">
        <f>SUM(budget_Brazil:budget_Egypt!P117)</f>
        <v>8122</v>
      </c>
      <c r="Q117" s="237">
        <f t="shared" si="40"/>
        <v>24609</v>
      </c>
      <c r="R117" s="238">
        <v>16</v>
      </c>
      <c r="S117" s="9">
        <f t="shared" si="41"/>
        <v>6.2690135248252591E-3</v>
      </c>
      <c r="U117" s="1"/>
      <c r="V117" s="1"/>
      <c r="W117" s="1"/>
      <c r="X117" s="1">
        <v>72800</v>
      </c>
      <c r="Y117" s="1"/>
      <c r="Z117" s="1"/>
      <c r="AA117" s="1"/>
      <c r="AB117" s="1"/>
      <c r="AC117" s="1"/>
      <c r="AD117" s="1"/>
      <c r="AE117" s="1"/>
      <c r="AF117" s="1"/>
      <c r="AG117" s="1"/>
      <c r="AH117" s="1"/>
      <c r="AI117" s="1"/>
      <c r="AJ117" s="1"/>
      <c r="AK117" s="1"/>
      <c r="AL117" s="1"/>
      <c r="AM117" s="1"/>
    </row>
    <row r="118" spans="1:39" s="2" customFormat="1" ht="21.95" customHeight="1" thickBot="1" x14ac:dyDescent="0.25">
      <c r="A118" s="266"/>
      <c r="B118" s="266"/>
      <c r="C118" s="266"/>
      <c r="D118" s="266"/>
      <c r="E118" s="266"/>
      <c r="F118" s="235">
        <v>10180</v>
      </c>
      <c r="G118" s="235" t="s">
        <v>126</v>
      </c>
      <c r="H118" s="235" t="s">
        <v>127</v>
      </c>
      <c r="I118" s="235" t="s">
        <v>79</v>
      </c>
      <c r="J118" s="236" t="s">
        <v>71</v>
      </c>
      <c r="K118" s="235">
        <v>73100</v>
      </c>
      <c r="L118" s="235" t="s">
        <v>72</v>
      </c>
      <c r="M118" s="237">
        <f>SUM(budget_Brazil:budget_Egypt!M118)</f>
        <v>0</v>
      </c>
      <c r="N118" s="237">
        <f>SUM(budget_Brazil:budget_Egypt!N118)</f>
        <v>107726</v>
      </c>
      <c r="O118" s="237">
        <f>SUM(budget_Brazil:budget_Egypt!O118)</f>
        <v>104558</v>
      </c>
      <c r="P118" s="237">
        <f>SUM(budget_Brazil:budget_Egypt!P118)</f>
        <v>104557</v>
      </c>
      <c r="Q118" s="237">
        <f t="shared" si="40"/>
        <v>316841</v>
      </c>
      <c r="R118" s="238">
        <v>8</v>
      </c>
      <c r="S118" s="9">
        <f t="shared" si="41"/>
        <v>8.0719428593636094E-2</v>
      </c>
      <c r="U118" s="1"/>
      <c r="V118" s="1"/>
      <c r="W118" s="1"/>
      <c r="X118" s="1">
        <v>73100</v>
      </c>
      <c r="Y118" s="1"/>
      <c r="Z118" s="1"/>
      <c r="AA118" s="1"/>
      <c r="AB118" s="1"/>
      <c r="AC118" s="1"/>
      <c r="AD118" s="1"/>
      <c r="AE118" s="1"/>
      <c r="AF118" s="1"/>
      <c r="AG118" s="1"/>
      <c r="AH118" s="1"/>
      <c r="AI118" s="1"/>
      <c r="AJ118" s="1"/>
      <c r="AK118" s="1"/>
      <c r="AL118" s="1"/>
      <c r="AM118" s="1"/>
    </row>
    <row r="119" spans="1:39" s="2" customFormat="1" ht="21.95" customHeight="1" thickBot="1" x14ac:dyDescent="0.25">
      <c r="A119" s="266"/>
      <c r="B119" s="266"/>
      <c r="C119" s="266"/>
      <c r="D119" s="266"/>
      <c r="E119" s="266"/>
      <c r="F119" s="235">
        <v>10180</v>
      </c>
      <c r="G119" s="235" t="s">
        <v>126</v>
      </c>
      <c r="H119" s="235" t="s">
        <v>127</v>
      </c>
      <c r="I119" s="235" t="s">
        <v>79</v>
      </c>
      <c r="J119" s="236" t="s">
        <v>58</v>
      </c>
      <c r="K119" s="235">
        <v>73400</v>
      </c>
      <c r="L119" s="235" t="s">
        <v>73</v>
      </c>
      <c r="M119" s="237">
        <f>SUM(budget_Brazil:budget_Egypt!M119)</f>
        <v>0</v>
      </c>
      <c r="N119" s="237">
        <f>SUM(budget_Brazil:budget_Egypt!N119)</f>
        <v>6333</v>
      </c>
      <c r="O119" s="237">
        <f>SUM(budget_Brazil:budget_Egypt!O119)</f>
        <v>6146</v>
      </c>
      <c r="P119" s="237">
        <f>SUM(budget_Brazil:budget_Egypt!P119)</f>
        <v>6148</v>
      </c>
      <c r="Q119" s="237">
        <f t="shared" si="40"/>
        <v>18627</v>
      </c>
      <c r="R119" s="238">
        <v>17</v>
      </c>
      <c r="S119" s="9">
        <f t="shared" si="41"/>
        <v>4.7455922829596269E-3</v>
      </c>
      <c r="U119" s="1"/>
      <c r="V119" s="1"/>
      <c r="W119" s="1"/>
      <c r="X119" s="1">
        <v>73400</v>
      </c>
      <c r="Y119" s="1"/>
      <c r="Z119" s="1"/>
      <c r="AA119" s="1"/>
      <c r="AB119" s="1"/>
      <c r="AC119" s="1"/>
      <c r="AD119" s="1"/>
      <c r="AE119" s="1"/>
      <c r="AF119" s="1"/>
      <c r="AG119" s="1"/>
      <c r="AH119" s="1"/>
      <c r="AI119" s="1"/>
      <c r="AJ119" s="1"/>
      <c r="AK119" s="1"/>
      <c r="AL119" s="1"/>
      <c r="AM119" s="1"/>
    </row>
    <row r="120" spans="1:39" s="2" customFormat="1" ht="21.95" customHeight="1" thickBot="1" x14ac:dyDescent="0.25">
      <c r="A120" s="266"/>
      <c r="B120" s="266"/>
      <c r="C120" s="266"/>
      <c r="D120" s="266"/>
      <c r="E120" s="266"/>
      <c r="F120" s="235">
        <v>10180</v>
      </c>
      <c r="G120" s="235" t="s">
        <v>126</v>
      </c>
      <c r="H120" s="235" t="s">
        <v>127</v>
      </c>
      <c r="I120" s="235" t="s">
        <v>79</v>
      </c>
      <c r="J120" s="236" t="s">
        <v>74</v>
      </c>
      <c r="K120" s="235">
        <v>74100</v>
      </c>
      <c r="L120" s="235" t="s">
        <v>75</v>
      </c>
      <c r="M120" s="237">
        <f>SUM(budget_Brazil:budget_Egypt!M120)</f>
        <v>0</v>
      </c>
      <c r="N120" s="237">
        <f>SUM(budget_Brazil:budget_Egypt!N120)</f>
        <v>17078</v>
      </c>
      <c r="O120" s="237">
        <f>SUM(budget_Brazil:budget_Egypt!O120)</f>
        <v>16576</v>
      </c>
      <c r="P120" s="237">
        <f>SUM(budget_Brazil:budget_Egypt!P120)</f>
        <v>16580</v>
      </c>
      <c r="Q120" s="237">
        <f t="shared" si="40"/>
        <v>50234</v>
      </c>
      <c r="R120" s="238">
        <v>9</v>
      </c>
      <c r="S120" s="9">
        <f t="shared" si="41"/>
        <v>1.2797552510957431E-2</v>
      </c>
      <c r="U120" s="1"/>
      <c r="V120" s="1"/>
      <c r="W120" s="1"/>
      <c r="X120" s="1">
        <v>74100</v>
      </c>
      <c r="Y120" s="1"/>
      <c r="Z120" s="1"/>
      <c r="AA120" s="1"/>
      <c r="AB120" s="1"/>
      <c r="AC120" s="1"/>
      <c r="AD120" s="1"/>
      <c r="AE120" s="1"/>
      <c r="AF120" s="1"/>
      <c r="AG120" s="1"/>
      <c r="AH120" s="1"/>
      <c r="AI120" s="1"/>
      <c r="AJ120" s="1"/>
      <c r="AK120" s="1"/>
      <c r="AL120" s="1"/>
      <c r="AM120" s="1"/>
    </row>
    <row r="121" spans="1:39" s="2" customFormat="1" ht="21.95" customHeight="1" thickBot="1" x14ac:dyDescent="0.25">
      <c r="A121" s="266"/>
      <c r="B121" s="266"/>
      <c r="C121" s="266"/>
      <c r="D121" s="266"/>
      <c r="E121" s="266"/>
      <c r="F121" s="235">
        <v>10180</v>
      </c>
      <c r="G121" s="235" t="s">
        <v>126</v>
      </c>
      <c r="H121" s="235" t="s">
        <v>127</v>
      </c>
      <c r="I121" s="235" t="s">
        <v>79</v>
      </c>
      <c r="J121" s="236" t="s">
        <v>58</v>
      </c>
      <c r="K121" s="235">
        <v>74200</v>
      </c>
      <c r="L121" s="235" t="s">
        <v>76</v>
      </c>
      <c r="M121" s="237">
        <f>SUM(budget_Brazil:budget_Egypt!M121)</f>
        <v>0</v>
      </c>
      <c r="N121" s="237">
        <f>SUM(budget_Brazil:budget_Egypt!N121)</f>
        <v>5945</v>
      </c>
      <c r="O121" s="237">
        <f>SUM(budget_Brazil:budget_Egypt!O121)</f>
        <v>5768</v>
      </c>
      <c r="P121" s="237">
        <f>SUM(budget_Brazil:budget_Egypt!P121)</f>
        <v>5767</v>
      </c>
      <c r="Q121" s="237">
        <f t="shared" si="40"/>
        <v>17480</v>
      </c>
      <c r="R121" s="238">
        <v>18</v>
      </c>
      <c r="S121" s="9">
        <f t="shared" si="41"/>
        <v>4.4532398282170005E-3</v>
      </c>
      <c r="U121" s="1"/>
      <c r="V121" s="1"/>
      <c r="W121" s="1"/>
      <c r="X121" s="1">
        <v>74200</v>
      </c>
      <c r="Y121" s="1"/>
      <c r="Z121" s="1"/>
      <c r="AA121" s="1"/>
      <c r="AB121" s="1"/>
      <c r="AC121" s="1"/>
      <c r="AD121" s="1"/>
      <c r="AE121" s="1"/>
      <c r="AF121" s="1"/>
      <c r="AG121" s="1"/>
      <c r="AH121" s="1"/>
      <c r="AI121" s="1"/>
      <c r="AJ121" s="1"/>
      <c r="AK121" s="1"/>
      <c r="AL121" s="1"/>
      <c r="AM121" s="1"/>
    </row>
    <row r="122" spans="1:39" s="2" customFormat="1" ht="21.95" customHeight="1" thickBot="1" x14ac:dyDescent="0.25">
      <c r="A122" s="266"/>
      <c r="B122" s="266"/>
      <c r="C122" s="266"/>
      <c r="D122" s="266"/>
      <c r="E122" s="266"/>
      <c r="F122" s="235">
        <v>10180</v>
      </c>
      <c r="G122" s="235" t="s">
        <v>126</v>
      </c>
      <c r="H122" s="235" t="s">
        <v>127</v>
      </c>
      <c r="I122" s="235" t="s">
        <v>79</v>
      </c>
      <c r="J122" s="236" t="s">
        <v>23</v>
      </c>
      <c r="K122" s="235">
        <v>74500</v>
      </c>
      <c r="L122" s="235" t="s">
        <v>49</v>
      </c>
      <c r="M122" s="237">
        <f>SUM(budget_Brazil:budget_Egypt!M122)</f>
        <v>0</v>
      </c>
      <c r="N122" s="237">
        <f>SUM(budget_Brazil:budget_Egypt!N122)</f>
        <v>7444</v>
      </c>
      <c r="O122" s="237">
        <f>SUM(budget_Brazil:budget_Egypt!O122)</f>
        <v>7225</v>
      </c>
      <c r="P122" s="237">
        <f>SUM(budget_Brazil:budget_Egypt!P122)</f>
        <v>7225</v>
      </c>
      <c r="Q122" s="237">
        <f t="shared" si="40"/>
        <v>21894</v>
      </c>
      <c r="R122" s="238">
        <v>11</v>
      </c>
      <c r="S122" s="9">
        <f t="shared" si="41"/>
        <v>5.5771968870457498E-3</v>
      </c>
      <c r="U122" s="1"/>
      <c r="V122" s="1"/>
      <c r="W122" s="1"/>
      <c r="X122" s="1">
        <v>74500</v>
      </c>
      <c r="Y122" s="1"/>
      <c r="Z122" s="1"/>
      <c r="AA122" s="1"/>
      <c r="AB122" s="1"/>
      <c r="AC122" s="1"/>
      <c r="AD122" s="1"/>
      <c r="AE122" s="1"/>
      <c r="AF122" s="1"/>
      <c r="AG122" s="1"/>
      <c r="AH122" s="1"/>
      <c r="AI122" s="1"/>
      <c r="AJ122" s="1"/>
      <c r="AK122" s="1"/>
      <c r="AL122" s="1"/>
      <c r="AM122" s="1"/>
    </row>
    <row r="123" spans="1:39" s="2" customFormat="1" ht="21.95" customHeight="1" thickBot="1" x14ac:dyDescent="0.25">
      <c r="A123" s="266"/>
      <c r="B123" s="266"/>
      <c r="C123" s="266"/>
      <c r="D123" s="266"/>
      <c r="E123" s="266"/>
      <c r="F123" s="235">
        <v>10180</v>
      </c>
      <c r="G123" s="235" t="s">
        <v>126</v>
      </c>
      <c r="H123" s="235" t="s">
        <v>127</v>
      </c>
      <c r="I123" s="235" t="s">
        <v>79</v>
      </c>
      <c r="J123" s="236" t="s">
        <v>23</v>
      </c>
      <c r="K123" s="235">
        <v>74700</v>
      </c>
      <c r="L123" s="235" t="s">
        <v>77</v>
      </c>
      <c r="M123" s="237">
        <f>SUM(budget_Brazil:budget_Egypt!M123)</f>
        <v>0</v>
      </c>
      <c r="N123" s="237">
        <f>SUM(budget_Brazil:budget_Egypt!N123)</f>
        <v>0</v>
      </c>
      <c r="O123" s="237">
        <f>SUM(budget_Brazil:budget_Egypt!O123)</f>
        <v>0</v>
      </c>
      <c r="P123" s="237">
        <f>SUM(budget_Brazil:budget_Egypt!P123)</f>
        <v>0</v>
      </c>
      <c r="Q123" s="237">
        <f t="shared" si="40"/>
        <v>0</v>
      </c>
      <c r="R123" s="238">
        <v>19</v>
      </c>
      <c r="S123" s="9">
        <f t="shared" si="41"/>
        <v>0</v>
      </c>
      <c r="U123" s="1"/>
      <c r="V123" s="1"/>
      <c r="W123" s="1"/>
      <c r="X123" s="1">
        <v>74700</v>
      </c>
      <c r="Y123" s="1"/>
      <c r="Z123" s="1"/>
      <c r="AA123" s="1"/>
      <c r="AB123" s="1"/>
      <c r="AC123" s="1"/>
      <c r="AD123" s="1"/>
      <c r="AE123" s="1"/>
      <c r="AF123" s="1"/>
      <c r="AG123" s="1"/>
      <c r="AH123" s="1"/>
      <c r="AI123" s="1"/>
      <c r="AJ123" s="1"/>
      <c r="AK123" s="1"/>
      <c r="AL123" s="1"/>
      <c r="AM123" s="1"/>
    </row>
    <row r="124" spans="1:39" s="2" customFormat="1" ht="21.95" customHeight="1" thickBot="1" x14ac:dyDescent="0.25">
      <c r="A124" s="266"/>
      <c r="B124" s="266"/>
      <c r="C124" s="266"/>
      <c r="D124" s="266"/>
      <c r="E124" s="266"/>
      <c r="F124" s="235">
        <v>10180</v>
      </c>
      <c r="G124" s="235" t="s">
        <v>126</v>
      </c>
      <c r="H124" s="235" t="s">
        <v>127</v>
      </c>
      <c r="I124" s="235" t="s">
        <v>79</v>
      </c>
      <c r="J124" s="236" t="s">
        <v>28</v>
      </c>
      <c r="K124" s="235">
        <v>61200</v>
      </c>
      <c r="L124" s="235" t="s">
        <v>29</v>
      </c>
      <c r="M124" s="237">
        <f>SUM(budget_Brazil:budget_Egypt!M124)</f>
        <v>0</v>
      </c>
      <c r="N124" s="237">
        <f>SUM(budget_Brazil:budget_Egypt!N124)</f>
        <v>0</v>
      </c>
      <c r="O124" s="237">
        <f>SUM(budget_Brazil:budget_Egypt!O124)</f>
        <v>0</v>
      </c>
      <c r="P124" s="237">
        <f>SUM(budget_Brazil:budget_Egypt!P124)</f>
        <v>0</v>
      </c>
      <c r="Q124" s="237">
        <f t="shared" si="40"/>
        <v>0</v>
      </c>
      <c r="R124" s="238">
        <v>4</v>
      </c>
      <c r="S124" s="9">
        <f t="shared" si="41"/>
        <v>0</v>
      </c>
      <c r="U124" s="1"/>
      <c r="V124" s="1"/>
      <c r="W124" s="1"/>
      <c r="X124" s="1">
        <v>61200</v>
      </c>
      <c r="Y124" s="1"/>
      <c r="Z124" s="1"/>
      <c r="AA124" s="1"/>
      <c r="AB124" s="1"/>
      <c r="AC124" s="1"/>
      <c r="AD124" s="1"/>
      <c r="AE124" s="1"/>
      <c r="AF124" s="1"/>
      <c r="AG124" s="1"/>
      <c r="AH124" s="1"/>
      <c r="AI124" s="1"/>
      <c r="AJ124" s="1"/>
      <c r="AK124" s="1"/>
      <c r="AL124" s="1"/>
      <c r="AM124" s="1"/>
    </row>
    <row r="125" spans="1:39" s="2" customFormat="1" ht="21.95" customHeight="1" thickBot="1" x14ac:dyDescent="0.25">
      <c r="A125" s="266"/>
      <c r="B125" s="266"/>
      <c r="C125" s="267"/>
      <c r="D125" s="267"/>
      <c r="E125" s="267"/>
      <c r="F125" s="235">
        <v>10180</v>
      </c>
      <c r="G125" s="235" t="s">
        <v>126</v>
      </c>
      <c r="H125" s="235" t="s">
        <v>127</v>
      </c>
      <c r="I125" s="235" t="s">
        <v>79</v>
      </c>
      <c r="J125" s="236" t="s">
        <v>28</v>
      </c>
      <c r="K125" s="235">
        <v>61300</v>
      </c>
      <c r="L125" s="235" t="s">
        <v>30</v>
      </c>
      <c r="M125" s="237">
        <f>SUM(budget_Brazil:budget_Egypt!M125)</f>
        <v>0</v>
      </c>
      <c r="N125" s="237">
        <f>SUM(budget_Brazil:budget_Egypt!N125)</f>
        <v>0</v>
      </c>
      <c r="O125" s="237">
        <f>SUM(budget_Brazil:budget_Egypt!O125)</f>
        <v>0</v>
      </c>
      <c r="P125" s="237">
        <f>SUM(budget_Brazil:budget_Egypt!P125)</f>
        <v>0</v>
      </c>
      <c r="Q125" s="237">
        <f t="shared" si="40"/>
        <v>0</v>
      </c>
      <c r="R125" s="238">
        <v>4</v>
      </c>
      <c r="S125" s="9">
        <f t="shared" si="41"/>
        <v>0</v>
      </c>
      <c r="U125" s="1"/>
      <c r="V125" s="1"/>
      <c r="W125" s="1"/>
      <c r="X125" s="1">
        <v>61300</v>
      </c>
      <c r="Y125" s="1"/>
      <c r="Z125" s="1"/>
      <c r="AA125" s="1"/>
      <c r="AB125" s="1"/>
      <c r="AC125" s="1"/>
      <c r="AD125" s="1"/>
      <c r="AE125" s="1"/>
      <c r="AF125" s="1"/>
      <c r="AG125" s="1"/>
      <c r="AH125" s="1"/>
      <c r="AI125" s="1"/>
      <c r="AJ125" s="1"/>
      <c r="AK125" s="1"/>
      <c r="AL125" s="1"/>
      <c r="AM125" s="1"/>
    </row>
    <row r="126" spans="1:39" s="2" customFormat="1" ht="21.95" customHeight="1" thickBot="1" x14ac:dyDescent="0.25">
      <c r="A126" s="266"/>
      <c r="B126" s="266"/>
      <c r="C126" s="270" t="s">
        <v>31</v>
      </c>
      <c r="D126" s="270"/>
      <c r="E126" s="270"/>
      <c r="F126" s="270"/>
      <c r="G126" s="270"/>
      <c r="H126" s="270"/>
      <c r="I126" s="270"/>
      <c r="J126" s="270"/>
      <c r="K126" s="270"/>
      <c r="L126" s="270"/>
      <c r="M126" s="237">
        <f>SUM(M111:M125)</f>
        <v>0</v>
      </c>
      <c r="N126" s="237">
        <f t="shared" ref="N126:Q126" si="42">SUM(N111:N125)</f>
        <v>422900</v>
      </c>
      <c r="O126" s="237">
        <f t="shared" si="42"/>
        <v>410460</v>
      </c>
      <c r="P126" s="237">
        <f t="shared" si="42"/>
        <v>410462</v>
      </c>
      <c r="Q126" s="237">
        <f t="shared" si="42"/>
        <v>1243822</v>
      </c>
      <c r="R126" s="238"/>
      <c r="S126" s="9"/>
      <c r="U126" s="1"/>
      <c r="V126" s="1"/>
      <c r="W126" s="1"/>
      <c r="X126" s="1"/>
      <c r="Y126" s="1"/>
      <c r="Z126" s="1"/>
      <c r="AA126" s="1"/>
      <c r="AB126" s="1"/>
      <c r="AC126" s="1"/>
      <c r="AD126" s="1"/>
      <c r="AE126" s="1"/>
      <c r="AF126" s="1"/>
      <c r="AG126" s="1"/>
      <c r="AH126" s="1"/>
      <c r="AI126" s="1"/>
      <c r="AJ126" s="1"/>
      <c r="AK126" s="1"/>
      <c r="AL126" s="1"/>
      <c r="AM126" s="1"/>
    </row>
    <row r="127" spans="1:39" ht="21.95" customHeight="1" thickBot="1" x14ac:dyDescent="0.25">
      <c r="A127" s="267"/>
      <c r="B127" s="270" t="s">
        <v>80</v>
      </c>
      <c r="C127" s="270"/>
      <c r="D127" s="270"/>
      <c r="E127" s="270"/>
      <c r="F127" s="270"/>
      <c r="G127" s="270"/>
      <c r="H127" s="270"/>
      <c r="I127" s="270"/>
      <c r="J127" s="270"/>
      <c r="K127" s="270"/>
      <c r="L127" s="270"/>
      <c r="M127" s="237">
        <f>M126</f>
        <v>0</v>
      </c>
      <c r="N127" s="237">
        <f t="shared" ref="N127:Q127" si="43">N126</f>
        <v>422900</v>
      </c>
      <c r="O127" s="237">
        <f t="shared" si="43"/>
        <v>410460</v>
      </c>
      <c r="P127" s="237">
        <f t="shared" si="43"/>
        <v>410462</v>
      </c>
      <c r="Q127" s="237">
        <f t="shared" si="43"/>
        <v>1243822</v>
      </c>
      <c r="R127" s="238"/>
      <c r="T127" s="10"/>
      <c r="AC127" s="11"/>
      <c r="AF127" s="12"/>
      <c r="AG127" s="13"/>
    </row>
    <row r="128" spans="1:39" ht="21.95" customHeight="1" thickBot="1" x14ac:dyDescent="0.25">
      <c r="A128" s="271" t="s">
        <v>81</v>
      </c>
      <c r="B128" s="272"/>
      <c r="C128" s="272"/>
      <c r="D128" s="272"/>
      <c r="E128" s="272"/>
      <c r="F128" s="272"/>
      <c r="G128" s="272"/>
      <c r="H128" s="272"/>
      <c r="I128" s="272"/>
      <c r="J128" s="272"/>
      <c r="K128" s="272"/>
      <c r="L128" s="273"/>
      <c r="M128" s="237">
        <f t="shared" ref="M128:Q128" si="44">M110+M127</f>
        <v>0</v>
      </c>
      <c r="N128" s="237">
        <f t="shared" si="44"/>
        <v>440714</v>
      </c>
      <c r="O128" s="237">
        <f t="shared" si="44"/>
        <v>427752</v>
      </c>
      <c r="P128" s="237">
        <f t="shared" si="44"/>
        <v>427748</v>
      </c>
      <c r="Q128" s="237">
        <f t="shared" si="44"/>
        <v>1296214</v>
      </c>
      <c r="R128" s="238"/>
      <c r="U128" s="14"/>
      <c r="AC128" s="15"/>
      <c r="AM128" s="16"/>
    </row>
    <row r="129" spans="1:39" ht="21.95" customHeight="1" thickBot="1" x14ac:dyDescent="0.25">
      <c r="A129" s="271" t="s">
        <v>82</v>
      </c>
      <c r="B129" s="272"/>
      <c r="C129" s="272"/>
      <c r="D129" s="272"/>
      <c r="E129" s="272"/>
      <c r="F129" s="272"/>
      <c r="G129" s="272"/>
      <c r="H129" s="272"/>
      <c r="I129" s="272"/>
      <c r="J129" s="272"/>
      <c r="K129" s="272"/>
      <c r="L129" s="273"/>
      <c r="M129" s="237">
        <f t="shared" ref="M129:P129" si="45">M24+M47+M70+M93+M128</f>
        <v>0</v>
      </c>
      <c r="N129" s="237">
        <f t="shared" si="45"/>
        <v>6103442</v>
      </c>
      <c r="O129" s="237">
        <f t="shared" si="45"/>
        <v>6067017</v>
      </c>
      <c r="P129" s="237">
        <f t="shared" si="45"/>
        <v>3634607.7199999997</v>
      </c>
      <c r="Q129" s="242">
        <f>SUM(M129:P129)</f>
        <v>15805066.719999999</v>
      </c>
      <c r="R129" s="243"/>
      <c r="S129" s="14"/>
      <c r="T129" s="18"/>
      <c r="U129" s="19"/>
    </row>
    <row r="131" spans="1:39" ht="12.6" hidden="1" customHeight="1" x14ac:dyDescent="0.2"/>
    <row r="132" spans="1:39" ht="12.6" hidden="1" customHeight="1" x14ac:dyDescent="0.2">
      <c r="A132" s="1" t="s">
        <v>7</v>
      </c>
      <c r="B132" s="1" t="s">
        <v>110</v>
      </c>
    </row>
    <row r="133" spans="1:39" ht="12.6" hidden="1" customHeight="1" x14ac:dyDescent="0.2">
      <c r="J133" s="1" t="s">
        <v>23</v>
      </c>
    </row>
    <row r="134" spans="1:39" ht="12.6" hidden="1" customHeight="1" x14ac:dyDescent="0.2">
      <c r="A134" s="22" t="s">
        <v>111</v>
      </c>
      <c r="B134" s="22" t="s">
        <v>112</v>
      </c>
      <c r="C134" s="23"/>
      <c r="E134" s="24" t="s">
        <v>113</v>
      </c>
      <c r="F134" s="24"/>
      <c r="G134" s="24"/>
      <c r="H134" s="24"/>
      <c r="I134" s="24"/>
      <c r="J134" s="24">
        <v>2</v>
      </c>
    </row>
    <row r="135" spans="1:39" ht="12.6" hidden="1" customHeight="1" x14ac:dyDescent="0.2">
      <c r="A135" s="22" t="s">
        <v>49</v>
      </c>
      <c r="B135" s="22">
        <v>814869</v>
      </c>
      <c r="C135" s="23"/>
      <c r="E135" s="24" t="s">
        <v>114</v>
      </c>
      <c r="F135" s="24"/>
      <c r="G135" s="24"/>
      <c r="H135" s="24"/>
      <c r="I135" s="24"/>
      <c r="J135" s="24">
        <v>-5</v>
      </c>
    </row>
    <row r="136" spans="1:39" ht="12.6" hidden="1" customHeight="1" x14ac:dyDescent="0.2">
      <c r="A136" s="22" t="s">
        <v>77</v>
      </c>
      <c r="B136" s="22">
        <v>47589</v>
      </c>
      <c r="C136" s="23"/>
      <c r="E136" s="24" t="s">
        <v>115</v>
      </c>
      <c r="F136" s="24"/>
      <c r="G136" s="24"/>
      <c r="H136" s="24"/>
      <c r="I136" s="24"/>
      <c r="J136" s="24">
        <v>-3</v>
      </c>
    </row>
    <row r="137" spans="1:39" ht="12.6" hidden="1" customHeight="1" x14ac:dyDescent="0.2">
      <c r="A137" s="22" t="s">
        <v>23</v>
      </c>
      <c r="B137" s="22">
        <v>2731487.162</v>
      </c>
      <c r="C137" s="23"/>
      <c r="E137" s="24" t="s">
        <v>116</v>
      </c>
      <c r="F137" s="24"/>
      <c r="G137" s="24"/>
      <c r="H137" s="24"/>
      <c r="I137" s="24"/>
      <c r="J137" s="24">
        <v>0</v>
      </c>
    </row>
    <row r="138" spans="1:39" ht="12.6" hidden="1" customHeight="1" x14ac:dyDescent="0.2">
      <c r="A138" s="22" t="s">
        <v>117</v>
      </c>
      <c r="B138" s="22">
        <v>3593945.162</v>
      </c>
      <c r="C138" s="23"/>
      <c r="E138" s="24" t="s">
        <v>118</v>
      </c>
      <c r="F138" s="24"/>
      <c r="G138" s="24"/>
      <c r="H138" s="24"/>
      <c r="I138" s="24"/>
      <c r="J138" s="24">
        <v>-3</v>
      </c>
    </row>
    <row r="139" spans="1:39" ht="12.95" hidden="1" customHeight="1" x14ac:dyDescent="0.2">
      <c r="A139" s="23"/>
      <c r="B139" s="23"/>
      <c r="C139" s="23"/>
      <c r="E139" s="24" t="s">
        <v>119</v>
      </c>
      <c r="F139" s="24"/>
      <c r="G139" s="24"/>
      <c r="H139" s="24"/>
      <c r="I139" s="24"/>
      <c r="J139" s="24">
        <v>-9</v>
      </c>
    </row>
    <row r="140" spans="1:39" s="2" customFormat="1" x14ac:dyDescent="0.2">
      <c r="A140" s="23"/>
      <c r="B140" s="23"/>
      <c r="C140" s="23"/>
      <c r="D140" s="1"/>
      <c r="E140" s="1"/>
      <c r="F140" s="1"/>
      <c r="G140" s="1"/>
      <c r="H140" s="1"/>
      <c r="I140" s="1"/>
      <c r="J140" s="1"/>
      <c r="K140" s="1"/>
      <c r="L140" s="1"/>
      <c r="M140" s="1"/>
      <c r="N140" s="1"/>
      <c r="O140" s="1"/>
      <c r="P140" s="1"/>
      <c r="Q140" s="15"/>
      <c r="R140" s="15"/>
      <c r="S140" s="25"/>
      <c r="U140" s="1"/>
      <c r="V140" s="1"/>
      <c r="W140" s="1"/>
      <c r="X140" s="1"/>
      <c r="Y140" s="1"/>
      <c r="Z140" s="1"/>
      <c r="AA140" s="1"/>
      <c r="AB140" s="1"/>
      <c r="AC140" s="1"/>
      <c r="AD140" s="1"/>
      <c r="AE140" s="1"/>
      <c r="AF140" s="1"/>
      <c r="AG140" s="1"/>
      <c r="AH140" s="1"/>
      <c r="AI140" s="1"/>
      <c r="AJ140" s="1"/>
      <c r="AK140" s="1"/>
      <c r="AL140" s="1"/>
      <c r="AM140" s="1"/>
    </row>
    <row r="141" spans="1:39" s="2" customFormat="1" x14ac:dyDescent="0.2">
      <c r="A141" s="26" t="s">
        <v>83</v>
      </c>
      <c r="B141" s="1"/>
      <c r="C141" s="1"/>
      <c r="D141" s="1"/>
      <c r="E141" s="1"/>
      <c r="F141" s="1"/>
      <c r="G141" s="1"/>
      <c r="H141" s="1"/>
      <c r="I141" s="1"/>
      <c r="J141" s="1"/>
      <c r="K141" s="1"/>
      <c r="L141" s="1"/>
      <c r="M141" s="1"/>
      <c r="N141" s="1"/>
      <c r="O141" s="1"/>
      <c r="P141" s="1"/>
      <c r="Q141" s="15"/>
      <c r="R141" s="15"/>
      <c r="S141" s="1"/>
      <c r="U141" s="1"/>
      <c r="V141" s="1"/>
      <c r="W141" s="1"/>
      <c r="X141" s="1"/>
      <c r="Y141" s="1"/>
      <c r="Z141" s="1"/>
      <c r="AA141" s="1"/>
      <c r="AB141" s="1"/>
      <c r="AC141" s="1"/>
      <c r="AD141" s="1"/>
      <c r="AE141" s="1"/>
      <c r="AF141" s="1"/>
      <c r="AG141" s="1"/>
      <c r="AH141" s="1"/>
      <c r="AI141" s="1"/>
      <c r="AJ141" s="1"/>
      <c r="AK141" s="1"/>
      <c r="AL141" s="1"/>
      <c r="AM141" s="1"/>
    </row>
    <row r="142" spans="1:39" s="2" customFormat="1" x14ac:dyDescent="0.2">
      <c r="A142" s="26" t="s">
        <v>85</v>
      </c>
      <c r="B142" s="1"/>
      <c r="C142" s="1"/>
      <c r="D142" s="1"/>
      <c r="E142" s="1"/>
      <c r="F142" s="1"/>
      <c r="G142" s="1"/>
      <c r="H142" s="1"/>
      <c r="I142" s="1"/>
      <c r="J142" s="1"/>
      <c r="K142" s="1"/>
      <c r="L142" s="1"/>
      <c r="M142" s="1"/>
      <c r="N142" s="1"/>
      <c r="O142" s="1"/>
      <c r="P142" s="1"/>
      <c r="Q142" s="15"/>
      <c r="R142" s="15"/>
      <c r="S142" s="1"/>
      <c r="U142" s="1"/>
      <c r="V142" s="1"/>
      <c r="W142" s="1"/>
      <c r="X142" s="1"/>
      <c r="Y142" s="1"/>
      <c r="Z142" s="1"/>
      <c r="AA142" s="1"/>
      <c r="AB142" s="1"/>
      <c r="AC142" s="1"/>
      <c r="AD142" s="1"/>
      <c r="AE142" s="1"/>
      <c r="AF142" s="1"/>
      <c r="AG142" s="1"/>
      <c r="AH142" s="1"/>
      <c r="AI142" s="1"/>
      <c r="AJ142" s="1"/>
      <c r="AK142" s="1"/>
      <c r="AL142" s="1"/>
      <c r="AM142" s="1"/>
    </row>
    <row r="143" spans="1:39" s="2" customFormat="1" x14ac:dyDescent="0.2">
      <c r="A143" s="27" t="s">
        <v>87</v>
      </c>
      <c r="B143" s="1"/>
      <c r="C143" s="1"/>
      <c r="D143" s="1"/>
      <c r="E143" s="1"/>
      <c r="F143" s="1"/>
      <c r="G143" s="1"/>
      <c r="H143" s="1"/>
      <c r="I143" s="1"/>
      <c r="J143" s="1"/>
      <c r="K143" s="1"/>
      <c r="L143" s="1"/>
      <c r="M143" s="1"/>
      <c r="N143" s="1"/>
      <c r="O143" s="1"/>
      <c r="P143" s="1"/>
      <c r="Q143" s="1"/>
      <c r="R143" s="1"/>
      <c r="S143" s="1"/>
      <c r="U143" s="1"/>
      <c r="V143" s="1"/>
      <c r="W143" s="1"/>
      <c r="X143" s="1"/>
      <c r="Y143" s="1"/>
      <c r="Z143" s="1"/>
      <c r="AA143" s="1"/>
      <c r="AB143" s="1"/>
      <c r="AC143" s="1"/>
      <c r="AD143" s="1"/>
      <c r="AE143" s="1"/>
      <c r="AF143" s="1"/>
      <c r="AG143" s="1"/>
      <c r="AH143" s="1"/>
      <c r="AI143" s="1"/>
      <c r="AJ143" s="1"/>
      <c r="AK143" s="1"/>
      <c r="AL143" s="1"/>
      <c r="AM143" s="1"/>
    </row>
    <row r="144" spans="1:39" s="2" customFormat="1" x14ac:dyDescent="0.2">
      <c r="A144" s="27" t="s">
        <v>88</v>
      </c>
      <c r="B144" s="1"/>
      <c r="C144" s="1"/>
      <c r="D144" s="1"/>
      <c r="E144" s="1"/>
      <c r="F144" s="1"/>
      <c r="G144" s="1"/>
      <c r="H144" s="1"/>
      <c r="I144" s="1"/>
      <c r="J144" s="1"/>
      <c r="K144" s="1"/>
      <c r="L144" s="1"/>
      <c r="M144" s="1"/>
      <c r="N144" s="1"/>
      <c r="O144" s="1"/>
      <c r="P144" s="1"/>
      <c r="Q144" s="1"/>
      <c r="R144" s="1"/>
      <c r="S144" s="1"/>
      <c r="U144" s="1"/>
      <c r="V144" s="1"/>
      <c r="W144" s="1"/>
      <c r="X144" s="1"/>
      <c r="Y144" s="1"/>
      <c r="Z144" s="1"/>
      <c r="AA144" s="1"/>
      <c r="AB144" s="1"/>
      <c r="AC144" s="1"/>
      <c r="AD144" s="1"/>
      <c r="AE144" s="1"/>
      <c r="AF144" s="1"/>
      <c r="AG144" s="1"/>
      <c r="AH144" s="1"/>
      <c r="AI144" s="1"/>
      <c r="AJ144" s="1"/>
      <c r="AK144" s="1"/>
      <c r="AL144" s="1"/>
      <c r="AM144" s="1"/>
    </row>
    <row r="145" spans="1:39" s="2" customFormat="1" x14ac:dyDescent="0.2">
      <c r="A145" s="27" t="s">
        <v>89</v>
      </c>
      <c r="B145" s="1"/>
      <c r="C145" s="1"/>
      <c r="D145" s="1"/>
      <c r="E145" s="1"/>
      <c r="F145" s="1"/>
      <c r="G145" s="1"/>
      <c r="H145" s="1"/>
      <c r="I145" s="1"/>
      <c r="J145" s="1"/>
      <c r="K145" s="1"/>
      <c r="L145" s="1"/>
      <c r="M145" s="1"/>
      <c r="N145" s="1"/>
      <c r="O145" s="1"/>
      <c r="P145" s="1"/>
      <c r="Q145" s="1"/>
      <c r="R145" s="1"/>
      <c r="S145" s="1"/>
      <c r="U145" s="1"/>
      <c r="V145" s="1"/>
      <c r="W145" s="1"/>
      <c r="X145" s="1"/>
      <c r="Y145" s="1"/>
      <c r="Z145" s="1"/>
      <c r="AA145" s="1"/>
      <c r="AB145" s="1"/>
      <c r="AC145" s="1"/>
      <c r="AD145" s="1"/>
      <c r="AE145" s="1"/>
      <c r="AF145" s="1"/>
      <c r="AG145" s="1"/>
      <c r="AH145" s="1"/>
      <c r="AI145" s="1"/>
      <c r="AJ145" s="1"/>
      <c r="AK145" s="1"/>
      <c r="AL145" s="1"/>
      <c r="AM145" s="1"/>
    </row>
    <row r="146" spans="1:39" s="2" customFormat="1" x14ac:dyDescent="0.2">
      <c r="A146" s="27" t="s">
        <v>90</v>
      </c>
      <c r="B146" s="1"/>
      <c r="C146" s="1"/>
      <c r="D146" s="1"/>
      <c r="E146" s="1"/>
      <c r="F146" s="1"/>
      <c r="G146" s="1"/>
      <c r="H146" s="1"/>
      <c r="I146" s="1"/>
      <c r="J146" s="1"/>
      <c r="K146" s="1"/>
      <c r="L146" s="1"/>
      <c r="M146" s="1"/>
      <c r="N146" s="1"/>
      <c r="O146" s="1"/>
      <c r="P146" s="1"/>
      <c r="Q146" s="1"/>
      <c r="R146" s="1"/>
      <c r="S146" s="1"/>
      <c r="U146" s="1"/>
      <c r="V146" s="1"/>
      <c r="W146" s="1"/>
      <c r="X146" s="1"/>
      <c r="Y146" s="1"/>
      <c r="Z146" s="1"/>
      <c r="AA146" s="1"/>
      <c r="AB146" s="1"/>
      <c r="AC146" s="1"/>
      <c r="AD146" s="1"/>
      <c r="AE146" s="1"/>
      <c r="AF146" s="1"/>
      <c r="AG146" s="1"/>
      <c r="AH146" s="1"/>
      <c r="AI146" s="1"/>
      <c r="AJ146" s="1"/>
      <c r="AK146" s="1"/>
      <c r="AL146" s="1"/>
      <c r="AM146" s="1"/>
    </row>
    <row r="147" spans="1:39" s="2" customFormat="1" x14ac:dyDescent="0.2">
      <c r="A147" s="27" t="s">
        <v>91</v>
      </c>
      <c r="B147" s="1"/>
      <c r="C147" s="1"/>
      <c r="D147" s="1"/>
      <c r="E147" s="1"/>
      <c r="F147" s="1"/>
      <c r="G147" s="1"/>
      <c r="H147" s="1"/>
      <c r="I147" s="1"/>
      <c r="J147" s="1"/>
      <c r="K147" s="1"/>
      <c r="L147" s="1"/>
      <c r="M147" s="1"/>
      <c r="N147" s="1"/>
      <c r="O147" s="1"/>
      <c r="P147" s="1"/>
      <c r="Q147" s="1"/>
      <c r="R147" s="1"/>
      <c r="S147" s="1"/>
      <c r="U147" s="1"/>
      <c r="V147" s="1"/>
      <c r="W147" s="1"/>
      <c r="X147" s="1"/>
      <c r="Y147" s="1"/>
      <c r="Z147" s="1"/>
      <c r="AA147" s="1"/>
      <c r="AB147" s="1"/>
      <c r="AC147" s="1"/>
      <c r="AD147" s="1"/>
      <c r="AE147" s="1"/>
      <c r="AF147" s="1"/>
      <c r="AG147" s="1"/>
      <c r="AH147" s="1"/>
      <c r="AI147" s="1"/>
      <c r="AJ147" s="1"/>
      <c r="AK147" s="1"/>
      <c r="AL147" s="1"/>
      <c r="AM147" s="1"/>
    </row>
    <row r="148" spans="1:39" s="2" customFormat="1" x14ac:dyDescent="0.2">
      <c r="A148" s="27" t="s">
        <v>92</v>
      </c>
      <c r="B148" s="1"/>
      <c r="C148" s="1"/>
      <c r="D148" s="1"/>
      <c r="E148" s="1"/>
      <c r="F148" s="1"/>
      <c r="G148" s="1"/>
      <c r="H148" s="1"/>
      <c r="I148" s="1"/>
      <c r="J148" s="1"/>
      <c r="K148" s="1"/>
      <c r="L148" s="1"/>
      <c r="M148" s="1"/>
      <c r="N148" s="1"/>
      <c r="O148" s="1"/>
      <c r="P148" s="1"/>
      <c r="Q148" s="1"/>
      <c r="R148" s="1"/>
      <c r="S148" s="1"/>
      <c r="U148" s="1"/>
      <c r="V148" s="1"/>
      <c r="W148" s="1"/>
      <c r="X148" s="1"/>
      <c r="Y148" s="1"/>
      <c r="Z148" s="1"/>
      <c r="AA148" s="1"/>
      <c r="AB148" s="1"/>
      <c r="AC148" s="1"/>
      <c r="AD148" s="1"/>
      <c r="AE148" s="1"/>
      <c r="AF148" s="1"/>
      <c r="AG148" s="1"/>
      <c r="AH148" s="1"/>
      <c r="AI148" s="1"/>
      <c r="AJ148" s="1"/>
      <c r="AK148" s="1"/>
      <c r="AL148" s="1"/>
      <c r="AM148" s="1"/>
    </row>
    <row r="149" spans="1:39" s="2" customFormat="1" x14ac:dyDescent="0.2">
      <c r="A149" s="27" t="s">
        <v>93</v>
      </c>
      <c r="B149" s="1"/>
      <c r="C149" s="1"/>
      <c r="D149" s="1"/>
      <c r="E149" s="1"/>
      <c r="F149" s="1"/>
      <c r="G149" s="1"/>
      <c r="H149" s="1"/>
      <c r="I149" s="1"/>
      <c r="J149" s="1"/>
      <c r="K149" s="1"/>
      <c r="L149" s="1"/>
      <c r="M149" s="1"/>
      <c r="N149" s="1"/>
      <c r="O149" s="1"/>
      <c r="P149" s="1"/>
      <c r="Q149" s="1"/>
      <c r="R149" s="1"/>
      <c r="S149" s="1"/>
      <c r="U149" s="1"/>
      <c r="V149" s="1"/>
      <c r="W149" s="1"/>
      <c r="X149" s="1"/>
      <c r="Y149" s="1"/>
      <c r="Z149" s="1"/>
      <c r="AA149" s="1"/>
      <c r="AB149" s="1"/>
      <c r="AC149" s="1"/>
      <c r="AD149" s="1"/>
      <c r="AE149" s="1"/>
      <c r="AF149" s="1"/>
      <c r="AG149" s="1"/>
      <c r="AH149" s="1"/>
      <c r="AI149" s="1"/>
      <c r="AJ149" s="1"/>
      <c r="AK149" s="1"/>
      <c r="AL149" s="1"/>
      <c r="AM149" s="1"/>
    </row>
    <row r="150" spans="1:39" s="2" customFormat="1" x14ac:dyDescent="0.2">
      <c r="A150" s="27" t="s">
        <v>94</v>
      </c>
      <c r="B150" s="1"/>
      <c r="C150" s="1"/>
      <c r="D150" s="1"/>
      <c r="E150" s="1"/>
      <c r="F150" s="1"/>
      <c r="G150" s="1"/>
      <c r="H150" s="1"/>
      <c r="I150" s="1"/>
      <c r="J150" s="1"/>
      <c r="K150" s="1"/>
      <c r="L150" s="1"/>
      <c r="M150" s="1"/>
      <c r="N150" s="1"/>
      <c r="O150" s="1"/>
      <c r="P150" s="1"/>
      <c r="Q150" s="1"/>
      <c r="R150" s="1"/>
      <c r="S150" s="1"/>
      <c r="U150" s="1"/>
      <c r="V150" s="1"/>
      <c r="W150" s="1"/>
      <c r="X150" s="1"/>
      <c r="Y150" s="1"/>
      <c r="Z150" s="1"/>
      <c r="AA150" s="1"/>
      <c r="AB150" s="1"/>
      <c r="AC150" s="1"/>
      <c r="AD150" s="1"/>
      <c r="AE150" s="1"/>
      <c r="AF150" s="1"/>
      <c r="AG150" s="1"/>
      <c r="AH150" s="1"/>
      <c r="AI150" s="1"/>
      <c r="AJ150" s="1"/>
      <c r="AK150" s="1"/>
      <c r="AL150" s="1"/>
      <c r="AM150" s="1"/>
    </row>
    <row r="151" spans="1:39" s="2" customFormat="1" x14ac:dyDescent="0.2">
      <c r="A151" s="27" t="s">
        <v>95</v>
      </c>
      <c r="B151" s="1"/>
      <c r="C151" s="1"/>
      <c r="D151" s="1"/>
      <c r="E151" s="1"/>
      <c r="F151" s="1"/>
      <c r="G151" s="1"/>
      <c r="H151" s="1"/>
      <c r="I151" s="1"/>
      <c r="J151" s="1"/>
      <c r="K151" s="1"/>
      <c r="L151" s="1"/>
      <c r="M151" s="1"/>
      <c r="N151" s="1"/>
      <c r="O151" s="1"/>
      <c r="P151" s="1"/>
      <c r="Q151" s="1"/>
      <c r="R151" s="1"/>
      <c r="S151" s="1"/>
      <c r="U151" s="1"/>
      <c r="V151" s="1"/>
      <c r="W151" s="1"/>
      <c r="X151" s="1"/>
      <c r="Y151" s="1"/>
      <c r="Z151" s="1"/>
      <c r="AA151" s="1"/>
      <c r="AB151" s="1"/>
      <c r="AC151" s="1"/>
      <c r="AD151" s="1"/>
      <c r="AE151" s="1"/>
      <c r="AF151" s="1"/>
      <c r="AG151" s="1"/>
      <c r="AH151" s="1"/>
      <c r="AI151" s="1"/>
      <c r="AJ151" s="1"/>
      <c r="AK151" s="1"/>
      <c r="AL151" s="1"/>
      <c r="AM151" s="1"/>
    </row>
    <row r="152" spans="1:39" s="2" customFormat="1" x14ac:dyDescent="0.2">
      <c r="A152" s="27" t="s">
        <v>96</v>
      </c>
      <c r="B152" s="1"/>
      <c r="C152" s="1"/>
      <c r="D152" s="1"/>
      <c r="E152" s="1"/>
      <c r="F152" s="1"/>
      <c r="G152" s="1"/>
      <c r="H152" s="1"/>
      <c r="I152" s="1"/>
      <c r="J152" s="1"/>
      <c r="K152" s="1"/>
      <c r="L152" s="1"/>
      <c r="M152" s="1"/>
      <c r="N152" s="1"/>
      <c r="O152" s="1"/>
      <c r="P152" s="1"/>
      <c r="Q152" s="1"/>
      <c r="R152" s="1"/>
      <c r="S152" s="1"/>
      <c r="U152" s="1"/>
      <c r="V152" s="1"/>
      <c r="W152" s="1"/>
      <c r="X152" s="1"/>
      <c r="Y152" s="1"/>
      <c r="Z152" s="1"/>
      <c r="AA152" s="1"/>
      <c r="AB152" s="1"/>
      <c r="AC152" s="1"/>
      <c r="AD152" s="1"/>
      <c r="AE152" s="1"/>
      <c r="AF152" s="1"/>
      <c r="AG152" s="1"/>
      <c r="AH152" s="1"/>
      <c r="AI152" s="1"/>
      <c r="AJ152" s="1"/>
      <c r="AK152" s="1"/>
      <c r="AL152" s="1"/>
      <c r="AM152" s="1"/>
    </row>
    <row r="153" spans="1:39" s="2" customFormat="1" x14ac:dyDescent="0.2">
      <c r="A153" s="27" t="s">
        <v>97</v>
      </c>
      <c r="B153" s="1"/>
      <c r="C153" s="1"/>
      <c r="D153" s="1"/>
      <c r="E153" s="1"/>
      <c r="F153" s="1"/>
      <c r="G153" s="1"/>
      <c r="H153" s="1"/>
      <c r="I153" s="1"/>
      <c r="J153" s="1"/>
      <c r="K153" s="1"/>
      <c r="L153" s="1"/>
      <c r="M153" s="1"/>
      <c r="N153" s="1"/>
      <c r="O153" s="1"/>
      <c r="P153" s="1"/>
      <c r="Q153" s="1"/>
      <c r="R153" s="1"/>
      <c r="S153" s="1"/>
      <c r="U153" s="1"/>
      <c r="V153" s="1"/>
      <c r="W153" s="1"/>
      <c r="X153" s="1"/>
      <c r="Y153" s="1"/>
      <c r="Z153" s="1"/>
      <c r="AA153" s="1"/>
      <c r="AB153" s="1"/>
      <c r="AC153" s="1"/>
      <c r="AD153" s="1"/>
      <c r="AE153" s="1"/>
      <c r="AF153" s="1"/>
      <c r="AG153" s="1"/>
      <c r="AH153" s="1"/>
      <c r="AI153" s="1"/>
      <c r="AJ153" s="1"/>
      <c r="AK153" s="1"/>
      <c r="AL153" s="1"/>
      <c r="AM153" s="1"/>
    </row>
    <row r="154" spans="1:39" s="2" customFormat="1" x14ac:dyDescent="0.2">
      <c r="A154" s="27" t="s">
        <v>98</v>
      </c>
      <c r="B154" s="1"/>
      <c r="C154" s="1"/>
      <c r="D154" s="1"/>
      <c r="E154" s="1"/>
      <c r="F154" s="1"/>
      <c r="G154" s="1"/>
      <c r="H154" s="1"/>
      <c r="I154" s="1"/>
      <c r="J154" s="1"/>
      <c r="K154" s="1"/>
      <c r="L154" s="1"/>
      <c r="M154" s="1"/>
      <c r="N154" s="1"/>
      <c r="O154" s="1"/>
      <c r="P154" s="1"/>
      <c r="Q154" s="1"/>
      <c r="R154" s="1"/>
      <c r="S154" s="1"/>
      <c r="U154" s="1"/>
      <c r="V154" s="1"/>
      <c r="W154" s="1"/>
      <c r="X154" s="1"/>
      <c r="Y154" s="1"/>
      <c r="Z154" s="1"/>
      <c r="AA154" s="1"/>
      <c r="AB154" s="1"/>
      <c r="AC154" s="1"/>
      <c r="AD154" s="1"/>
      <c r="AE154" s="1"/>
      <c r="AF154" s="1"/>
      <c r="AG154" s="1"/>
      <c r="AH154" s="1"/>
      <c r="AI154" s="1"/>
      <c r="AJ154" s="1"/>
      <c r="AK154" s="1"/>
      <c r="AL154" s="1"/>
      <c r="AM154" s="1"/>
    </row>
    <row r="155" spans="1:39" s="2" customFormat="1" x14ac:dyDescent="0.2">
      <c r="A155" s="27" t="s">
        <v>99</v>
      </c>
      <c r="B155" s="1"/>
      <c r="C155" s="1"/>
      <c r="D155" s="1"/>
      <c r="E155" s="1"/>
      <c r="F155" s="1"/>
      <c r="G155" s="1"/>
      <c r="H155" s="1"/>
      <c r="I155" s="1"/>
      <c r="J155" s="1"/>
      <c r="K155" s="1"/>
      <c r="L155" s="1"/>
      <c r="M155" s="1"/>
      <c r="N155" s="1"/>
      <c r="O155" s="1"/>
      <c r="P155" s="1"/>
      <c r="Q155" s="1"/>
      <c r="R155" s="1"/>
      <c r="S155" s="1"/>
      <c r="U155" s="1"/>
      <c r="V155" s="1"/>
      <c r="W155" s="1"/>
      <c r="X155" s="1"/>
      <c r="Y155" s="1"/>
      <c r="Z155" s="1"/>
      <c r="AA155" s="1"/>
      <c r="AB155" s="1"/>
      <c r="AC155" s="1"/>
      <c r="AD155" s="1"/>
      <c r="AE155" s="1"/>
      <c r="AF155" s="1"/>
      <c r="AG155" s="1"/>
      <c r="AH155" s="1"/>
      <c r="AI155" s="1"/>
      <c r="AJ155" s="1"/>
      <c r="AK155" s="1"/>
      <c r="AL155" s="1"/>
      <c r="AM155" s="1"/>
    </row>
    <row r="156" spans="1:39" x14ac:dyDescent="0.2">
      <c r="A156" s="27" t="s">
        <v>100</v>
      </c>
    </row>
    <row r="157" spans="1:39" x14ac:dyDescent="0.2">
      <c r="A157" s="27" t="s">
        <v>101</v>
      </c>
    </row>
    <row r="158" spans="1:39" x14ac:dyDescent="0.2">
      <c r="A158" s="27" t="s">
        <v>102</v>
      </c>
    </row>
    <row r="159" spans="1:39" x14ac:dyDescent="0.2">
      <c r="A159" s="27" t="s">
        <v>103</v>
      </c>
    </row>
    <row r="160" spans="1:39" x14ac:dyDescent="0.2">
      <c r="A160" s="27" t="s">
        <v>104</v>
      </c>
    </row>
    <row r="161" spans="1:1" x14ac:dyDescent="0.2">
      <c r="A161" s="27" t="s">
        <v>105</v>
      </c>
    </row>
  </sheetData>
  <sheetProtection formatCells="0" formatColumns="0" formatRows="0" insertColumns="0" insertRows="0" insertHyperlinks="0" deleteColumns="0" deleteRows="0" sort="0" autoFilter="0" pivotTables="0"/>
  <mergeCells count="72">
    <mergeCell ref="A128:L128"/>
    <mergeCell ref="A129:L129"/>
    <mergeCell ref="B110:L110"/>
    <mergeCell ref="B111:B126"/>
    <mergeCell ref="C111:C125"/>
    <mergeCell ref="D111:D125"/>
    <mergeCell ref="E111:E125"/>
    <mergeCell ref="C126:L126"/>
    <mergeCell ref="B92:L92"/>
    <mergeCell ref="A93:L93"/>
    <mergeCell ref="A94:A127"/>
    <mergeCell ref="B94:B109"/>
    <mergeCell ref="C94:C108"/>
    <mergeCell ref="D94:D108"/>
    <mergeCell ref="E94:E108"/>
    <mergeCell ref="C109:L109"/>
    <mergeCell ref="A71:A92"/>
    <mergeCell ref="B71:B80"/>
    <mergeCell ref="C71:C79"/>
    <mergeCell ref="D71:D79"/>
    <mergeCell ref="E71:E79"/>
    <mergeCell ref="C80:L80"/>
    <mergeCell ref="B127:L127"/>
    <mergeCell ref="B81:L81"/>
    <mergeCell ref="A70:L70"/>
    <mergeCell ref="E82:E90"/>
    <mergeCell ref="B82:B91"/>
    <mergeCell ref="C82:C90"/>
    <mergeCell ref="D82:D90"/>
    <mergeCell ref="C91:L91"/>
    <mergeCell ref="B46:L46"/>
    <mergeCell ref="A47:L47"/>
    <mergeCell ref="A48:A69"/>
    <mergeCell ref="B48:B57"/>
    <mergeCell ref="C48:C56"/>
    <mergeCell ref="D48:D56"/>
    <mergeCell ref="E48:E56"/>
    <mergeCell ref="C57:L57"/>
    <mergeCell ref="B58:L58"/>
    <mergeCell ref="B59:B68"/>
    <mergeCell ref="A25:A46"/>
    <mergeCell ref="E59:E67"/>
    <mergeCell ref="C68:L68"/>
    <mergeCell ref="B69:L69"/>
    <mergeCell ref="C59:C67"/>
    <mergeCell ref="D59:D67"/>
    <mergeCell ref="A24:L24"/>
    <mergeCell ref="C34:L34"/>
    <mergeCell ref="B35:L35"/>
    <mergeCell ref="B36:B45"/>
    <mergeCell ref="C36:C44"/>
    <mergeCell ref="D36:D44"/>
    <mergeCell ref="E36:E44"/>
    <mergeCell ref="C45:L45"/>
    <mergeCell ref="B25:B34"/>
    <mergeCell ref="C25:C33"/>
    <mergeCell ref="D25:D33"/>
    <mergeCell ref="E25:E33"/>
    <mergeCell ref="U3:V3"/>
    <mergeCell ref="A4:A23"/>
    <mergeCell ref="B4:B12"/>
    <mergeCell ref="C4:C11"/>
    <mergeCell ref="D4:D11"/>
    <mergeCell ref="E4:E11"/>
    <mergeCell ref="C12:L12"/>
    <mergeCell ref="B13:L13"/>
    <mergeCell ref="B14:B22"/>
    <mergeCell ref="C14:C21"/>
    <mergeCell ref="D14:D21"/>
    <mergeCell ref="E14:E21"/>
    <mergeCell ref="C22:L22"/>
    <mergeCell ref="B23:L2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1E2B0-69B7-400B-BFDE-DB0D177491F9}">
  <sheetPr>
    <tabColor theme="6" tint="0.79998168889431442"/>
  </sheetPr>
  <dimension ref="A1:AM161"/>
  <sheetViews>
    <sheetView topLeftCell="H1" zoomScale="70" zoomScaleNormal="70" workbookViewId="0">
      <pane xSplit="5" ySplit="3" topLeftCell="M93" activePane="bottomRight" state="frozen"/>
      <selection pane="topRight" activeCell="M4" sqref="M4"/>
      <selection pane="bottomLeft" activeCell="M4" sqref="M4"/>
      <selection pane="bottomRight"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9" width="9.5703125" style="1" customWidth="1"/>
    <col min="10" max="10" width="8.7109375" style="1"/>
    <col min="11" max="11" width="18.28515625" style="1" customWidth="1"/>
    <col min="12" max="12" width="9.5703125" style="1" customWidth="1"/>
    <col min="13" max="13" width="11.85546875" style="1" customWidth="1"/>
    <col min="14" max="17" width="12.5703125" style="1" bestFit="1" customWidth="1"/>
    <col min="18" max="18" width="11.85546875" style="1" bestFit="1" customWidth="1"/>
    <col min="19" max="19" width="6.5703125" style="1" bestFit="1" customWidth="1"/>
    <col min="20" max="20" width="9.140625" style="2" customWidth="1"/>
    <col min="21" max="21" width="14.7109375" style="1" bestFit="1" customWidth="1"/>
    <col min="22" max="22" width="14.28515625" style="1" bestFit="1" customWidth="1"/>
    <col min="23" max="23" width="9.85546875" style="1" bestFit="1" customWidth="1"/>
    <col min="24" max="24" width="14.28515625" style="1" bestFit="1" customWidth="1"/>
    <col min="25" max="25" width="13.85546875" style="1" customWidth="1"/>
    <col min="26" max="26" width="14.7109375" style="1" bestFit="1" customWidth="1"/>
    <col min="27" max="27" width="9.85546875" style="1" customWidth="1"/>
    <col min="28" max="28" width="12.28515625" style="1" customWidth="1"/>
    <col min="29" max="29" width="15.28515625" style="1" bestFit="1" customWidth="1"/>
    <col min="30" max="31" width="14.28515625" style="1" bestFit="1" customWidth="1"/>
    <col min="32" max="32" width="12.5703125" style="1" bestFit="1" customWidth="1"/>
    <col min="33" max="33" width="11.5703125" style="1" bestFit="1" customWidth="1"/>
    <col min="34" max="38" width="14.28515625" style="1" bestFit="1" customWidth="1"/>
    <col min="39" max="39" width="8.7109375" style="1" customWidth="1"/>
    <col min="40" max="40" width="12.5703125" style="1" bestFit="1" customWidth="1"/>
    <col min="41" max="16384" width="8.7109375" style="1"/>
  </cols>
  <sheetData>
    <row r="1" spans="1:39" x14ac:dyDescent="0.2">
      <c r="L1" s="209" t="s">
        <v>106</v>
      </c>
      <c r="M1" s="210">
        <v>0</v>
      </c>
      <c r="N1" s="210">
        <v>0.4</v>
      </c>
      <c r="O1" s="210">
        <v>0.4</v>
      </c>
      <c r="P1" s="210">
        <v>0.2</v>
      </c>
      <c r="Q1" s="210">
        <f>SUM(M1:P1)</f>
        <v>1</v>
      </c>
    </row>
    <row r="2" spans="1:39" ht="12.75" thickBot="1" x14ac:dyDescent="0.25">
      <c r="L2" s="209" t="s">
        <v>107</v>
      </c>
      <c r="M2" s="211">
        <v>0</v>
      </c>
      <c r="N2" s="211">
        <v>0.34</v>
      </c>
      <c r="O2" s="211">
        <v>0.33</v>
      </c>
      <c r="P2" s="211">
        <v>0.33</v>
      </c>
      <c r="Q2" s="210">
        <f>SUM(M2:P2)</f>
        <v>1</v>
      </c>
    </row>
    <row r="3" spans="1:39" s="5" customFormat="1" ht="52.5" customHeight="1" thickBot="1" x14ac:dyDescent="0.25">
      <c r="A3" s="232" t="s">
        <v>0</v>
      </c>
      <c r="B3" s="232" t="s">
        <v>1</v>
      </c>
      <c r="C3" s="232" t="s">
        <v>2</v>
      </c>
      <c r="D3" s="232" t="s">
        <v>3</v>
      </c>
      <c r="E3" s="232" t="s">
        <v>4</v>
      </c>
      <c r="F3" s="232" t="s">
        <v>121</v>
      </c>
      <c r="G3" s="232" t="s">
        <v>122</v>
      </c>
      <c r="H3" s="232" t="s">
        <v>123</v>
      </c>
      <c r="I3" s="232" t="s">
        <v>5</v>
      </c>
      <c r="J3" s="232" t="s">
        <v>6</v>
      </c>
      <c r="K3" s="232" t="s">
        <v>7</v>
      </c>
      <c r="L3" s="232" t="s">
        <v>8</v>
      </c>
      <c r="M3" s="232" t="s">
        <v>9</v>
      </c>
      <c r="N3" s="232" t="s">
        <v>10</v>
      </c>
      <c r="O3" s="232" t="s">
        <v>11</v>
      </c>
      <c r="P3" s="232" t="s">
        <v>12</v>
      </c>
      <c r="Q3" s="233" t="s">
        <v>13</v>
      </c>
      <c r="R3" s="232" t="s">
        <v>14</v>
      </c>
      <c r="S3" s="5" t="s">
        <v>124</v>
      </c>
      <c r="T3" s="212"/>
      <c r="U3" s="264" t="s">
        <v>125</v>
      </c>
      <c r="V3" s="264"/>
    </row>
    <row r="4" spans="1:39" ht="21.95" customHeight="1" thickBot="1" x14ac:dyDescent="0.3">
      <c r="A4" s="265" t="s">
        <v>15</v>
      </c>
      <c r="B4" s="268" t="s">
        <v>16</v>
      </c>
      <c r="C4" s="268" t="s">
        <v>17</v>
      </c>
      <c r="D4" s="268">
        <v>62000</v>
      </c>
      <c r="E4" s="268">
        <v>10003</v>
      </c>
      <c r="F4" s="235">
        <v>10180</v>
      </c>
      <c r="G4" s="235" t="s">
        <v>126</v>
      </c>
      <c r="H4" s="235" t="s">
        <v>127</v>
      </c>
      <c r="I4" s="235" t="s">
        <v>18</v>
      </c>
      <c r="J4" s="236" t="s">
        <v>19</v>
      </c>
      <c r="K4" s="235">
        <v>71200</v>
      </c>
      <c r="L4" s="235" t="s">
        <v>19</v>
      </c>
      <c r="M4" s="237">
        <f>ROUND(M$2*$Q4,0)</f>
        <v>0</v>
      </c>
      <c r="N4" s="237">
        <f t="shared" ref="N4:O11" si="0">ROUND(N$2*$Q4,0)</f>
        <v>0</v>
      </c>
      <c r="O4" s="237">
        <f t="shared" si="0"/>
        <v>0</v>
      </c>
      <c r="P4" s="237">
        <f>Q4-SUM(M4:O4)</f>
        <v>0</v>
      </c>
      <c r="Q4" s="237">
        <f>ROUND($V$6*S4,0)</f>
        <v>0</v>
      </c>
      <c r="R4" s="238">
        <v>2</v>
      </c>
      <c r="S4" s="9">
        <f t="shared" ref="S4:S11" si="1">VLOOKUP(K4, rpacoreratio, 3, FALSE)*VLOOKUP(K4, rpacoreratio, 8, FALSE)</f>
        <v>0</v>
      </c>
      <c r="U4" s="239" t="s">
        <v>128</v>
      </c>
      <c r="V4" s="240">
        <f>[3]RPA_Kris!B3</f>
        <v>456818.18</v>
      </c>
    </row>
    <row r="5" spans="1:39" ht="21.95" customHeight="1" thickBot="1" x14ac:dyDescent="0.3">
      <c r="A5" s="266"/>
      <c r="B5" s="268"/>
      <c r="C5" s="268"/>
      <c r="D5" s="268"/>
      <c r="E5" s="268"/>
      <c r="F5" s="235">
        <v>10180</v>
      </c>
      <c r="G5" s="235" t="s">
        <v>126</v>
      </c>
      <c r="H5" s="235" t="s">
        <v>127</v>
      </c>
      <c r="I5" s="235" t="s">
        <v>18</v>
      </c>
      <c r="J5" s="236" t="s">
        <v>20</v>
      </c>
      <c r="K5" s="235">
        <v>71300</v>
      </c>
      <c r="L5" s="235" t="s">
        <v>20</v>
      </c>
      <c r="M5" s="237">
        <f t="shared" ref="M5:M11" si="2">ROUND(M$2*$Q5,0)</f>
        <v>0</v>
      </c>
      <c r="N5" s="237">
        <f t="shared" si="0"/>
        <v>195</v>
      </c>
      <c r="O5" s="237">
        <f t="shared" si="0"/>
        <v>189</v>
      </c>
      <c r="P5" s="237">
        <f t="shared" ref="P5:P11" si="3">Q5-SUM(M5:O5)</f>
        <v>190</v>
      </c>
      <c r="Q5" s="237">
        <f t="shared" ref="Q5:Q11" si="4">ROUND($V$6*S5,0)</f>
        <v>574</v>
      </c>
      <c r="R5" s="238">
        <v>3</v>
      </c>
      <c r="S5" s="9">
        <f t="shared" si="1"/>
        <v>1.1484623528952263E-2</v>
      </c>
      <c r="U5" s="239" t="s">
        <v>129</v>
      </c>
      <c r="V5" s="240">
        <f>[3]RPA_Kris!B4</f>
        <v>2680000</v>
      </c>
    </row>
    <row r="6" spans="1:39" ht="21.95" customHeight="1" thickBot="1" x14ac:dyDescent="0.3">
      <c r="A6" s="266"/>
      <c r="B6" s="268"/>
      <c r="C6" s="268"/>
      <c r="D6" s="268"/>
      <c r="E6" s="268"/>
      <c r="F6" s="235">
        <v>10180</v>
      </c>
      <c r="G6" s="235" t="s">
        <v>126</v>
      </c>
      <c r="H6" s="235" t="s">
        <v>127</v>
      </c>
      <c r="I6" s="235" t="s">
        <v>18</v>
      </c>
      <c r="J6" s="236" t="s">
        <v>21</v>
      </c>
      <c r="K6" s="235">
        <v>71400</v>
      </c>
      <c r="L6" s="235" t="s">
        <v>22</v>
      </c>
      <c r="M6" s="237">
        <f t="shared" si="2"/>
        <v>0</v>
      </c>
      <c r="N6" s="237">
        <f t="shared" si="0"/>
        <v>2999</v>
      </c>
      <c r="O6" s="237">
        <f t="shared" si="0"/>
        <v>2911</v>
      </c>
      <c r="P6" s="237">
        <f t="shared" si="3"/>
        <v>2910</v>
      </c>
      <c r="Q6" s="237">
        <f t="shared" si="4"/>
        <v>8820</v>
      </c>
      <c r="R6" s="238">
        <v>5</v>
      </c>
      <c r="S6" s="9">
        <f t="shared" si="1"/>
        <v>0.17640953291668729</v>
      </c>
      <c r="U6" s="239" t="s">
        <v>130</v>
      </c>
      <c r="V6" s="240">
        <f>[3]RPA_Kris!B5</f>
        <v>50000</v>
      </c>
    </row>
    <row r="7" spans="1:39" ht="21.95" customHeight="1" thickBot="1" x14ac:dyDescent="0.3">
      <c r="A7" s="266"/>
      <c r="B7" s="268"/>
      <c r="C7" s="268"/>
      <c r="D7" s="268"/>
      <c r="E7" s="268"/>
      <c r="F7" s="235">
        <v>10180</v>
      </c>
      <c r="G7" s="235" t="s">
        <v>126</v>
      </c>
      <c r="H7" s="235" t="s">
        <v>127</v>
      </c>
      <c r="I7" s="235" t="s">
        <v>18</v>
      </c>
      <c r="J7" s="236" t="s">
        <v>23</v>
      </c>
      <c r="K7" s="235">
        <v>71600</v>
      </c>
      <c r="L7" s="235" t="s">
        <v>23</v>
      </c>
      <c r="M7" s="237">
        <f t="shared" si="2"/>
        <v>0</v>
      </c>
      <c r="N7" s="237">
        <f t="shared" si="0"/>
        <v>319</v>
      </c>
      <c r="O7" s="237">
        <f t="shared" si="0"/>
        <v>310</v>
      </c>
      <c r="P7" s="237">
        <f t="shared" si="3"/>
        <v>309</v>
      </c>
      <c r="Q7" s="237">
        <f t="shared" si="4"/>
        <v>938</v>
      </c>
      <c r="R7" s="238">
        <v>7</v>
      </c>
      <c r="S7" s="9">
        <f t="shared" si="1"/>
        <v>1.8765823245845751E-2</v>
      </c>
      <c r="U7" s="239" t="s">
        <v>131</v>
      </c>
      <c r="V7" s="240">
        <f>[3]RPA_Kris!B6</f>
        <v>928310</v>
      </c>
    </row>
    <row r="8" spans="1:39" ht="21.95" customHeight="1" thickBot="1" x14ac:dyDescent="0.3">
      <c r="A8" s="266"/>
      <c r="B8" s="268"/>
      <c r="C8" s="268"/>
      <c r="D8" s="268"/>
      <c r="E8" s="268"/>
      <c r="F8" s="235">
        <v>10180</v>
      </c>
      <c r="G8" s="235" t="s">
        <v>126</v>
      </c>
      <c r="H8" s="235" t="s">
        <v>127</v>
      </c>
      <c r="I8" s="235" t="s">
        <v>18</v>
      </c>
      <c r="J8" s="236" t="s">
        <v>24</v>
      </c>
      <c r="K8" s="235">
        <v>72500</v>
      </c>
      <c r="L8" s="235" t="s">
        <v>25</v>
      </c>
      <c r="M8" s="237">
        <f t="shared" si="2"/>
        <v>0</v>
      </c>
      <c r="N8" s="237">
        <f t="shared" si="0"/>
        <v>12</v>
      </c>
      <c r="O8" s="237">
        <f t="shared" si="0"/>
        <v>12</v>
      </c>
      <c r="P8" s="237">
        <f t="shared" si="3"/>
        <v>12</v>
      </c>
      <c r="Q8" s="237">
        <f t="shared" si="4"/>
        <v>36</v>
      </c>
      <c r="R8" s="238">
        <v>10</v>
      </c>
      <c r="S8" s="9">
        <f t="shared" si="1"/>
        <v>7.2509589748529012E-4</v>
      </c>
      <c r="V8" s="241">
        <f>SUM(V4:V7)</f>
        <v>4115128.18</v>
      </c>
    </row>
    <row r="9" spans="1:39" ht="21.95" customHeight="1" thickBot="1" x14ac:dyDescent="0.25">
      <c r="A9" s="266"/>
      <c r="B9" s="268"/>
      <c r="C9" s="268"/>
      <c r="D9" s="268"/>
      <c r="E9" s="268"/>
      <c r="F9" s="235">
        <v>10180</v>
      </c>
      <c r="G9" s="235" t="s">
        <v>126</v>
      </c>
      <c r="H9" s="235" t="s">
        <v>127</v>
      </c>
      <c r="I9" s="235" t="s">
        <v>18</v>
      </c>
      <c r="J9" s="236" t="s">
        <v>26</v>
      </c>
      <c r="K9" s="235">
        <v>75700</v>
      </c>
      <c r="L9" s="235" t="s">
        <v>27</v>
      </c>
      <c r="M9" s="237">
        <f t="shared" si="2"/>
        <v>0</v>
      </c>
      <c r="N9" s="237">
        <f t="shared" si="0"/>
        <v>63</v>
      </c>
      <c r="O9" s="237">
        <f t="shared" si="0"/>
        <v>61</v>
      </c>
      <c r="P9" s="237">
        <f t="shared" si="3"/>
        <v>60</v>
      </c>
      <c r="Q9" s="237">
        <f t="shared" si="4"/>
        <v>184</v>
      </c>
      <c r="R9" s="238">
        <v>6</v>
      </c>
      <c r="S9" s="9">
        <f t="shared" si="1"/>
        <v>3.6708273653368421E-3</v>
      </c>
    </row>
    <row r="10" spans="1:39" ht="21.95" customHeight="1" thickBot="1" x14ac:dyDescent="0.25">
      <c r="A10" s="266"/>
      <c r="B10" s="268"/>
      <c r="C10" s="268"/>
      <c r="D10" s="268"/>
      <c r="E10" s="268"/>
      <c r="F10" s="235">
        <v>10180</v>
      </c>
      <c r="G10" s="235" t="s">
        <v>126</v>
      </c>
      <c r="H10" s="235" t="s">
        <v>127</v>
      </c>
      <c r="I10" s="235" t="s">
        <v>18</v>
      </c>
      <c r="J10" s="236" t="s">
        <v>28</v>
      </c>
      <c r="K10" s="235">
        <v>61200</v>
      </c>
      <c r="L10" s="235" t="s">
        <v>29</v>
      </c>
      <c r="M10" s="237">
        <f t="shared" si="2"/>
        <v>0</v>
      </c>
      <c r="N10" s="237">
        <f t="shared" si="0"/>
        <v>0</v>
      </c>
      <c r="O10" s="237">
        <f t="shared" si="0"/>
        <v>0</v>
      </c>
      <c r="P10" s="237">
        <f t="shared" si="3"/>
        <v>0</v>
      </c>
      <c r="Q10" s="237">
        <f t="shared" si="4"/>
        <v>0</v>
      </c>
      <c r="R10" s="238">
        <v>4</v>
      </c>
      <c r="S10" s="9">
        <f t="shared" si="1"/>
        <v>0</v>
      </c>
    </row>
    <row r="11" spans="1:39" ht="21.95" customHeight="1" thickBot="1" x14ac:dyDescent="0.25">
      <c r="A11" s="266"/>
      <c r="B11" s="268"/>
      <c r="C11" s="268"/>
      <c r="D11" s="268"/>
      <c r="E11" s="268"/>
      <c r="F11" s="235">
        <v>10180</v>
      </c>
      <c r="G11" s="235" t="s">
        <v>126</v>
      </c>
      <c r="H11" s="235" t="s">
        <v>127</v>
      </c>
      <c r="I11" s="235" t="s">
        <v>18</v>
      </c>
      <c r="J11" s="236" t="s">
        <v>28</v>
      </c>
      <c r="K11" s="235">
        <v>61300</v>
      </c>
      <c r="L11" s="235" t="s">
        <v>30</v>
      </c>
      <c r="M11" s="237">
        <f t="shared" si="2"/>
        <v>0</v>
      </c>
      <c r="N11" s="237">
        <f t="shared" si="0"/>
        <v>0</v>
      </c>
      <c r="O11" s="237">
        <f t="shared" si="0"/>
        <v>0</v>
      </c>
      <c r="P11" s="237">
        <f t="shared" si="3"/>
        <v>0</v>
      </c>
      <c r="Q11" s="237">
        <f t="shared" si="4"/>
        <v>0</v>
      </c>
      <c r="R11" s="238">
        <v>4</v>
      </c>
      <c r="S11" s="9">
        <f t="shared" si="1"/>
        <v>0</v>
      </c>
    </row>
    <row r="12" spans="1:39" ht="21.95" customHeight="1" thickBot="1" x14ac:dyDescent="0.25">
      <c r="A12" s="266"/>
      <c r="B12" s="268"/>
      <c r="C12" s="269" t="s">
        <v>31</v>
      </c>
      <c r="D12" s="269"/>
      <c r="E12" s="269"/>
      <c r="F12" s="269"/>
      <c r="G12" s="269"/>
      <c r="H12" s="269"/>
      <c r="I12" s="269"/>
      <c r="J12" s="269"/>
      <c r="K12" s="269"/>
      <c r="L12" s="269"/>
      <c r="M12" s="237">
        <f>SUM(M4:M11)</f>
        <v>0</v>
      </c>
      <c r="N12" s="237">
        <f t="shared" ref="N12:Q12" si="5">SUM(N4:N11)</f>
        <v>3588</v>
      </c>
      <c r="O12" s="237">
        <f t="shared" si="5"/>
        <v>3483</v>
      </c>
      <c r="P12" s="237">
        <f t="shared" si="5"/>
        <v>3481</v>
      </c>
      <c r="Q12" s="237">
        <f t="shared" si="5"/>
        <v>10552</v>
      </c>
      <c r="R12" s="238"/>
      <c r="S12" s="9"/>
    </row>
    <row r="13" spans="1:39" s="2" customFormat="1" ht="21.95" customHeight="1" thickBot="1" x14ac:dyDescent="0.25">
      <c r="A13" s="266"/>
      <c r="B13" s="269" t="s">
        <v>32</v>
      </c>
      <c r="C13" s="269"/>
      <c r="D13" s="269"/>
      <c r="E13" s="269"/>
      <c r="F13" s="269"/>
      <c r="G13" s="269"/>
      <c r="H13" s="269"/>
      <c r="I13" s="269"/>
      <c r="J13" s="269"/>
      <c r="K13" s="269"/>
      <c r="L13" s="269"/>
      <c r="M13" s="237">
        <f>M12</f>
        <v>0</v>
      </c>
      <c r="N13" s="237">
        <f t="shared" ref="N13:Q13" si="6">N12</f>
        <v>3588</v>
      </c>
      <c r="O13" s="237">
        <f t="shared" si="6"/>
        <v>3483</v>
      </c>
      <c r="P13" s="237">
        <f t="shared" si="6"/>
        <v>3481</v>
      </c>
      <c r="Q13" s="237">
        <f t="shared" si="6"/>
        <v>10552</v>
      </c>
      <c r="R13" s="238"/>
      <c r="S13" s="9"/>
      <c r="U13" s="1"/>
      <c r="V13" s="1"/>
      <c r="W13" s="1"/>
      <c r="X13" s="1"/>
      <c r="Y13" s="1"/>
      <c r="Z13" s="1"/>
      <c r="AA13" s="1"/>
      <c r="AB13" s="1"/>
      <c r="AC13" s="1"/>
      <c r="AD13" s="1"/>
      <c r="AE13" s="1"/>
      <c r="AF13" s="1"/>
      <c r="AG13" s="1"/>
      <c r="AH13" s="1"/>
      <c r="AI13" s="1"/>
      <c r="AJ13" s="1"/>
      <c r="AK13" s="1"/>
      <c r="AL13" s="1"/>
      <c r="AM13" s="1"/>
    </row>
    <row r="14" spans="1:39" s="2" customFormat="1" ht="21.95" customHeight="1" thickBot="1" x14ac:dyDescent="0.25">
      <c r="A14" s="266"/>
      <c r="B14" s="265" t="s">
        <v>33</v>
      </c>
      <c r="C14" s="265" t="s">
        <v>17</v>
      </c>
      <c r="D14" s="265">
        <v>62000</v>
      </c>
      <c r="E14" s="265">
        <v>10003</v>
      </c>
      <c r="F14" s="235">
        <v>10180</v>
      </c>
      <c r="G14" s="235" t="s">
        <v>126</v>
      </c>
      <c r="H14" s="235" t="s">
        <v>127</v>
      </c>
      <c r="I14" s="234" t="s">
        <v>34</v>
      </c>
      <c r="J14" s="236" t="s">
        <v>19</v>
      </c>
      <c r="K14" s="235">
        <v>71200</v>
      </c>
      <c r="L14" s="235" t="s">
        <v>19</v>
      </c>
      <c r="M14" s="237">
        <f t="shared" ref="M14:O21" si="7">ROUND(M$2*$Q14,0)</f>
        <v>0</v>
      </c>
      <c r="N14" s="237">
        <f t="shared" si="7"/>
        <v>0</v>
      </c>
      <c r="O14" s="237">
        <f t="shared" si="7"/>
        <v>0</v>
      </c>
      <c r="P14" s="237">
        <f t="shared" ref="P14:P21" si="8">Q14-SUM(M14:O14)</f>
        <v>0</v>
      </c>
      <c r="Q14" s="237">
        <f>ROUND($V$7*S14,0)</f>
        <v>0</v>
      </c>
      <c r="R14" s="238">
        <v>2</v>
      </c>
      <c r="S14" s="9">
        <f t="shared" ref="S14:S21" si="9">VLOOKUP(K14, rpastarratio, 3, FALSE)*VLOOKUP(K14, rpastarratio, 8, FALSE)</f>
        <v>0</v>
      </c>
      <c r="U14" s="1"/>
      <c r="V14" s="1"/>
      <c r="W14" s="1"/>
      <c r="X14" s="1"/>
      <c r="Y14" s="1"/>
      <c r="Z14" s="1"/>
      <c r="AA14" s="1"/>
      <c r="AB14" s="1"/>
      <c r="AC14" s="1"/>
      <c r="AD14" s="1"/>
      <c r="AE14" s="1"/>
      <c r="AF14" s="1"/>
      <c r="AG14" s="1"/>
      <c r="AH14" s="1"/>
      <c r="AI14" s="1"/>
      <c r="AJ14" s="1"/>
      <c r="AK14" s="1"/>
      <c r="AL14" s="1"/>
      <c r="AM14" s="1"/>
    </row>
    <row r="15" spans="1:39" s="2" customFormat="1" ht="21.95" customHeight="1" thickBot="1" x14ac:dyDescent="0.25">
      <c r="A15" s="266"/>
      <c r="B15" s="266"/>
      <c r="C15" s="266"/>
      <c r="D15" s="266"/>
      <c r="E15" s="266"/>
      <c r="F15" s="235">
        <v>10180</v>
      </c>
      <c r="G15" s="235" t="s">
        <v>126</v>
      </c>
      <c r="H15" s="235" t="s">
        <v>127</v>
      </c>
      <c r="I15" s="234" t="s">
        <v>34</v>
      </c>
      <c r="J15" s="236" t="s">
        <v>20</v>
      </c>
      <c r="K15" s="235">
        <v>71300</v>
      </c>
      <c r="L15" s="235" t="s">
        <v>20</v>
      </c>
      <c r="M15" s="237">
        <f t="shared" si="7"/>
        <v>0</v>
      </c>
      <c r="N15" s="237">
        <f t="shared" si="7"/>
        <v>3625</v>
      </c>
      <c r="O15" s="237">
        <f t="shared" si="7"/>
        <v>3518</v>
      </c>
      <c r="P15" s="237">
        <f t="shared" si="8"/>
        <v>3518</v>
      </c>
      <c r="Q15" s="237">
        <f t="shared" ref="Q15:Q21" si="10">ROUND($V$7*S15,0)</f>
        <v>10661</v>
      </c>
      <c r="R15" s="238">
        <v>3</v>
      </c>
      <c r="S15" s="9">
        <f t="shared" si="9"/>
        <v>1.1484623528952256E-2</v>
      </c>
      <c r="U15" s="1"/>
      <c r="V15" s="1"/>
      <c r="W15" s="1"/>
      <c r="X15" s="1"/>
      <c r="Y15" s="1"/>
      <c r="Z15" s="1"/>
      <c r="AA15" s="1"/>
      <c r="AB15" s="1"/>
      <c r="AC15" s="1"/>
      <c r="AD15" s="1"/>
      <c r="AE15" s="1"/>
      <c r="AF15" s="1"/>
      <c r="AG15" s="1"/>
      <c r="AH15" s="1"/>
      <c r="AI15" s="1"/>
      <c r="AJ15" s="1"/>
      <c r="AK15" s="1"/>
      <c r="AL15" s="1"/>
      <c r="AM15" s="1"/>
    </row>
    <row r="16" spans="1:39" s="2" customFormat="1" ht="21.95" customHeight="1" thickBot="1" x14ac:dyDescent="0.25">
      <c r="A16" s="266"/>
      <c r="B16" s="266"/>
      <c r="C16" s="266"/>
      <c r="D16" s="266"/>
      <c r="E16" s="266"/>
      <c r="F16" s="235">
        <v>10180</v>
      </c>
      <c r="G16" s="235" t="s">
        <v>126</v>
      </c>
      <c r="H16" s="235" t="s">
        <v>127</v>
      </c>
      <c r="I16" s="234" t="s">
        <v>34</v>
      </c>
      <c r="J16" s="236" t="s">
        <v>21</v>
      </c>
      <c r="K16" s="235">
        <v>71400</v>
      </c>
      <c r="L16" s="235" t="s">
        <v>22</v>
      </c>
      <c r="M16" s="237">
        <f t="shared" si="7"/>
        <v>0</v>
      </c>
      <c r="N16" s="237">
        <f t="shared" si="7"/>
        <v>55679</v>
      </c>
      <c r="O16" s="237">
        <f t="shared" si="7"/>
        <v>54042</v>
      </c>
      <c r="P16" s="237">
        <f t="shared" si="8"/>
        <v>54042</v>
      </c>
      <c r="Q16" s="237">
        <f t="shared" si="10"/>
        <v>163763</v>
      </c>
      <c r="R16" s="238">
        <v>5</v>
      </c>
      <c r="S16" s="9">
        <f t="shared" si="9"/>
        <v>0.17640953291668721</v>
      </c>
      <c r="U16" s="1"/>
      <c r="V16" s="1"/>
      <c r="W16" s="1"/>
      <c r="X16" s="1"/>
      <c r="Y16" s="1"/>
      <c r="Z16" s="1"/>
      <c r="AA16" s="1"/>
      <c r="AB16" s="1"/>
      <c r="AC16" s="1"/>
      <c r="AD16" s="1"/>
      <c r="AE16" s="1"/>
      <c r="AF16" s="1"/>
      <c r="AG16" s="1"/>
      <c r="AH16" s="1"/>
      <c r="AI16" s="1"/>
      <c r="AJ16" s="1"/>
      <c r="AK16" s="1"/>
      <c r="AL16" s="1"/>
      <c r="AM16" s="1"/>
    </row>
    <row r="17" spans="1:39" s="2" customFormat="1" ht="21.95" customHeight="1" thickBot="1" x14ac:dyDescent="0.25">
      <c r="A17" s="266"/>
      <c r="B17" s="266"/>
      <c r="C17" s="266"/>
      <c r="D17" s="266"/>
      <c r="E17" s="266"/>
      <c r="F17" s="235">
        <v>10180</v>
      </c>
      <c r="G17" s="235" t="s">
        <v>126</v>
      </c>
      <c r="H17" s="235" t="s">
        <v>127</v>
      </c>
      <c r="I17" s="234" t="s">
        <v>34</v>
      </c>
      <c r="J17" s="236" t="s">
        <v>23</v>
      </c>
      <c r="K17" s="235">
        <v>71600</v>
      </c>
      <c r="L17" s="235" t="s">
        <v>23</v>
      </c>
      <c r="M17" s="237">
        <f t="shared" si="7"/>
        <v>0</v>
      </c>
      <c r="N17" s="237">
        <f t="shared" si="7"/>
        <v>5923</v>
      </c>
      <c r="O17" s="237">
        <f t="shared" si="7"/>
        <v>5749</v>
      </c>
      <c r="P17" s="237">
        <f t="shared" si="8"/>
        <v>5749</v>
      </c>
      <c r="Q17" s="237">
        <f t="shared" si="10"/>
        <v>17421</v>
      </c>
      <c r="R17" s="238">
        <v>7</v>
      </c>
      <c r="S17" s="9">
        <f t="shared" si="9"/>
        <v>1.8765823245845741E-2</v>
      </c>
      <c r="U17" s="1"/>
      <c r="V17" s="1"/>
      <c r="W17" s="1"/>
      <c r="X17" s="1"/>
      <c r="Y17" s="1"/>
      <c r="Z17" s="1"/>
      <c r="AA17" s="1"/>
      <c r="AB17" s="1"/>
      <c r="AC17" s="1"/>
      <c r="AD17" s="1"/>
      <c r="AE17" s="1"/>
      <c r="AF17" s="1"/>
      <c r="AG17" s="1"/>
      <c r="AH17" s="1"/>
      <c r="AI17" s="1"/>
      <c r="AJ17" s="1"/>
      <c r="AK17" s="1"/>
      <c r="AL17" s="1"/>
      <c r="AM17" s="1"/>
    </row>
    <row r="18" spans="1:39" s="2" customFormat="1" ht="21.95" customHeight="1" thickBot="1" x14ac:dyDescent="0.25">
      <c r="A18" s="266"/>
      <c r="B18" s="266"/>
      <c r="C18" s="266"/>
      <c r="D18" s="266"/>
      <c r="E18" s="266"/>
      <c r="F18" s="235">
        <v>10180</v>
      </c>
      <c r="G18" s="235" t="s">
        <v>126</v>
      </c>
      <c r="H18" s="235" t="s">
        <v>127</v>
      </c>
      <c r="I18" s="234" t="s">
        <v>34</v>
      </c>
      <c r="J18" s="236" t="s">
        <v>24</v>
      </c>
      <c r="K18" s="235">
        <v>72500</v>
      </c>
      <c r="L18" s="235" t="s">
        <v>25</v>
      </c>
      <c r="M18" s="237">
        <f t="shared" si="7"/>
        <v>0</v>
      </c>
      <c r="N18" s="237">
        <f t="shared" si="7"/>
        <v>229</v>
      </c>
      <c r="O18" s="237">
        <f t="shared" si="7"/>
        <v>222</v>
      </c>
      <c r="P18" s="237">
        <f t="shared" si="8"/>
        <v>222</v>
      </c>
      <c r="Q18" s="237">
        <f t="shared" si="10"/>
        <v>673</v>
      </c>
      <c r="R18" s="238">
        <v>10</v>
      </c>
      <c r="S18" s="9">
        <f t="shared" si="9"/>
        <v>7.2509589748528979E-4</v>
      </c>
      <c r="U18" s="1"/>
      <c r="V18" s="1"/>
      <c r="W18" s="1"/>
      <c r="X18" s="1"/>
      <c r="Y18" s="1"/>
      <c r="Z18" s="1"/>
      <c r="AA18" s="1"/>
      <c r="AB18" s="1"/>
      <c r="AC18" s="1"/>
      <c r="AD18" s="1"/>
      <c r="AE18" s="1"/>
      <c r="AF18" s="1"/>
      <c r="AG18" s="1"/>
      <c r="AH18" s="1"/>
      <c r="AI18" s="1"/>
      <c r="AJ18" s="1"/>
      <c r="AK18" s="1"/>
      <c r="AL18" s="1"/>
      <c r="AM18" s="1"/>
    </row>
    <row r="19" spans="1:39" s="2" customFormat="1" ht="21.95" customHeight="1" thickBot="1" x14ac:dyDescent="0.25">
      <c r="A19" s="266"/>
      <c r="B19" s="266"/>
      <c r="C19" s="266"/>
      <c r="D19" s="266"/>
      <c r="E19" s="266"/>
      <c r="F19" s="235">
        <v>10180</v>
      </c>
      <c r="G19" s="235" t="s">
        <v>126</v>
      </c>
      <c r="H19" s="235" t="s">
        <v>127</v>
      </c>
      <c r="I19" s="234" t="s">
        <v>34</v>
      </c>
      <c r="J19" s="236" t="s">
        <v>26</v>
      </c>
      <c r="K19" s="235">
        <v>75700</v>
      </c>
      <c r="L19" s="235" t="s">
        <v>27</v>
      </c>
      <c r="M19" s="237">
        <f t="shared" si="7"/>
        <v>0</v>
      </c>
      <c r="N19" s="237">
        <f t="shared" si="7"/>
        <v>1159</v>
      </c>
      <c r="O19" s="237">
        <f t="shared" si="7"/>
        <v>1125</v>
      </c>
      <c r="P19" s="237">
        <f t="shared" si="8"/>
        <v>1124</v>
      </c>
      <c r="Q19" s="237">
        <f t="shared" si="10"/>
        <v>3408</v>
      </c>
      <c r="R19" s="238">
        <v>6</v>
      </c>
      <c r="S19" s="9">
        <f t="shared" si="9"/>
        <v>3.6708273653368404E-3</v>
      </c>
      <c r="U19" s="1"/>
      <c r="V19" s="1"/>
      <c r="W19" s="1"/>
      <c r="X19" s="1"/>
      <c r="Y19" s="1"/>
      <c r="Z19" s="1"/>
      <c r="AA19" s="1"/>
      <c r="AB19" s="1"/>
      <c r="AC19" s="1"/>
      <c r="AD19" s="1"/>
      <c r="AE19" s="1"/>
      <c r="AF19" s="1"/>
      <c r="AG19" s="1"/>
      <c r="AH19" s="1"/>
      <c r="AI19" s="1"/>
      <c r="AJ19" s="1"/>
      <c r="AK19" s="1"/>
      <c r="AL19" s="1"/>
      <c r="AM19" s="1"/>
    </row>
    <row r="20" spans="1:39" s="2" customFormat="1" ht="21.95" customHeight="1" thickBot="1" x14ac:dyDescent="0.25">
      <c r="A20" s="266"/>
      <c r="B20" s="266"/>
      <c r="C20" s="266"/>
      <c r="D20" s="266"/>
      <c r="E20" s="266"/>
      <c r="F20" s="235">
        <v>10180</v>
      </c>
      <c r="G20" s="235" t="s">
        <v>126</v>
      </c>
      <c r="H20" s="235" t="s">
        <v>127</v>
      </c>
      <c r="I20" s="234" t="s">
        <v>34</v>
      </c>
      <c r="J20" s="236" t="s">
        <v>28</v>
      </c>
      <c r="K20" s="235">
        <v>61200</v>
      </c>
      <c r="L20" s="235" t="s">
        <v>29</v>
      </c>
      <c r="M20" s="237">
        <f t="shared" si="7"/>
        <v>0</v>
      </c>
      <c r="N20" s="237">
        <f t="shared" si="7"/>
        <v>0</v>
      </c>
      <c r="O20" s="237">
        <f t="shared" si="7"/>
        <v>0</v>
      </c>
      <c r="P20" s="237">
        <f t="shared" si="8"/>
        <v>0</v>
      </c>
      <c r="Q20" s="237">
        <f t="shared" si="10"/>
        <v>0</v>
      </c>
      <c r="R20" s="238">
        <v>4</v>
      </c>
      <c r="S20" s="9">
        <f t="shared" si="9"/>
        <v>0</v>
      </c>
      <c r="U20" s="1"/>
      <c r="V20" s="1"/>
      <c r="W20" s="1"/>
      <c r="X20" s="1"/>
      <c r="Y20" s="1"/>
      <c r="Z20" s="1"/>
      <c r="AA20" s="1"/>
      <c r="AB20" s="1"/>
      <c r="AC20" s="1"/>
      <c r="AD20" s="1"/>
      <c r="AE20" s="1"/>
      <c r="AF20" s="1"/>
      <c r="AG20" s="1"/>
      <c r="AH20" s="1"/>
      <c r="AI20" s="1"/>
      <c r="AJ20" s="1"/>
      <c r="AK20" s="1"/>
      <c r="AL20" s="1"/>
      <c r="AM20" s="1"/>
    </row>
    <row r="21" spans="1:39" s="2" customFormat="1" ht="21.95" customHeight="1" thickBot="1" x14ac:dyDescent="0.25">
      <c r="A21" s="266"/>
      <c r="B21" s="266"/>
      <c r="C21" s="267"/>
      <c r="D21" s="267"/>
      <c r="E21" s="267"/>
      <c r="F21" s="235">
        <v>10180</v>
      </c>
      <c r="G21" s="235" t="s">
        <v>126</v>
      </c>
      <c r="H21" s="235" t="s">
        <v>127</v>
      </c>
      <c r="I21" s="234" t="s">
        <v>34</v>
      </c>
      <c r="J21" s="236" t="s">
        <v>28</v>
      </c>
      <c r="K21" s="235">
        <v>61300</v>
      </c>
      <c r="L21" s="235" t="s">
        <v>30</v>
      </c>
      <c r="M21" s="237">
        <f t="shared" si="7"/>
        <v>0</v>
      </c>
      <c r="N21" s="237">
        <f t="shared" si="7"/>
        <v>0</v>
      </c>
      <c r="O21" s="237">
        <f t="shared" si="7"/>
        <v>0</v>
      </c>
      <c r="P21" s="237">
        <f t="shared" si="8"/>
        <v>0</v>
      </c>
      <c r="Q21" s="237">
        <f t="shared" si="10"/>
        <v>0</v>
      </c>
      <c r="R21" s="238">
        <v>4</v>
      </c>
      <c r="S21" s="9">
        <f t="shared" si="9"/>
        <v>0</v>
      </c>
      <c r="U21" s="1"/>
      <c r="V21" s="1"/>
      <c r="W21" s="1"/>
      <c r="X21" s="1"/>
      <c r="Y21" s="1"/>
      <c r="Z21" s="1"/>
      <c r="AA21" s="1"/>
      <c r="AB21" s="1"/>
      <c r="AC21" s="1"/>
      <c r="AD21" s="1"/>
      <c r="AE21" s="1"/>
      <c r="AF21" s="1"/>
      <c r="AG21" s="1"/>
      <c r="AH21" s="1"/>
      <c r="AI21" s="1"/>
      <c r="AJ21" s="1"/>
      <c r="AK21" s="1"/>
      <c r="AL21" s="1"/>
      <c r="AM21" s="1"/>
    </row>
    <row r="22" spans="1:39" s="2" customFormat="1" ht="21.95" customHeight="1" thickBot="1" x14ac:dyDescent="0.25">
      <c r="A22" s="266"/>
      <c r="B22" s="266"/>
      <c r="C22" s="270" t="s">
        <v>31</v>
      </c>
      <c r="D22" s="270"/>
      <c r="E22" s="270"/>
      <c r="F22" s="270"/>
      <c r="G22" s="270"/>
      <c r="H22" s="270"/>
      <c r="I22" s="270"/>
      <c r="J22" s="270"/>
      <c r="K22" s="270"/>
      <c r="L22" s="270"/>
      <c r="M22" s="237">
        <f>SUM(M14:M21)</f>
        <v>0</v>
      </c>
      <c r="N22" s="237">
        <f t="shared" ref="N22:Q22" si="11">SUM(N14:N21)</f>
        <v>66615</v>
      </c>
      <c r="O22" s="237">
        <f t="shared" si="11"/>
        <v>64656</v>
      </c>
      <c r="P22" s="237">
        <f t="shared" si="11"/>
        <v>64655</v>
      </c>
      <c r="Q22" s="237">
        <f t="shared" si="11"/>
        <v>195926</v>
      </c>
      <c r="R22" s="238"/>
      <c r="S22" s="9"/>
      <c r="U22" s="1"/>
      <c r="V22" s="1"/>
      <c r="W22" s="1"/>
      <c r="X22" s="1"/>
      <c r="Y22" s="1"/>
      <c r="Z22" s="1"/>
      <c r="AA22" s="1"/>
      <c r="AB22" s="1"/>
      <c r="AC22" s="1"/>
      <c r="AD22" s="1"/>
      <c r="AE22" s="1"/>
      <c r="AF22" s="1"/>
      <c r="AG22" s="1"/>
      <c r="AH22" s="1"/>
      <c r="AI22" s="1"/>
      <c r="AJ22" s="1"/>
      <c r="AK22" s="1"/>
      <c r="AL22" s="1"/>
      <c r="AM22" s="1"/>
    </row>
    <row r="23" spans="1:39" ht="21.95" customHeight="1" thickBot="1" x14ac:dyDescent="0.25">
      <c r="A23" s="267"/>
      <c r="B23" s="270" t="s">
        <v>35</v>
      </c>
      <c r="C23" s="270"/>
      <c r="D23" s="270"/>
      <c r="E23" s="270"/>
      <c r="F23" s="270"/>
      <c r="G23" s="270"/>
      <c r="H23" s="270"/>
      <c r="I23" s="270"/>
      <c r="J23" s="270"/>
      <c r="K23" s="270"/>
      <c r="L23" s="270"/>
      <c r="M23" s="237">
        <f>M22</f>
        <v>0</v>
      </c>
      <c r="N23" s="237">
        <f t="shared" ref="N23:Q23" si="12">N22</f>
        <v>66615</v>
      </c>
      <c r="O23" s="237">
        <f t="shared" si="12"/>
        <v>64656</v>
      </c>
      <c r="P23" s="237">
        <f t="shared" si="12"/>
        <v>64655</v>
      </c>
      <c r="Q23" s="237">
        <f t="shared" si="12"/>
        <v>195926</v>
      </c>
      <c r="R23" s="238"/>
      <c r="T23" s="10"/>
      <c r="AC23" s="11"/>
      <c r="AF23" s="12"/>
      <c r="AG23" s="13"/>
    </row>
    <row r="24" spans="1:39" ht="21.95" customHeight="1" thickBot="1" x14ac:dyDescent="0.25">
      <c r="A24" s="271" t="s">
        <v>36</v>
      </c>
      <c r="B24" s="272"/>
      <c r="C24" s="272"/>
      <c r="D24" s="272"/>
      <c r="E24" s="272"/>
      <c r="F24" s="272"/>
      <c r="G24" s="272"/>
      <c r="H24" s="272"/>
      <c r="I24" s="272"/>
      <c r="J24" s="272"/>
      <c r="K24" s="272"/>
      <c r="L24" s="273"/>
      <c r="M24" s="237">
        <f t="shared" ref="M24:Q24" si="13">M13+M23</f>
        <v>0</v>
      </c>
      <c r="N24" s="237">
        <f t="shared" si="13"/>
        <v>70203</v>
      </c>
      <c r="O24" s="237">
        <f t="shared" si="13"/>
        <v>68139</v>
      </c>
      <c r="P24" s="237">
        <f t="shared" si="13"/>
        <v>68136</v>
      </c>
      <c r="Q24" s="237">
        <f t="shared" si="13"/>
        <v>206478</v>
      </c>
      <c r="R24" s="238"/>
      <c r="U24" s="14"/>
      <c r="AC24" s="15"/>
      <c r="AM24" s="16"/>
    </row>
    <row r="25" spans="1:39" ht="21.95" customHeight="1" thickBot="1" x14ac:dyDescent="0.25">
      <c r="A25" s="265" t="s">
        <v>37</v>
      </c>
      <c r="B25" s="268" t="s">
        <v>38</v>
      </c>
      <c r="C25" s="268" t="s">
        <v>17</v>
      </c>
      <c r="D25" s="268">
        <v>62000</v>
      </c>
      <c r="E25" s="268">
        <v>10003</v>
      </c>
      <c r="F25" s="235">
        <v>10180</v>
      </c>
      <c r="G25" s="235" t="s">
        <v>126</v>
      </c>
      <c r="H25" s="235" t="s">
        <v>127</v>
      </c>
      <c r="I25" s="235" t="s">
        <v>39</v>
      </c>
      <c r="J25" s="236" t="s">
        <v>19</v>
      </c>
      <c r="K25" s="235">
        <v>71200</v>
      </c>
      <c r="L25" s="235" t="s">
        <v>19</v>
      </c>
      <c r="M25" s="237">
        <f t="shared" ref="M25:O32" si="14">ROUND(M$2*$Q25,0)</f>
        <v>0</v>
      </c>
      <c r="N25" s="237">
        <f t="shared" si="14"/>
        <v>0</v>
      </c>
      <c r="O25" s="237">
        <f t="shared" si="14"/>
        <v>0</v>
      </c>
      <c r="P25" s="237">
        <f t="shared" ref="P25:P32" si="15">Q25-SUM(M25:O25)</f>
        <v>0</v>
      </c>
      <c r="Q25" s="237">
        <f t="shared" ref="Q25:Q32" si="16">ROUND($V$6*S25,0)</f>
        <v>0</v>
      </c>
      <c r="R25" s="238">
        <v>2</v>
      </c>
      <c r="S25" s="9">
        <f t="shared" ref="S25:S33" si="17">VLOOKUP(K25, rpacoreratio, 4, FALSE)*VLOOKUP(K25, rpacoreratio, 8, FALSE)</f>
        <v>0</v>
      </c>
    </row>
    <row r="26" spans="1:39" ht="21.95" customHeight="1" thickBot="1" x14ac:dyDescent="0.25">
      <c r="A26" s="266"/>
      <c r="B26" s="268"/>
      <c r="C26" s="268"/>
      <c r="D26" s="268"/>
      <c r="E26" s="268"/>
      <c r="F26" s="235">
        <v>10180</v>
      </c>
      <c r="G26" s="235" t="s">
        <v>126</v>
      </c>
      <c r="H26" s="235" t="s">
        <v>127</v>
      </c>
      <c r="I26" s="235" t="s">
        <v>39</v>
      </c>
      <c r="J26" s="236" t="s">
        <v>20</v>
      </c>
      <c r="K26" s="235">
        <v>71300</v>
      </c>
      <c r="L26" s="235" t="s">
        <v>20</v>
      </c>
      <c r="M26" s="237">
        <f t="shared" si="14"/>
        <v>0</v>
      </c>
      <c r="N26" s="237">
        <f t="shared" si="14"/>
        <v>188</v>
      </c>
      <c r="O26" s="237">
        <f t="shared" si="14"/>
        <v>182</v>
      </c>
      <c r="P26" s="237">
        <f t="shared" si="15"/>
        <v>183</v>
      </c>
      <c r="Q26" s="237">
        <f t="shared" si="16"/>
        <v>553</v>
      </c>
      <c r="R26" s="238">
        <v>3</v>
      </c>
      <c r="S26" s="9">
        <f t="shared" si="17"/>
        <v>1.1051829782922407E-2</v>
      </c>
    </row>
    <row r="27" spans="1:39" ht="21.95" customHeight="1" thickBot="1" x14ac:dyDescent="0.25">
      <c r="A27" s="266"/>
      <c r="B27" s="268"/>
      <c r="C27" s="268"/>
      <c r="D27" s="268"/>
      <c r="E27" s="268"/>
      <c r="F27" s="235">
        <v>10180</v>
      </c>
      <c r="G27" s="235" t="s">
        <v>126</v>
      </c>
      <c r="H27" s="235" t="s">
        <v>127</v>
      </c>
      <c r="I27" s="235" t="s">
        <v>39</v>
      </c>
      <c r="J27" s="236" t="s">
        <v>21</v>
      </c>
      <c r="K27" s="235">
        <v>71400</v>
      </c>
      <c r="L27" s="235" t="s">
        <v>22</v>
      </c>
      <c r="M27" s="237">
        <f t="shared" si="14"/>
        <v>0</v>
      </c>
      <c r="N27" s="237">
        <f t="shared" si="14"/>
        <v>2878</v>
      </c>
      <c r="O27" s="237">
        <f t="shared" si="14"/>
        <v>2793</v>
      </c>
      <c r="P27" s="237">
        <f t="shared" si="15"/>
        <v>2793</v>
      </c>
      <c r="Q27" s="237">
        <f t="shared" si="16"/>
        <v>8464</v>
      </c>
      <c r="R27" s="238">
        <v>5</v>
      </c>
      <c r="S27" s="9">
        <f t="shared" si="17"/>
        <v>0.16928576997853712</v>
      </c>
    </row>
    <row r="28" spans="1:39" ht="21.95" customHeight="1" thickBot="1" x14ac:dyDescent="0.25">
      <c r="A28" s="266"/>
      <c r="B28" s="268"/>
      <c r="C28" s="268"/>
      <c r="D28" s="268"/>
      <c r="E28" s="268"/>
      <c r="F28" s="235">
        <v>10180</v>
      </c>
      <c r="G28" s="235" t="s">
        <v>126</v>
      </c>
      <c r="H28" s="235" t="s">
        <v>127</v>
      </c>
      <c r="I28" s="235" t="s">
        <v>39</v>
      </c>
      <c r="J28" s="236" t="s">
        <v>23</v>
      </c>
      <c r="K28" s="235">
        <v>71600</v>
      </c>
      <c r="L28" s="235" t="s">
        <v>23</v>
      </c>
      <c r="M28" s="237">
        <f t="shared" si="14"/>
        <v>0</v>
      </c>
      <c r="N28" s="237">
        <f t="shared" si="14"/>
        <v>139</v>
      </c>
      <c r="O28" s="237">
        <f t="shared" si="14"/>
        <v>135</v>
      </c>
      <c r="P28" s="237">
        <f t="shared" si="15"/>
        <v>136</v>
      </c>
      <c r="Q28" s="237">
        <f t="shared" si="16"/>
        <v>410</v>
      </c>
      <c r="R28" s="238">
        <v>7</v>
      </c>
      <c r="S28" s="9">
        <f t="shared" si="17"/>
        <v>8.2070752783677953E-3</v>
      </c>
    </row>
    <row r="29" spans="1:39" ht="21.95" customHeight="1" thickBot="1" x14ac:dyDescent="0.25">
      <c r="A29" s="266"/>
      <c r="B29" s="268"/>
      <c r="C29" s="268"/>
      <c r="D29" s="268"/>
      <c r="E29" s="268"/>
      <c r="F29" s="235">
        <v>10180</v>
      </c>
      <c r="G29" s="235" t="s">
        <v>126</v>
      </c>
      <c r="H29" s="235" t="s">
        <v>127</v>
      </c>
      <c r="I29" s="235" t="s">
        <v>39</v>
      </c>
      <c r="J29" s="235" t="s">
        <v>24</v>
      </c>
      <c r="K29" s="235">
        <v>72500</v>
      </c>
      <c r="L29" s="235" t="s">
        <v>25</v>
      </c>
      <c r="M29" s="237">
        <f t="shared" si="14"/>
        <v>0</v>
      </c>
      <c r="N29" s="237">
        <f t="shared" si="14"/>
        <v>12</v>
      </c>
      <c r="O29" s="237">
        <f t="shared" si="14"/>
        <v>12</v>
      </c>
      <c r="P29" s="237">
        <f t="shared" si="15"/>
        <v>11</v>
      </c>
      <c r="Q29" s="237">
        <f t="shared" si="16"/>
        <v>35</v>
      </c>
      <c r="R29" s="238">
        <v>10</v>
      </c>
      <c r="S29" s="9">
        <f t="shared" si="17"/>
        <v>6.9784685471373947E-4</v>
      </c>
    </row>
    <row r="30" spans="1:39" ht="21.95" customHeight="1" thickBot="1" x14ac:dyDescent="0.25">
      <c r="A30" s="266"/>
      <c r="B30" s="268"/>
      <c r="C30" s="268"/>
      <c r="D30" s="268"/>
      <c r="E30" s="268"/>
      <c r="F30" s="235">
        <v>10180</v>
      </c>
      <c r="G30" s="235" t="s">
        <v>126</v>
      </c>
      <c r="H30" s="235" t="s">
        <v>127</v>
      </c>
      <c r="I30" s="235" t="s">
        <v>39</v>
      </c>
      <c r="J30" s="236" t="s">
        <v>26</v>
      </c>
      <c r="K30" s="235">
        <v>75700</v>
      </c>
      <c r="L30" s="235" t="s">
        <v>27</v>
      </c>
      <c r="M30" s="237">
        <f t="shared" si="14"/>
        <v>0</v>
      </c>
      <c r="N30" s="237">
        <f t="shared" si="14"/>
        <v>60</v>
      </c>
      <c r="O30" s="237">
        <f t="shared" si="14"/>
        <v>58</v>
      </c>
      <c r="P30" s="237">
        <f t="shared" si="15"/>
        <v>59</v>
      </c>
      <c r="Q30" s="237">
        <f t="shared" si="16"/>
        <v>177</v>
      </c>
      <c r="R30" s="238">
        <v>6</v>
      </c>
      <c r="S30" s="9">
        <f t="shared" si="17"/>
        <v>3.5324633912159568E-3</v>
      </c>
    </row>
    <row r="31" spans="1:39" ht="21.95" customHeight="1" thickBot="1" x14ac:dyDescent="0.25">
      <c r="A31" s="266"/>
      <c r="B31" s="268"/>
      <c r="C31" s="268"/>
      <c r="D31" s="268"/>
      <c r="E31" s="268"/>
      <c r="F31" s="235">
        <v>10180</v>
      </c>
      <c r="G31" s="235" t="s">
        <v>126</v>
      </c>
      <c r="H31" s="235" t="s">
        <v>127</v>
      </c>
      <c r="I31" s="235" t="s">
        <v>39</v>
      </c>
      <c r="J31" s="236" t="s">
        <v>28</v>
      </c>
      <c r="K31" s="235">
        <v>61200</v>
      </c>
      <c r="L31" s="235" t="s">
        <v>29</v>
      </c>
      <c r="M31" s="237">
        <f t="shared" si="14"/>
        <v>0</v>
      </c>
      <c r="N31" s="237">
        <f t="shared" si="14"/>
        <v>0</v>
      </c>
      <c r="O31" s="237">
        <f t="shared" si="14"/>
        <v>0</v>
      </c>
      <c r="P31" s="237">
        <f t="shared" si="15"/>
        <v>0</v>
      </c>
      <c r="Q31" s="237">
        <f t="shared" si="16"/>
        <v>0</v>
      </c>
      <c r="R31" s="238">
        <v>4</v>
      </c>
      <c r="S31" s="9">
        <f t="shared" si="17"/>
        <v>0</v>
      </c>
    </row>
    <row r="32" spans="1:39" ht="21.95" customHeight="1" thickBot="1" x14ac:dyDescent="0.25">
      <c r="A32" s="266"/>
      <c r="B32" s="268"/>
      <c r="C32" s="268"/>
      <c r="D32" s="268"/>
      <c r="E32" s="268"/>
      <c r="F32" s="235">
        <v>10180</v>
      </c>
      <c r="G32" s="235" t="s">
        <v>126</v>
      </c>
      <c r="H32" s="235" t="s">
        <v>127</v>
      </c>
      <c r="I32" s="235" t="s">
        <v>39</v>
      </c>
      <c r="J32" s="236" t="s">
        <v>28</v>
      </c>
      <c r="K32" s="235">
        <v>61300</v>
      </c>
      <c r="L32" s="235" t="s">
        <v>30</v>
      </c>
      <c r="M32" s="237">
        <f t="shared" si="14"/>
        <v>0</v>
      </c>
      <c r="N32" s="237">
        <f t="shared" si="14"/>
        <v>0</v>
      </c>
      <c r="O32" s="237">
        <f t="shared" si="14"/>
        <v>0</v>
      </c>
      <c r="P32" s="237">
        <f t="shared" si="15"/>
        <v>0</v>
      </c>
      <c r="Q32" s="237">
        <f t="shared" si="16"/>
        <v>0</v>
      </c>
      <c r="R32" s="238">
        <v>4</v>
      </c>
      <c r="S32" s="9">
        <f t="shared" si="17"/>
        <v>0</v>
      </c>
    </row>
    <row r="33" spans="1:39" s="2" customFormat="1" ht="21.95" customHeight="1" thickBot="1" x14ac:dyDescent="0.25">
      <c r="A33" s="266"/>
      <c r="B33" s="268"/>
      <c r="C33" s="268"/>
      <c r="D33" s="268"/>
      <c r="E33" s="268"/>
      <c r="F33" s="235">
        <v>10180</v>
      </c>
      <c r="G33" s="235" t="s">
        <v>126</v>
      </c>
      <c r="H33" s="235" t="s">
        <v>127</v>
      </c>
      <c r="I33" s="235" t="s">
        <v>39</v>
      </c>
      <c r="J33" s="236" t="s">
        <v>40</v>
      </c>
      <c r="K33" s="235">
        <v>72600</v>
      </c>
      <c r="L33" s="235" t="s">
        <v>40</v>
      </c>
      <c r="M33" s="237">
        <f>ROUND(M$1*$Q33, 0)</f>
        <v>0</v>
      </c>
      <c r="N33" s="237">
        <f t="shared" ref="N33:O33" si="18">ROUND(N$1*$Q33, 0)</f>
        <v>182727</v>
      </c>
      <c r="O33" s="237">
        <f t="shared" si="18"/>
        <v>182727</v>
      </c>
      <c r="P33" s="237">
        <f>Q33-SUM(M33:O33)</f>
        <v>91364.18</v>
      </c>
      <c r="Q33" s="237">
        <f>V4</f>
        <v>456818.18</v>
      </c>
      <c r="R33" s="238">
        <v>1</v>
      </c>
      <c r="S33" s="9">
        <f t="shared" si="17"/>
        <v>0</v>
      </c>
      <c r="U33" s="1"/>
      <c r="V33" s="1"/>
      <c r="W33" s="1"/>
      <c r="X33" s="1"/>
      <c r="Y33" s="1"/>
      <c r="Z33" s="1"/>
      <c r="AA33" s="1"/>
      <c r="AB33" s="1"/>
      <c r="AC33" s="1"/>
      <c r="AD33" s="1"/>
      <c r="AE33" s="1"/>
      <c r="AF33" s="1"/>
      <c r="AG33" s="1"/>
      <c r="AH33" s="1"/>
      <c r="AI33" s="1"/>
      <c r="AJ33" s="1"/>
      <c r="AK33" s="1"/>
      <c r="AL33" s="1"/>
      <c r="AM33" s="1"/>
    </row>
    <row r="34" spans="1:39" s="2" customFormat="1" ht="21.95" customHeight="1" thickBot="1" x14ac:dyDescent="0.25">
      <c r="A34" s="266"/>
      <c r="B34" s="268"/>
      <c r="C34" s="269" t="s">
        <v>31</v>
      </c>
      <c r="D34" s="269"/>
      <c r="E34" s="269"/>
      <c r="F34" s="269"/>
      <c r="G34" s="269"/>
      <c r="H34" s="269"/>
      <c r="I34" s="269"/>
      <c r="J34" s="269"/>
      <c r="K34" s="269"/>
      <c r="L34" s="269"/>
      <c r="M34" s="237">
        <f>SUM(M25:M33)</f>
        <v>0</v>
      </c>
      <c r="N34" s="237">
        <f t="shared" ref="N34:Q34" si="19">SUM(N25:N33)</f>
        <v>186004</v>
      </c>
      <c r="O34" s="237">
        <f t="shared" si="19"/>
        <v>185907</v>
      </c>
      <c r="P34" s="237">
        <f t="shared" si="19"/>
        <v>94546.18</v>
      </c>
      <c r="Q34" s="237">
        <f t="shared" si="19"/>
        <v>466457.18</v>
      </c>
      <c r="R34" s="238"/>
      <c r="S34" s="9"/>
      <c r="U34" s="1"/>
      <c r="V34" s="1"/>
      <c r="W34" s="1"/>
      <c r="X34" s="1"/>
      <c r="Y34" s="1"/>
      <c r="Z34" s="1"/>
      <c r="AA34" s="1"/>
      <c r="AB34" s="1"/>
      <c r="AC34" s="1"/>
      <c r="AD34" s="1"/>
      <c r="AE34" s="1"/>
      <c r="AF34" s="1"/>
      <c r="AG34" s="1"/>
      <c r="AH34" s="1"/>
      <c r="AI34" s="1"/>
      <c r="AJ34" s="1"/>
      <c r="AK34" s="1"/>
      <c r="AL34" s="1"/>
      <c r="AM34" s="1"/>
    </row>
    <row r="35" spans="1:39" s="2" customFormat="1" ht="21.95" customHeight="1" thickBot="1" x14ac:dyDescent="0.25">
      <c r="A35" s="266"/>
      <c r="B35" s="269" t="s">
        <v>41</v>
      </c>
      <c r="C35" s="269"/>
      <c r="D35" s="269"/>
      <c r="E35" s="269"/>
      <c r="F35" s="269"/>
      <c r="G35" s="269"/>
      <c r="H35" s="269"/>
      <c r="I35" s="269"/>
      <c r="J35" s="269"/>
      <c r="K35" s="269"/>
      <c r="L35" s="269"/>
      <c r="M35" s="237">
        <f>M34</f>
        <v>0</v>
      </c>
      <c r="N35" s="237">
        <f t="shared" ref="N35:Q35" si="20">N34</f>
        <v>186004</v>
      </c>
      <c r="O35" s="237">
        <f t="shared" si="20"/>
        <v>185907</v>
      </c>
      <c r="P35" s="237">
        <f t="shared" si="20"/>
        <v>94546.18</v>
      </c>
      <c r="Q35" s="237">
        <f t="shared" si="20"/>
        <v>466457.18</v>
      </c>
      <c r="R35" s="238"/>
      <c r="S35" s="9"/>
      <c r="U35" s="1"/>
      <c r="V35" s="1"/>
      <c r="W35" s="1"/>
      <c r="X35" s="1"/>
      <c r="Y35" s="1"/>
      <c r="Z35" s="1"/>
      <c r="AA35" s="1"/>
      <c r="AB35" s="1"/>
      <c r="AC35" s="1"/>
      <c r="AD35" s="1"/>
      <c r="AE35" s="1"/>
      <c r="AF35" s="1"/>
      <c r="AG35" s="1"/>
      <c r="AH35" s="1"/>
      <c r="AI35" s="1"/>
      <c r="AJ35" s="1"/>
      <c r="AK35" s="1"/>
      <c r="AL35" s="1"/>
      <c r="AM35" s="1"/>
    </row>
    <row r="36" spans="1:39" s="2" customFormat="1" ht="21.95" customHeight="1" thickBot="1" x14ac:dyDescent="0.25">
      <c r="A36" s="266"/>
      <c r="B36" s="265" t="s">
        <v>42</v>
      </c>
      <c r="C36" s="265" t="s">
        <v>17</v>
      </c>
      <c r="D36" s="265">
        <v>62000</v>
      </c>
      <c r="E36" s="265">
        <v>10003</v>
      </c>
      <c r="F36" s="235">
        <v>10180</v>
      </c>
      <c r="G36" s="235" t="s">
        <v>126</v>
      </c>
      <c r="H36" s="235" t="s">
        <v>127</v>
      </c>
      <c r="I36" s="235" t="s">
        <v>43</v>
      </c>
      <c r="J36" s="236" t="s">
        <v>19</v>
      </c>
      <c r="K36" s="235">
        <v>71200</v>
      </c>
      <c r="L36" s="235" t="s">
        <v>19</v>
      </c>
      <c r="M36" s="237">
        <f t="shared" ref="M36:O43" si="21">ROUND(M$2*$Q36,0)</f>
        <v>0</v>
      </c>
      <c r="N36" s="237">
        <f t="shared" si="21"/>
        <v>0</v>
      </c>
      <c r="O36" s="237">
        <f t="shared" si="21"/>
        <v>0</v>
      </c>
      <c r="P36" s="237">
        <f t="shared" ref="P36:P43" si="22">Q36-SUM(M36:O36)</f>
        <v>0</v>
      </c>
      <c r="Q36" s="237">
        <f t="shared" ref="Q36:Q43" si="23">ROUND($V$7*S36,0)</f>
        <v>0</v>
      </c>
      <c r="R36" s="238">
        <v>2</v>
      </c>
      <c r="S36" s="9">
        <f t="shared" ref="S36:S44" si="24">VLOOKUP(K36, rpastarratio, 4, FALSE)*VLOOKUP(K36, rpastarratio, 8, FALSE)</f>
        <v>0</v>
      </c>
      <c r="U36" s="1"/>
      <c r="V36" s="1"/>
      <c r="W36" s="1"/>
      <c r="X36" s="1"/>
      <c r="Y36" s="1"/>
      <c r="Z36" s="1"/>
      <c r="AA36" s="1"/>
      <c r="AB36" s="1"/>
      <c r="AC36" s="1"/>
      <c r="AD36" s="1"/>
      <c r="AE36" s="1"/>
      <c r="AF36" s="1"/>
      <c r="AG36" s="1"/>
      <c r="AH36" s="1"/>
      <c r="AI36" s="1"/>
      <c r="AJ36" s="1"/>
      <c r="AK36" s="1"/>
      <c r="AL36" s="1"/>
      <c r="AM36" s="1"/>
    </row>
    <row r="37" spans="1:39" s="2" customFormat="1" ht="21.95" customHeight="1" thickBot="1" x14ac:dyDescent="0.25">
      <c r="A37" s="266"/>
      <c r="B37" s="266"/>
      <c r="C37" s="266"/>
      <c r="D37" s="266"/>
      <c r="E37" s="266"/>
      <c r="F37" s="235">
        <v>10180</v>
      </c>
      <c r="G37" s="235" t="s">
        <v>126</v>
      </c>
      <c r="H37" s="235" t="s">
        <v>127</v>
      </c>
      <c r="I37" s="235" t="s">
        <v>43</v>
      </c>
      <c r="J37" s="236" t="s">
        <v>20</v>
      </c>
      <c r="K37" s="235">
        <v>71300</v>
      </c>
      <c r="L37" s="235" t="s">
        <v>20</v>
      </c>
      <c r="M37" s="237">
        <f t="shared" si="21"/>
        <v>0</v>
      </c>
      <c r="N37" s="237">
        <f t="shared" si="21"/>
        <v>3488</v>
      </c>
      <c r="O37" s="237">
        <f t="shared" si="21"/>
        <v>3386</v>
      </c>
      <c r="P37" s="237">
        <f t="shared" si="22"/>
        <v>3386</v>
      </c>
      <c r="Q37" s="237">
        <f t="shared" si="23"/>
        <v>10260</v>
      </c>
      <c r="R37" s="238">
        <v>3</v>
      </c>
      <c r="S37" s="9">
        <f t="shared" si="24"/>
        <v>1.1051829782922401E-2</v>
      </c>
      <c r="U37" s="1"/>
      <c r="V37" s="1"/>
      <c r="W37" s="1"/>
      <c r="X37" s="1"/>
      <c r="Y37" s="1"/>
      <c r="Z37" s="1"/>
      <c r="AA37" s="1"/>
      <c r="AB37" s="1"/>
      <c r="AC37" s="1"/>
      <c r="AD37" s="1"/>
      <c r="AE37" s="1"/>
      <c r="AF37" s="1"/>
      <c r="AG37" s="1"/>
      <c r="AH37" s="1"/>
      <c r="AI37" s="1"/>
      <c r="AJ37" s="1"/>
      <c r="AK37" s="1"/>
      <c r="AL37" s="1"/>
      <c r="AM37" s="1"/>
    </row>
    <row r="38" spans="1:39" s="2" customFormat="1" ht="21.95" customHeight="1" thickBot="1" x14ac:dyDescent="0.25">
      <c r="A38" s="266"/>
      <c r="B38" s="266"/>
      <c r="C38" s="266"/>
      <c r="D38" s="266"/>
      <c r="E38" s="266"/>
      <c r="F38" s="235">
        <v>10180</v>
      </c>
      <c r="G38" s="235" t="s">
        <v>126</v>
      </c>
      <c r="H38" s="235" t="s">
        <v>127</v>
      </c>
      <c r="I38" s="235" t="s">
        <v>43</v>
      </c>
      <c r="J38" s="236" t="s">
        <v>21</v>
      </c>
      <c r="K38" s="235">
        <v>71400</v>
      </c>
      <c r="L38" s="235" t="s">
        <v>22</v>
      </c>
      <c r="M38" s="237">
        <f t="shared" si="21"/>
        <v>0</v>
      </c>
      <c r="N38" s="237">
        <f t="shared" si="21"/>
        <v>53431</v>
      </c>
      <c r="O38" s="237">
        <f t="shared" si="21"/>
        <v>51860</v>
      </c>
      <c r="P38" s="237">
        <f t="shared" si="22"/>
        <v>51859</v>
      </c>
      <c r="Q38" s="237">
        <f t="shared" si="23"/>
        <v>157150</v>
      </c>
      <c r="R38" s="238">
        <v>5</v>
      </c>
      <c r="S38" s="9">
        <f t="shared" si="24"/>
        <v>0.16928576997853703</v>
      </c>
      <c r="U38" s="1"/>
      <c r="V38" s="1"/>
      <c r="W38" s="1"/>
      <c r="X38" s="1"/>
      <c r="Y38" s="1"/>
      <c r="Z38" s="1"/>
      <c r="AA38" s="1"/>
      <c r="AB38" s="1"/>
      <c r="AC38" s="1"/>
      <c r="AD38" s="1"/>
      <c r="AE38" s="1"/>
      <c r="AF38" s="1"/>
      <c r="AG38" s="1"/>
      <c r="AH38" s="1"/>
      <c r="AI38" s="1"/>
      <c r="AJ38" s="1"/>
      <c r="AK38" s="1"/>
      <c r="AL38" s="1"/>
      <c r="AM38" s="1"/>
    </row>
    <row r="39" spans="1:39" s="2" customFormat="1" ht="21.95" customHeight="1" thickBot="1" x14ac:dyDescent="0.25">
      <c r="A39" s="266"/>
      <c r="B39" s="266"/>
      <c r="C39" s="266"/>
      <c r="D39" s="266"/>
      <c r="E39" s="266"/>
      <c r="F39" s="235">
        <v>10180</v>
      </c>
      <c r="G39" s="235" t="s">
        <v>126</v>
      </c>
      <c r="H39" s="235" t="s">
        <v>127</v>
      </c>
      <c r="I39" s="235" t="s">
        <v>43</v>
      </c>
      <c r="J39" s="236" t="s">
        <v>23</v>
      </c>
      <c r="K39" s="235">
        <v>71600</v>
      </c>
      <c r="L39" s="235" t="s">
        <v>23</v>
      </c>
      <c r="M39" s="237">
        <f t="shared" si="21"/>
        <v>0</v>
      </c>
      <c r="N39" s="237">
        <f t="shared" si="21"/>
        <v>2590</v>
      </c>
      <c r="O39" s="237">
        <f t="shared" si="21"/>
        <v>2514</v>
      </c>
      <c r="P39" s="237">
        <f t="shared" si="22"/>
        <v>2515</v>
      </c>
      <c r="Q39" s="237">
        <f t="shared" si="23"/>
        <v>7619</v>
      </c>
      <c r="R39" s="238">
        <v>7</v>
      </c>
      <c r="S39" s="9">
        <f t="shared" si="24"/>
        <v>8.2070752783677901E-3</v>
      </c>
      <c r="U39" s="1"/>
      <c r="V39" s="1"/>
      <c r="W39" s="1"/>
      <c r="X39" s="1"/>
      <c r="Y39" s="1"/>
      <c r="Z39" s="1"/>
      <c r="AA39" s="1"/>
      <c r="AB39" s="1"/>
      <c r="AC39" s="1"/>
      <c r="AD39" s="1"/>
      <c r="AE39" s="1"/>
      <c r="AF39" s="1"/>
      <c r="AG39" s="1"/>
      <c r="AH39" s="1"/>
      <c r="AI39" s="1"/>
      <c r="AJ39" s="1"/>
      <c r="AK39" s="1"/>
      <c r="AL39" s="1"/>
      <c r="AM39" s="1"/>
    </row>
    <row r="40" spans="1:39" s="2" customFormat="1" ht="21.95" customHeight="1" thickBot="1" x14ac:dyDescent="0.25">
      <c r="A40" s="266"/>
      <c r="B40" s="266"/>
      <c r="C40" s="266"/>
      <c r="D40" s="266"/>
      <c r="E40" s="266"/>
      <c r="F40" s="235">
        <v>10180</v>
      </c>
      <c r="G40" s="235" t="s">
        <v>126</v>
      </c>
      <c r="H40" s="235" t="s">
        <v>127</v>
      </c>
      <c r="I40" s="235" t="s">
        <v>43</v>
      </c>
      <c r="J40" s="235" t="s">
        <v>24</v>
      </c>
      <c r="K40" s="235">
        <v>72500</v>
      </c>
      <c r="L40" s="235" t="s">
        <v>25</v>
      </c>
      <c r="M40" s="237">
        <f t="shared" si="21"/>
        <v>0</v>
      </c>
      <c r="N40" s="237">
        <f t="shared" si="21"/>
        <v>220</v>
      </c>
      <c r="O40" s="237">
        <f t="shared" si="21"/>
        <v>214</v>
      </c>
      <c r="P40" s="237">
        <f t="shared" si="22"/>
        <v>214</v>
      </c>
      <c r="Q40" s="237">
        <f t="shared" si="23"/>
        <v>648</v>
      </c>
      <c r="R40" s="238">
        <v>10</v>
      </c>
      <c r="S40" s="9">
        <f t="shared" si="24"/>
        <v>6.9784685471373903E-4</v>
      </c>
      <c r="U40" s="1"/>
      <c r="V40" s="1"/>
      <c r="W40" s="1"/>
      <c r="X40" s="1"/>
      <c r="Y40" s="1"/>
      <c r="Z40" s="1"/>
      <c r="AA40" s="1"/>
      <c r="AB40" s="1"/>
      <c r="AC40" s="1"/>
      <c r="AD40" s="1"/>
      <c r="AE40" s="1"/>
      <c r="AF40" s="1"/>
      <c r="AG40" s="1"/>
      <c r="AH40" s="1"/>
      <c r="AI40" s="1"/>
      <c r="AJ40" s="1"/>
      <c r="AK40" s="1"/>
      <c r="AL40" s="1"/>
      <c r="AM40" s="1"/>
    </row>
    <row r="41" spans="1:39" ht="21.95" customHeight="1" thickBot="1" x14ac:dyDescent="0.25">
      <c r="A41" s="266"/>
      <c r="B41" s="266"/>
      <c r="C41" s="266"/>
      <c r="D41" s="266"/>
      <c r="E41" s="266"/>
      <c r="F41" s="235">
        <v>10180</v>
      </c>
      <c r="G41" s="235" t="s">
        <v>126</v>
      </c>
      <c r="H41" s="235" t="s">
        <v>127</v>
      </c>
      <c r="I41" s="235" t="s">
        <v>43</v>
      </c>
      <c r="J41" s="236" t="s">
        <v>26</v>
      </c>
      <c r="K41" s="235">
        <v>75700</v>
      </c>
      <c r="L41" s="235" t="s">
        <v>27</v>
      </c>
      <c r="M41" s="237">
        <f t="shared" si="21"/>
        <v>0</v>
      </c>
      <c r="N41" s="237">
        <f t="shared" si="21"/>
        <v>1115</v>
      </c>
      <c r="O41" s="237">
        <f t="shared" si="21"/>
        <v>1082</v>
      </c>
      <c r="P41" s="237">
        <f t="shared" si="22"/>
        <v>1082</v>
      </c>
      <c r="Q41" s="237">
        <f t="shared" si="23"/>
        <v>3279</v>
      </c>
      <c r="R41" s="238">
        <v>6</v>
      </c>
      <c r="S41" s="9">
        <f t="shared" si="24"/>
        <v>3.532463391215955E-3</v>
      </c>
    </row>
    <row r="42" spans="1:39" ht="21.95" customHeight="1" thickBot="1" x14ac:dyDescent="0.25">
      <c r="A42" s="266"/>
      <c r="B42" s="266"/>
      <c r="C42" s="266"/>
      <c r="D42" s="266"/>
      <c r="E42" s="266"/>
      <c r="F42" s="235">
        <v>10180</v>
      </c>
      <c r="G42" s="235" t="s">
        <v>126</v>
      </c>
      <c r="H42" s="235" t="s">
        <v>127</v>
      </c>
      <c r="I42" s="235" t="s">
        <v>43</v>
      </c>
      <c r="J42" s="236" t="s">
        <v>28</v>
      </c>
      <c r="K42" s="235">
        <v>61200</v>
      </c>
      <c r="L42" s="235" t="s">
        <v>29</v>
      </c>
      <c r="M42" s="237">
        <f t="shared" si="21"/>
        <v>0</v>
      </c>
      <c r="N42" s="237">
        <f t="shared" si="21"/>
        <v>0</v>
      </c>
      <c r="O42" s="237">
        <f t="shared" si="21"/>
        <v>0</v>
      </c>
      <c r="P42" s="237">
        <f t="shared" si="22"/>
        <v>0</v>
      </c>
      <c r="Q42" s="237">
        <f t="shared" si="23"/>
        <v>0</v>
      </c>
      <c r="R42" s="238">
        <v>4</v>
      </c>
      <c r="S42" s="9">
        <f t="shared" si="24"/>
        <v>0</v>
      </c>
    </row>
    <row r="43" spans="1:39" ht="21.95" customHeight="1" thickBot="1" x14ac:dyDescent="0.25">
      <c r="A43" s="266"/>
      <c r="B43" s="266"/>
      <c r="C43" s="266"/>
      <c r="D43" s="266"/>
      <c r="E43" s="266"/>
      <c r="F43" s="235">
        <v>10180</v>
      </c>
      <c r="G43" s="235" t="s">
        <v>126</v>
      </c>
      <c r="H43" s="235" t="s">
        <v>127</v>
      </c>
      <c r="I43" s="235" t="s">
        <v>43</v>
      </c>
      <c r="J43" s="236" t="s">
        <v>28</v>
      </c>
      <c r="K43" s="235">
        <v>61300</v>
      </c>
      <c r="L43" s="235" t="s">
        <v>30</v>
      </c>
      <c r="M43" s="237">
        <f t="shared" si="21"/>
        <v>0</v>
      </c>
      <c r="N43" s="237">
        <f t="shared" si="21"/>
        <v>0</v>
      </c>
      <c r="O43" s="237">
        <f t="shared" si="21"/>
        <v>0</v>
      </c>
      <c r="P43" s="237">
        <f t="shared" si="22"/>
        <v>0</v>
      </c>
      <c r="Q43" s="237">
        <f t="shared" si="23"/>
        <v>0</v>
      </c>
      <c r="R43" s="238">
        <v>4</v>
      </c>
      <c r="S43" s="9">
        <f t="shared" si="24"/>
        <v>0</v>
      </c>
    </row>
    <row r="44" spans="1:39" ht="21.95" customHeight="1" thickBot="1" x14ac:dyDescent="0.25">
      <c r="A44" s="266"/>
      <c r="B44" s="266"/>
      <c r="C44" s="267"/>
      <c r="D44" s="267"/>
      <c r="E44" s="267"/>
      <c r="F44" s="235">
        <v>10180</v>
      </c>
      <c r="G44" s="235" t="s">
        <v>126</v>
      </c>
      <c r="H44" s="235" t="s">
        <v>127</v>
      </c>
      <c r="I44" s="235" t="s">
        <v>43</v>
      </c>
      <c r="J44" s="236" t="s">
        <v>40</v>
      </c>
      <c r="K44" s="235">
        <v>72600</v>
      </c>
      <c r="L44" s="235" t="s">
        <v>40</v>
      </c>
      <c r="M44" s="237">
        <f>ROUND(M$1*$Q44,0)</f>
        <v>0</v>
      </c>
      <c r="N44" s="237">
        <f t="shared" ref="N44:O44" si="25">ROUND(N$1*$Q44,0)</f>
        <v>1072000</v>
      </c>
      <c r="O44" s="237">
        <f t="shared" si="25"/>
        <v>1072000</v>
      </c>
      <c r="P44" s="237">
        <f>Q44-SUM(M44:O44)</f>
        <v>536000</v>
      </c>
      <c r="Q44" s="237">
        <f>ROUND(V5,0)</f>
        <v>2680000</v>
      </c>
      <c r="R44" s="238">
        <v>1</v>
      </c>
      <c r="S44" s="9">
        <f t="shared" si="24"/>
        <v>0</v>
      </c>
    </row>
    <row r="45" spans="1:39" ht="21.95" customHeight="1" thickBot="1" x14ac:dyDescent="0.25">
      <c r="A45" s="266"/>
      <c r="B45" s="266"/>
      <c r="C45" s="270" t="s">
        <v>31</v>
      </c>
      <c r="D45" s="270"/>
      <c r="E45" s="270"/>
      <c r="F45" s="270"/>
      <c r="G45" s="270"/>
      <c r="H45" s="270"/>
      <c r="I45" s="270"/>
      <c r="J45" s="270"/>
      <c r="K45" s="270"/>
      <c r="L45" s="270"/>
      <c r="M45" s="237">
        <f>SUM(M36:M44)</f>
        <v>0</v>
      </c>
      <c r="N45" s="237">
        <f t="shared" ref="N45:Q45" si="26">SUM(N36:N44)</f>
        <v>1132844</v>
      </c>
      <c r="O45" s="237">
        <f t="shared" si="26"/>
        <v>1131056</v>
      </c>
      <c r="P45" s="237">
        <f t="shared" si="26"/>
        <v>595056</v>
      </c>
      <c r="Q45" s="237">
        <f t="shared" si="26"/>
        <v>2858956</v>
      </c>
      <c r="R45" s="238"/>
      <c r="S45" s="9"/>
    </row>
    <row r="46" spans="1:39" ht="21.95" customHeight="1" thickBot="1" x14ac:dyDescent="0.25">
      <c r="A46" s="267"/>
      <c r="B46" s="270" t="s">
        <v>44</v>
      </c>
      <c r="C46" s="270"/>
      <c r="D46" s="270"/>
      <c r="E46" s="270"/>
      <c r="F46" s="270"/>
      <c r="G46" s="270"/>
      <c r="H46" s="270"/>
      <c r="I46" s="270"/>
      <c r="J46" s="270"/>
      <c r="K46" s="270"/>
      <c r="L46" s="270"/>
      <c r="M46" s="237">
        <f>M45</f>
        <v>0</v>
      </c>
      <c r="N46" s="237">
        <f t="shared" ref="N46:Q46" si="27">N45</f>
        <v>1132844</v>
      </c>
      <c r="O46" s="237">
        <f t="shared" si="27"/>
        <v>1131056</v>
      </c>
      <c r="P46" s="237">
        <f t="shared" si="27"/>
        <v>595056</v>
      </c>
      <c r="Q46" s="237">
        <f t="shared" si="27"/>
        <v>2858956</v>
      </c>
      <c r="R46" s="238"/>
      <c r="T46" s="10"/>
      <c r="AC46" s="11"/>
      <c r="AF46" s="12"/>
      <c r="AG46" s="13"/>
    </row>
    <row r="47" spans="1:39" ht="21.95" customHeight="1" thickBot="1" x14ac:dyDescent="0.25">
      <c r="A47" s="271" t="s">
        <v>45</v>
      </c>
      <c r="B47" s="272"/>
      <c r="C47" s="272"/>
      <c r="D47" s="272"/>
      <c r="E47" s="272"/>
      <c r="F47" s="272"/>
      <c r="G47" s="272"/>
      <c r="H47" s="272"/>
      <c r="I47" s="272"/>
      <c r="J47" s="272"/>
      <c r="K47" s="272"/>
      <c r="L47" s="273"/>
      <c r="M47" s="237">
        <f t="shared" ref="M47:Q47" si="28">M35+M46</f>
        <v>0</v>
      </c>
      <c r="N47" s="237">
        <f t="shared" si="28"/>
        <v>1318848</v>
      </c>
      <c r="O47" s="237">
        <f t="shared" si="28"/>
        <v>1316963</v>
      </c>
      <c r="P47" s="237">
        <f t="shared" si="28"/>
        <v>689602.17999999993</v>
      </c>
      <c r="Q47" s="237">
        <f t="shared" si="28"/>
        <v>3325413.18</v>
      </c>
      <c r="R47" s="238"/>
      <c r="U47" s="14"/>
      <c r="AC47" s="15"/>
      <c r="AM47" s="16"/>
    </row>
    <row r="48" spans="1:39" s="2" customFormat="1" ht="21.95" customHeight="1" thickBot="1" x14ac:dyDescent="0.25">
      <c r="A48" s="265" t="s">
        <v>46</v>
      </c>
      <c r="B48" s="268" t="s">
        <v>47</v>
      </c>
      <c r="C48" s="268" t="s">
        <v>17</v>
      </c>
      <c r="D48" s="268">
        <v>62000</v>
      </c>
      <c r="E48" s="268">
        <v>10003</v>
      </c>
      <c r="F48" s="235">
        <v>10180</v>
      </c>
      <c r="G48" s="235" t="s">
        <v>126</v>
      </c>
      <c r="H48" s="235" t="s">
        <v>127</v>
      </c>
      <c r="I48" s="235" t="s">
        <v>48</v>
      </c>
      <c r="J48" s="236" t="s">
        <v>19</v>
      </c>
      <c r="K48" s="235">
        <v>71200</v>
      </c>
      <c r="L48" s="235" t="s">
        <v>19</v>
      </c>
      <c r="M48" s="237">
        <f t="shared" ref="M48:O56" si="29">ROUND(M$2*$Q48,0)</f>
        <v>0</v>
      </c>
      <c r="N48" s="237">
        <f t="shared" si="29"/>
        <v>0</v>
      </c>
      <c r="O48" s="237">
        <f t="shared" si="29"/>
        <v>0</v>
      </c>
      <c r="P48" s="237">
        <f t="shared" ref="P48:P56" si="30">Q48-SUM(M48:O48)</f>
        <v>0</v>
      </c>
      <c r="Q48" s="237">
        <f t="shared" ref="Q48:Q56" si="31">ROUND($V$6*S48,0)</f>
        <v>0</v>
      </c>
      <c r="R48" s="238">
        <v>2</v>
      </c>
      <c r="S48" s="9">
        <f t="shared" ref="S48:S56" si="32">VLOOKUP(K48, rpacoreratio, 5, FALSE)*VLOOKUP(K48, rpacoreratio, 8, FALSE)</f>
        <v>0</v>
      </c>
      <c r="U48" s="1"/>
      <c r="V48" s="1"/>
      <c r="W48" s="1"/>
      <c r="X48" s="1"/>
      <c r="Y48" s="1"/>
      <c r="Z48" s="1"/>
      <c r="AA48" s="1"/>
      <c r="AB48" s="1"/>
      <c r="AC48" s="1"/>
      <c r="AD48" s="1"/>
      <c r="AE48" s="1"/>
      <c r="AF48" s="1"/>
      <c r="AG48" s="1"/>
      <c r="AH48" s="1"/>
      <c r="AI48" s="1"/>
      <c r="AJ48" s="1"/>
      <c r="AK48" s="1"/>
      <c r="AL48" s="1"/>
      <c r="AM48" s="1"/>
    </row>
    <row r="49" spans="1:39" s="2" customFormat="1" ht="21.95" customHeight="1" thickBot="1" x14ac:dyDescent="0.25">
      <c r="A49" s="266"/>
      <c r="B49" s="268"/>
      <c r="C49" s="268"/>
      <c r="D49" s="268"/>
      <c r="E49" s="268"/>
      <c r="F49" s="235">
        <v>10180</v>
      </c>
      <c r="G49" s="235" t="s">
        <v>126</v>
      </c>
      <c r="H49" s="235" t="s">
        <v>127</v>
      </c>
      <c r="I49" s="235" t="s">
        <v>48</v>
      </c>
      <c r="J49" s="236" t="s">
        <v>20</v>
      </c>
      <c r="K49" s="235">
        <v>71300</v>
      </c>
      <c r="L49" s="235" t="s">
        <v>20</v>
      </c>
      <c r="M49" s="237">
        <f t="shared" si="29"/>
        <v>0</v>
      </c>
      <c r="N49" s="237">
        <f t="shared" si="29"/>
        <v>104</v>
      </c>
      <c r="O49" s="237">
        <f t="shared" si="29"/>
        <v>101</v>
      </c>
      <c r="P49" s="237">
        <f t="shared" si="30"/>
        <v>101</v>
      </c>
      <c r="Q49" s="237">
        <f t="shared" si="31"/>
        <v>306</v>
      </c>
      <c r="R49" s="238">
        <v>3</v>
      </c>
      <c r="S49" s="9">
        <f t="shared" si="32"/>
        <v>6.1210093879457608E-3</v>
      </c>
      <c r="U49" s="1"/>
      <c r="V49" s="1"/>
      <c r="W49" s="1"/>
      <c r="X49" s="1"/>
      <c r="Y49" s="1"/>
      <c r="Z49" s="1"/>
      <c r="AA49" s="1"/>
      <c r="AB49" s="1"/>
      <c r="AC49" s="1"/>
      <c r="AD49" s="1"/>
      <c r="AE49" s="1"/>
      <c r="AF49" s="1"/>
      <c r="AG49" s="1"/>
      <c r="AH49" s="1"/>
      <c r="AI49" s="1"/>
      <c r="AJ49" s="1"/>
      <c r="AK49" s="1"/>
      <c r="AL49" s="1"/>
      <c r="AM49" s="1"/>
    </row>
    <row r="50" spans="1:39" s="2" customFormat="1" ht="21.95" customHeight="1" thickBot="1" x14ac:dyDescent="0.25">
      <c r="A50" s="266"/>
      <c r="B50" s="268"/>
      <c r="C50" s="268"/>
      <c r="D50" s="268"/>
      <c r="E50" s="268"/>
      <c r="F50" s="235">
        <v>10180</v>
      </c>
      <c r="G50" s="235" t="s">
        <v>126</v>
      </c>
      <c r="H50" s="235" t="s">
        <v>127</v>
      </c>
      <c r="I50" s="235" t="s">
        <v>48</v>
      </c>
      <c r="J50" s="236" t="s">
        <v>21</v>
      </c>
      <c r="K50" s="235">
        <v>71400</v>
      </c>
      <c r="L50" s="235" t="s">
        <v>22</v>
      </c>
      <c r="M50" s="237">
        <f t="shared" si="29"/>
        <v>0</v>
      </c>
      <c r="N50" s="237">
        <f t="shared" si="29"/>
        <v>1567</v>
      </c>
      <c r="O50" s="237">
        <f t="shared" si="29"/>
        <v>1521</v>
      </c>
      <c r="P50" s="237">
        <f t="shared" si="30"/>
        <v>1521</v>
      </c>
      <c r="Q50" s="237">
        <f t="shared" si="31"/>
        <v>4609</v>
      </c>
      <c r="R50" s="238">
        <v>5</v>
      </c>
      <c r="S50" s="9">
        <f t="shared" si="32"/>
        <v>9.2177594545789457E-2</v>
      </c>
      <c r="U50" s="1"/>
      <c r="V50" s="1"/>
      <c r="W50" s="1"/>
      <c r="X50" s="1"/>
      <c r="Y50" s="1"/>
      <c r="Z50" s="1"/>
      <c r="AA50" s="1"/>
      <c r="AB50" s="1"/>
      <c r="AC50" s="1"/>
      <c r="AD50" s="1"/>
      <c r="AE50" s="1"/>
      <c r="AF50" s="1"/>
      <c r="AG50" s="1"/>
      <c r="AH50" s="1"/>
      <c r="AI50" s="1"/>
      <c r="AJ50" s="1"/>
      <c r="AK50" s="1"/>
      <c r="AL50" s="1"/>
      <c r="AM50" s="1"/>
    </row>
    <row r="51" spans="1:39" s="2" customFormat="1" ht="21.95" customHeight="1" thickBot="1" x14ac:dyDescent="0.25">
      <c r="A51" s="266"/>
      <c r="B51" s="268"/>
      <c r="C51" s="268"/>
      <c r="D51" s="268"/>
      <c r="E51" s="268"/>
      <c r="F51" s="235">
        <v>10180</v>
      </c>
      <c r="G51" s="235" t="s">
        <v>126</v>
      </c>
      <c r="H51" s="235" t="s">
        <v>127</v>
      </c>
      <c r="I51" s="235" t="s">
        <v>48</v>
      </c>
      <c r="J51" s="236" t="s">
        <v>23</v>
      </c>
      <c r="K51" s="235">
        <v>71600</v>
      </c>
      <c r="L51" s="235" t="s">
        <v>23</v>
      </c>
      <c r="M51" s="237">
        <f t="shared" si="29"/>
        <v>0</v>
      </c>
      <c r="N51" s="237">
        <f t="shared" si="29"/>
        <v>301</v>
      </c>
      <c r="O51" s="237">
        <f t="shared" si="29"/>
        <v>292</v>
      </c>
      <c r="P51" s="237">
        <f t="shared" si="30"/>
        <v>291</v>
      </c>
      <c r="Q51" s="237">
        <f t="shared" si="31"/>
        <v>884</v>
      </c>
      <c r="R51" s="238">
        <v>7</v>
      </c>
      <c r="S51" s="9">
        <f t="shared" si="32"/>
        <v>1.768655089038422E-2</v>
      </c>
      <c r="U51" s="1"/>
      <c r="V51" s="1"/>
      <c r="W51" s="1"/>
      <c r="X51" s="1"/>
      <c r="Y51" s="1"/>
      <c r="Z51" s="1"/>
      <c r="AA51" s="1"/>
      <c r="AB51" s="1"/>
      <c r="AC51" s="1"/>
      <c r="AD51" s="1"/>
      <c r="AE51" s="1"/>
      <c r="AF51" s="1"/>
      <c r="AG51" s="1"/>
      <c r="AH51" s="1"/>
      <c r="AI51" s="1"/>
      <c r="AJ51" s="1"/>
      <c r="AK51" s="1"/>
      <c r="AL51" s="1"/>
      <c r="AM51" s="1"/>
    </row>
    <row r="52" spans="1:39" s="2" customFormat="1" ht="21.95" customHeight="1" thickBot="1" x14ac:dyDescent="0.25">
      <c r="A52" s="266"/>
      <c r="B52" s="268"/>
      <c r="C52" s="268"/>
      <c r="D52" s="268"/>
      <c r="E52" s="268"/>
      <c r="F52" s="235">
        <v>10180</v>
      </c>
      <c r="G52" s="235" t="s">
        <v>126</v>
      </c>
      <c r="H52" s="235" t="s">
        <v>127</v>
      </c>
      <c r="I52" s="235" t="s">
        <v>48</v>
      </c>
      <c r="J52" s="236" t="s">
        <v>24</v>
      </c>
      <c r="K52" s="235">
        <v>72500</v>
      </c>
      <c r="L52" s="235" t="s">
        <v>25</v>
      </c>
      <c r="M52" s="237">
        <f t="shared" si="29"/>
        <v>0</v>
      </c>
      <c r="N52" s="237">
        <f t="shared" si="29"/>
        <v>6</v>
      </c>
      <c r="O52" s="237">
        <f t="shared" si="29"/>
        <v>6</v>
      </c>
      <c r="P52" s="237">
        <f t="shared" si="30"/>
        <v>7</v>
      </c>
      <c r="Q52" s="237">
        <f t="shared" si="31"/>
        <v>19</v>
      </c>
      <c r="R52" s="238">
        <v>10</v>
      </c>
      <c r="S52" s="9">
        <f t="shared" si="32"/>
        <v>3.8649921662828888E-4</v>
      </c>
      <c r="U52" s="1"/>
      <c r="V52" s="1"/>
      <c r="W52" s="1"/>
      <c r="X52" s="1"/>
      <c r="Y52" s="1"/>
      <c r="Z52" s="1"/>
      <c r="AA52" s="1"/>
      <c r="AB52" s="1"/>
      <c r="AC52" s="1"/>
      <c r="AD52" s="1"/>
      <c r="AE52" s="1"/>
      <c r="AF52" s="1"/>
      <c r="AG52" s="1"/>
      <c r="AH52" s="1"/>
      <c r="AI52" s="1"/>
      <c r="AJ52" s="1"/>
      <c r="AK52" s="1"/>
      <c r="AL52" s="1"/>
      <c r="AM52" s="1"/>
    </row>
    <row r="53" spans="1:39" s="2" customFormat="1" ht="21.95" customHeight="1" thickBot="1" x14ac:dyDescent="0.25">
      <c r="A53" s="266"/>
      <c r="B53" s="268"/>
      <c r="C53" s="268"/>
      <c r="D53" s="268"/>
      <c r="E53" s="268"/>
      <c r="F53" s="235">
        <v>10180</v>
      </c>
      <c r="G53" s="235" t="s">
        <v>126</v>
      </c>
      <c r="H53" s="235" t="s">
        <v>127</v>
      </c>
      <c r="I53" s="235" t="s">
        <v>48</v>
      </c>
      <c r="J53" s="236" t="s">
        <v>23</v>
      </c>
      <c r="K53" s="235">
        <v>74500</v>
      </c>
      <c r="L53" s="235" t="s">
        <v>49</v>
      </c>
      <c r="M53" s="237">
        <f t="shared" si="29"/>
        <v>0</v>
      </c>
      <c r="N53" s="237">
        <f t="shared" si="29"/>
        <v>7</v>
      </c>
      <c r="O53" s="237">
        <f t="shared" si="29"/>
        <v>7</v>
      </c>
      <c r="P53" s="237">
        <f t="shared" si="30"/>
        <v>6</v>
      </c>
      <c r="Q53" s="237">
        <f t="shared" si="31"/>
        <v>20</v>
      </c>
      <c r="R53" s="238">
        <v>11</v>
      </c>
      <c r="S53" s="9">
        <f t="shared" si="32"/>
        <v>4.0236622493648098E-4</v>
      </c>
      <c r="U53" s="1"/>
      <c r="V53" s="1"/>
      <c r="W53" s="1"/>
      <c r="X53" s="1"/>
      <c r="Y53" s="1"/>
      <c r="Z53" s="1"/>
      <c r="AA53" s="1"/>
      <c r="AB53" s="1"/>
      <c r="AC53" s="1"/>
      <c r="AD53" s="1"/>
      <c r="AE53" s="1"/>
      <c r="AF53" s="1"/>
      <c r="AG53" s="1"/>
      <c r="AH53" s="1"/>
      <c r="AI53" s="1"/>
      <c r="AJ53" s="1"/>
      <c r="AK53" s="1"/>
      <c r="AL53" s="1"/>
      <c r="AM53" s="1"/>
    </row>
    <row r="54" spans="1:39" s="2" customFormat="1" ht="21.95" customHeight="1" thickBot="1" x14ac:dyDescent="0.25">
      <c r="A54" s="266"/>
      <c r="B54" s="268"/>
      <c r="C54" s="268"/>
      <c r="D54" s="268"/>
      <c r="E54" s="268"/>
      <c r="F54" s="235">
        <v>10180</v>
      </c>
      <c r="G54" s="235" t="s">
        <v>126</v>
      </c>
      <c r="H54" s="235" t="s">
        <v>127</v>
      </c>
      <c r="I54" s="235" t="s">
        <v>48</v>
      </c>
      <c r="J54" s="236" t="s">
        <v>26</v>
      </c>
      <c r="K54" s="235">
        <v>75700</v>
      </c>
      <c r="L54" s="235" t="s">
        <v>27</v>
      </c>
      <c r="M54" s="237">
        <f t="shared" si="29"/>
        <v>0</v>
      </c>
      <c r="N54" s="237">
        <f t="shared" si="29"/>
        <v>33</v>
      </c>
      <c r="O54" s="237">
        <f t="shared" si="29"/>
        <v>32</v>
      </c>
      <c r="P54" s="237">
        <f t="shared" si="30"/>
        <v>33</v>
      </c>
      <c r="Q54" s="237">
        <f t="shared" si="31"/>
        <v>98</v>
      </c>
      <c r="R54" s="238">
        <v>6</v>
      </c>
      <c r="S54" s="9">
        <f t="shared" si="32"/>
        <v>1.9564285065991694E-3</v>
      </c>
      <c r="U54" s="1"/>
      <c r="V54" s="1"/>
      <c r="W54" s="1"/>
      <c r="X54" s="1"/>
      <c r="Y54" s="1"/>
      <c r="Z54" s="1"/>
      <c r="AA54" s="1"/>
      <c r="AB54" s="1"/>
      <c r="AC54" s="1"/>
      <c r="AD54" s="1"/>
      <c r="AE54" s="1"/>
      <c r="AF54" s="1"/>
      <c r="AG54" s="1"/>
      <c r="AH54" s="1"/>
      <c r="AI54" s="1"/>
      <c r="AJ54" s="1"/>
      <c r="AK54" s="1"/>
      <c r="AL54" s="1"/>
      <c r="AM54" s="1"/>
    </row>
    <row r="55" spans="1:39" s="2" customFormat="1" ht="21.95" customHeight="1" thickBot="1" x14ac:dyDescent="0.25">
      <c r="A55" s="266"/>
      <c r="B55" s="268"/>
      <c r="C55" s="268"/>
      <c r="D55" s="268"/>
      <c r="E55" s="268"/>
      <c r="F55" s="235">
        <v>10180</v>
      </c>
      <c r="G55" s="235" t="s">
        <v>126</v>
      </c>
      <c r="H55" s="235" t="s">
        <v>127</v>
      </c>
      <c r="I55" s="235" t="s">
        <v>48</v>
      </c>
      <c r="J55" s="236" t="s">
        <v>28</v>
      </c>
      <c r="K55" s="235">
        <v>61200</v>
      </c>
      <c r="L55" s="235" t="s">
        <v>29</v>
      </c>
      <c r="M55" s="237">
        <f t="shared" si="29"/>
        <v>0</v>
      </c>
      <c r="N55" s="237">
        <f t="shared" si="29"/>
        <v>0</v>
      </c>
      <c r="O55" s="237">
        <f t="shared" si="29"/>
        <v>0</v>
      </c>
      <c r="P55" s="237">
        <f t="shared" si="30"/>
        <v>0</v>
      </c>
      <c r="Q55" s="237">
        <f t="shared" si="31"/>
        <v>0</v>
      </c>
      <c r="R55" s="238">
        <v>4</v>
      </c>
      <c r="S55" s="9">
        <f t="shared" si="32"/>
        <v>0</v>
      </c>
      <c r="U55" s="1"/>
      <c r="V55" s="1"/>
      <c r="W55" s="1"/>
      <c r="X55" s="1"/>
      <c r="Y55" s="1"/>
      <c r="Z55" s="1"/>
      <c r="AA55" s="1"/>
      <c r="AB55" s="1"/>
      <c r="AC55" s="1"/>
      <c r="AD55" s="1"/>
      <c r="AE55" s="1"/>
      <c r="AF55" s="1"/>
      <c r="AG55" s="1"/>
      <c r="AH55" s="1"/>
      <c r="AI55" s="1"/>
      <c r="AJ55" s="1"/>
      <c r="AK55" s="1"/>
      <c r="AL55" s="1"/>
      <c r="AM55" s="1"/>
    </row>
    <row r="56" spans="1:39" s="2" customFormat="1" ht="21.95" customHeight="1" thickBot="1" x14ac:dyDescent="0.25">
      <c r="A56" s="266"/>
      <c r="B56" s="268"/>
      <c r="C56" s="268"/>
      <c r="D56" s="268"/>
      <c r="E56" s="268"/>
      <c r="F56" s="235">
        <v>10180</v>
      </c>
      <c r="G56" s="235" t="s">
        <v>126</v>
      </c>
      <c r="H56" s="235" t="s">
        <v>127</v>
      </c>
      <c r="I56" s="235" t="s">
        <v>48</v>
      </c>
      <c r="J56" s="236" t="s">
        <v>28</v>
      </c>
      <c r="K56" s="235">
        <v>61300</v>
      </c>
      <c r="L56" s="235" t="s">
        <v>30</v>
      </c>
      <c r="M56" s="237">
        <f t="shared" si="29"/>
        <v>0</v>
      </c>
      <c r="N56" s="237">
        <f t="shared" si="29"/>
        <v>0</v>
      </c>
      <c r="O56" s="237">
        <f t="shared" si="29"/>
        <v>0</v>
      </c>
      <c r="P56" s="237">
        <f t="shared" si="30"/>
        <v>0</v>
      </c>
      <c r="Q56" s="237">
        <f t="shared" si="31"/>
        <v>0</v>
      </c>
      <c r="R56" s="238">
        <v>4</v>
      </c>
      <c r="S56" s="9">
        <f t="shared" si="32"/>
        <v>0</v>
      </c>
      <c r="U56" s="1"/>
      <c r="V56" s="1"/>
      <c r="W56" s="1"/>
      <c r="X56" s="1"/>
      <c r="Y56" s="1"/>
      <c r="Z56" s="1"/>
      <c r="AA56" s="1"/>
      <c r="AB56" s="1"/>
      <c r="AC56" s="1"/>
      <c r="AD56" s="1"/>
      <c r="AE56" s="1"/>
      <c r="AF56" s="1"/>
      <c r="AG56" s="1"/>
      <c r="AH56" s="1"/>
      <c r="AI56" s="1"/>
      <c r="AJ56" s="1"/>
      <c r="AK56" s="1"/>
      <c r="AL56" s="1"/>
      <c r="AM56" s="1"/>
    </row>
    <row r="57" spans="1:39" s="2" customFormat="1" ht="21.95" customHeight="1" thickBot="1" x14ac:dyDescent="0.25">
      <c r="A57" s="266"/>
      <c r="B57" s="268"/>
      <c r="C57" s="269" t="s">
        <v>31</v>
      </c>
      <c r="D57" s="269"/>
      <c r="E57" s="269"/>
      <c r="F57" s="269"/>
      <c r="G57" s="269"/>
      <c r="H57" s="269"/>
      <c r="I57" s="269"/>
      <c r="J57" s="269"/>
      <c r="K57" s="269"/>
      <c r="L57" s="269"/>
      <c r="M57" s="237">
        <f>SUM(M48:M56)</f>
        <v>0</v>
      </c>
      <c r="N57" s="237">
        <f t="shared" ref="N57:Q57" si="33">SUM(N48:N56)</f>
        <v>2018</v>
      </c>
      <c r="O57" s="237">
        <f t="shared" si="33"/>
        <v>1959</v>
      </c>
      <c r="P57" s="237">
        <f t="shared" si="33"/>
        <v>1959</v>
      </c>
      <c r="Q57" s="237">
        <f t="shared" si="33"/>
        <v>5936</v>
      </c>
      <c r="R57" s="238"/>
      <c r="S57" s="9"/>
      <c r="U57" s="1"/>
      <c r="V57" s="1"/>
      <c r="W57" s="1"/>
      <c r="X57" s="1"/>
      <c r="Y57" s="1"/>
      <c r="Z57" s="1"/>
      <c r="AA57" s="1"/>
      <c r="AB57" s="1"/>
      <c r="AC57" s="1"/>
      <c r="AD57" s="1"/>
      <c r="AE57" s="1"/>
      <c r="AF57" s="1"/>
      <c r="AG57" s="1"/>
      <c r="AH57" s="1"/>
      <c r="AI57" s="1"/>
      <c r="AJ57" s="1"/>
      <c r="AK57" s="1"/>
      <c r="AL57" s="1"/>
      <c r="AM57" s="1"/>
    </row>
    <row r="58" spans="1:39" s="2" customFormat="1" ht="21.95" customHeight="1" thickBot="1" x14ac:dyDescent="0.25">
      <c r="A58" s="266"/>
      <c r="B58" s="269" t="s">
        <v>50</v>
      </c>
      <c r="C58" s="269"/>
      <c r="D58" s="269"/>
      <c r="E58" s="269"/>
      <c r="F58" s="269"/>
      <c r="G58" s="269"/>
      <c r="H58" s="269"/>
      <c r="I58" s="269"/>
      <c r="J58" s="269"/>
      <c r="K58" s="269"/>
      <c r="L58" s="269"/>
      <c r="M58" s="237">
        <f>M57</f>
        <v>0</v>
      </c>
      <c r="N58" s="237">
        <f t="shared" ref="N58:Q58" si="34">N57</f>
        <v>2018</v>
      </c>
      <c r="O58" s="237">
        <f t="shared" si="34"/>
        <v>1959</v>
      </c>
      <c r="P58" s="237">
        <f t="shared" si="34"/>
        <v>1959</v>
      </c>
      <c r="Q58" s="237">
        <f t="shared" si="34"/>
        <v>5936</v>
      </c>
      <c r="R58" s="238"/>
      <c r="S58" s="9"/>
      <c r="U58" s="1"/>
      <c r="V58" s="1"/>
      <c r="W58" s="1"/>
      <c r="X58" s="1"/>
      <c r="Y58" s="1"/>
      <c r="Z58" s="1"/>
      <c r="AA58" s="1"/>
      <c r="AB58" s="1"/>
      <c r="AC58" s="1"/>
      <c r="AD58" s="1"/>
      <c r="AE58" s="1"/>
      <c r="AF58" s="1"/>
      <c r="AG58" s="1"/>
      <c r="AH58" s="1"/>
      <c r="AI58" s="1"/>
      <c r="AJ58" s="1"/>
      <c r="AK58" s="1"/>
      <c r="AL58" s="1"/>
      <c r="AM58" s="1"/>
    </row>
    <row r="59" spans="1:39" s="2" customFormat="1" ht="21.95" customHeight="1" thickBot="1" x14ac:dyDescent="0.25">
      <c r="A59" s="266"/>
      <c r="B59" s="265" t="s">
        <v>51</v>
      </c>
      <c r="C59" s="265" t="s">
        <v>17</v>
      </c>
      <c r="D59" s="265">
        <v>62000</v>
      </c>
      <c r="E59" s="265">
        <v>10003</v>
      </c>
      <c r="F59" s="235">
        <v>10180</v>
      </c>
      <c r="G59" s="235" t="s">
        <v>126</v>
      </c>
      <c r="H59" s="235" t="s">
        <v>127</v>
      </c>
      <c r="I59" s="235" t="s">
        <v>52</v>
      </c>
      <c r="J59" s="236" t="s">
        <v>19</v>
      </c>
      <c r="K59" s="235">
        <v>71200</v>
      </c>
      <c r="L59" s="235" t="s">
        <v>19</v>
      </c>
      <c r="M59" s="237">
        <f t="shared" ref="M59:O66" si="35">ROUND(M$2*$Q59,0)</f>
        <v>0</v>
      </c>
      <c r="N59" s="237">
        <f t="shared" si="35"/>
        <v>0</v>
      </c>
      <c r="O59" s="237">
        <f t="shared" si="35"/>
        <v>0</v>
      </c>
      <c r="P59" s="237">
        <f t="shared" ref="P59:P67" si="36">Q59-SUM(M59:O59)</f>
        <v>0</v>
      </c>
      <c r="Q59" s="237">
        <f t="shared" ref="Q59:Q67" si="37">ROUND($V$7*S59,0)</f>
        <v>0</v>
      </c>
      <c r="R59" s="238">
        <v>2</v>
      </c>
      <c r="S59" s="9">
        <f t="shared" ref="S59:S67" si="38">VLOOKUP(K59, rpastarratio, 5, FALSE)*VLOOKUP(K59, rpastarratio, 8, FALSE)</f>
        <v>0</v>
      </c>
      <c r="U59" s="1"/>
      <c r="V59" s="1"/>
      <c r="W59" s="1"/>
      <c r="X59" s="1"/>
      <c r="Y59" s="1"/>
      <c r="Z59" s="1"/>
      <c r="AA59" s="1"/>
      <c r="AB59" s="1"/>
      <c r="AC59" s="1"/>
      <c r="AD59" s="1"/>
      <c r="AE59" s="1"/>
      <c r="AF59" s="1"/>
      <c r="AG59" s="1"/>
      <c r="AH59" s="1"/>
      <c r="AI59" s="1"/>
      <c r="AJ59" s="1"/>
      <c r="AK59" s="1"/>
      <c r="AL59" s="1"/>
      <c r="AM59" s="1"/>
    </row>
    <row r="60" spans="1:39" s="2" customFormat="1" ht="21.95" customHeight="1" thickBot="1" x14ac:dyDescent="0.25">
      <c r="A60" s="266"/>
      <c r="B60" s="266"/>
      <c r="C60" s="266"/>
      <c r="D60" s="266"/>
      <c r="E60" s="266"/>
      <c r="F60" s="235">
        <v>10180</v>
      </c>
      <c r="G60" s="235" t="s">
        <v>126</v>
      </c>
      <c r="H60" s="235" t="s">
        <v>127</v>
      </c>
      <c r="I60" s="235" t="s">
        <v>52</v>
      </c>
      <c r="J60" s="236" t="s">
        <v>20</v>
      </c>
      <c r="K60" s="235">
        <v>71300</v>
      </c>
      <c r="L60" s="235" t="s">
        <v>20</v>
      </c>
      <c r="M60" s="237">
        <f t="shared" si="35"/>
        <v>0</v>
      </c>
      <c r="N60" s="237">
        <f t="shared" si="35"/>
        <v>1932</v>
      </c>
      <c r="O60" s="237">
        <f t="shared" si="35"/>
        <v>1875</v>
      </c>
      <c r="P60" s="237">
        <f t="shared" si="36"/>
        <v>1875</v>
      </c>
      <c r="Q60" s="237">
        <f t="shared" si="37"/>
        <v>5682</v>
      </c>
      <c r="R60" s="238">
        <v>3</v>
      </c>
      <c r="S60" s="9">
        <f t="shared" si="38"/>
        <v>6.1210093879457573E-3</v>
      </c>
      <c r="U60" s="1"/>
      <c r="V60" s="1"/>
      <c r="W60" s="1"/>
      <c r="X60" s="1"/>
      <c r="Y60" s="1"/>
      <c r="Z60" s="1"/>
      <c r="AA60" s="1"/>
      <c r="AB60" s="1"/>
      <c r="AC60" s="1"/>
      <c r="AD60" s="1"/>
      <c r="AE60" s="1"/>
      <c r="AF60" s="1"/>
      <c r="AG60" s="1"/>
      <c r="AH60" s="1"/>
      <c r="AI60" s="1"/>
      <c r="AJ60" s="1"/>
      <c r="AK60" s="1"/>
      <c r="AL60" s="1"/>
      <c r="AM60" s="1"/>
    </row>
    <row r="61" spans="1:39" s="2" customFormat="1" ht="21.95" customHeight="1" thickBot="1" x14ac:dyDescent="0.25">
      <c r="A61" s="266"/>
      <c r="B61" s="266"/>
      <c r="C61" s="266"/>
      <c r="D61" s="266"/>
      <c r="E61" s="266"/>
      <c r="F61" s="235">
        <v>10180</v>
      </c>
      <c r="G61" s="235" t="s">
        <v>126</v>
      </c>
      <c r="H61" s="235" t="s">
        <v>127</v>
      </c>
      <c r="I61" s="235" t="s">
        <v>52</v>
      </c>
      <c r="J61" s="236" t="s">
        <v>21</v>
      </c>
      <c r="K61" s="235">
        <v>71400</v>
      </c>
      <c r="L61" s="235" t="s">
        <v>22</v>
      </c>
      <c r="M61" s="237">
        <f t="shared" si="35"/>
        <v>0</v>
      </c>
      <c r="N61" s="237">
        <f t="shared" si="35"/>
        <v>29093</v>
      </c>
      <c r="O61" s="237">
        <f t="shared" si="35"/>
        <v>28238</v>
      </c>
      <c r="P61" s="237">
        <f t="shared" si="36"/>
        <v>28238</v>
      </c>
      <c r="Q61" s="237">
        <f t="shared" si="37"/>
        <v>85569</v>
      </c>
      <c r="R61" s="238">
        <v>5</v>
      </c>
      <c r="S61" s="9">
        <f t="shared" si="38"/>
        <v>9.2177594545789415E-2</v>
      </c>
      <c r="U61" s="1"/>
      <c r="V61" s="1"/>
      <c r="W61" s="1"/>
      <c r="X61" s="1"/>
      <c r="Y61" s="1"/>
      <c r="Z61" s="1"/>
      <c r="AA61" s="1"/>
      <c r="AB61" s="1"/>
      <c r="AC61" s="1"/>
      <c r="AD61" s="1"/>
      <c r="AE61" s="1"/>
      <c r="AF61" s="1"/>
      <c r="AG61" s="1"/>
      <c r="AH61" s="1"/>
      <c r="AI61" s="1"/>
      <c r="AJ61" s="1"/>
      <c r="AK61" s="1"/>
      <c r="AL61" s="1"/>
      <c r="AM61" s="1"/>
    </row>
    <row r="62" spans="1:39" s="2" customFormat="1" ht="21.95" customHeight="1" thickBot="1" x14ac:dyDescent="0.25">
      <c r="A62" s="266"/>
      <c r="B62" s="266"/>
      <c r="C62" s="266"/>
      <c r="D62" s="266"/>
      <c r="E62" s="266"/>
      <c r="F62" s="235">
        <v>10180</v>
      </c>
      <c r="G62" s="235" t="s">
        <v>126</v>
      </c>
      <c r="H62" s="235" t="s">
        <v>127</v>
      </c>
      <c r="I62" s="235" t="s">
        <v>52</v>
      </c>
      <c r="J62" s="236" t="s">
        <v>23</v>
      </c>
      <c r="K62" s="235">
        <v>71600</v>
      </c>
      <c r="L62" s="235" t="s">
        <v>23</v>
      </c>
      <c r="M62" s="237">
        <f t="shared" si="35"/>
        <v>0</v>
      </c>
      <c r="N62" s="237">
        <f t="shared" si="35"/>
        <v>5582</v>
      </c>
      <c r="O62" s="237">
        <f t="shared" si="35"/>
        <v>5418</v>
      </c>
      <c r="P62" s="237">
        <f t="shared" si="36"/>
        <v>5419</v>
      </c>
      <c r="Q62" s="237">
        <f t="shared" si="37"/>
        <v>16419</v>
      </c>
      <c r="R62" s="238">
        <v>7</v>
      </c>
      <c r="S62" s="9">
        <f t="shared" si="38"/>
        <v>1.768655089038421E-2</v>
      </c>
      <c r="U62" s="1"/>
      <c r="V62" s="1"/>
      <c r="W62" s="1"/>
      <c r="X62" s="1"/>
      <c r="Y62" s="1"/>
      <c r="Z62" s="1"/>
      <c r="AA62" s="1"/>
      <c r="AB62" s="1"/>
      <c r="AC62" s="1"/>
      <c r="AD62" s="1"/>
      <c r="AE62" s="1"/>
      <c r="AF62" s="1"/>
      <c r="AG62" s="1"/>
      <c r="AH62" s="1"/>
      <c r="AI62" s="1"/>
      <c r="AJ62" s="1"/>
      <c r="AK62" s="1"/>
      <c r="AL62" s="1"/>
      <c r="AM62" s="1"/>
    </row>
    <row r="63" spans="1:39" s="2" customFormat="1" ht="21.95" customHeight="1" thickBot="1" x14ac:dyDescent="0.25">
      <c r="A63" s="266"/>
      <c r="B63" s="266"/>
      <c r="C63" s="266"/>
      <c r="D63" s="266"/>
      <c r="E63" s="266"/>
      <c r="F63" s="235">
        <v>10180</v>
      </c>
      <c r="G63" s="235" t="s">
        <v>126</v>
      </c>
      <c r="H63" s="235" t="s">
        <v>127</v>
      </c>
      <c r="I63" s="235" t="s">
        <v>52</v>
      </c>
      <c r="J63" s="236" t="s">
        <v>24</v>
      </c>
      <c r="K63" s="235">
        <v>72500</v>
      </c>
      <c r="L63" s="235" t="s">
        <v>25</v>
      </c>
      <c r="M63" s="237">
        <f t="shared" si="35"/>
        <v>0</v>
      </c>
      <c r="N63" s="237">
        <f t="shared" si="35"/>
        <v>122</v>
      </c>
      <c r="O63" s="237">
        <f t="shared" si="35"/>
        <v>118</v>
      </c>
      <c r="P63" s="237">
        <f t="shared" si="36"/>
        <v>119</v>
      </c>
      <c r="Q63" s="237">
        <f t="shared" si="37"/>
        <v>359</v>
      </c>
      <c r="R63" s="238">
        <v>10</v>
      </c>
      <c r="S63" s="9">
        <f t="shared" si="38"/>
        <v>3.8649921662828871E-4</v>
      </c>
      <c r="U63" s="1"/>
      <c r="V63" s="1"/>
      <c r="W63" s="1"/>
      <c r="X63" s="1"/>
      <c r="Y63" s="1"/>
      <c r="Z63" s="1"/>
      <c r="AA63" s="1"/>
      <c r="AB63" s="1"/>
      <c r="AC63" s="1"/>
      <c r="AD63" s="1"/>
      <c r="AE63" s="1"/>
      <c r="AF63" s="1"/>
      <c r="AG63" s="1"/>
      <c r="AH63" s="1"/>
      <c r="AI63" s="1"/>
      <c r="AJ63" s="1"/>
      <c r="AK63" s="1"/>
      <c r="AL63" s="1"/>
      <c r="AM63" s="1"/>
    </row>
    <row r="64" spans="1:39" s="2" customFormat="1" ht="21.95" customHeight="1" thickBot="1" x14ac:dyDescent="0.25">
      <c r="A64" s="266"/>
      <c r="B64" s="266"/>
      <c r="C64" s="266"/>
      <c r="D64" s="266"/>
      <c r="E64" s="266"/>
      <c r="F64" s="235">
        <v>10180</v>
      </c>
      <c r="G64" s="235" t="s">
        <v>126</v>
      </c>
      <c r="H64" s="235" t="s">
        <v>127</v>
      </c>
      <c r="I64" s="235" t="s">
        <v>52</v>
      </c>
      <c r="J64" s="236" t="s">
        <v>23</v>
      </c>
      <c r="K64" s="235">
        <v>74500</v>
      </c>
      <c r="L64" s="235" t="s">
        <v>49</v>
      </c>
      <c r="M64" s="237">
        <f t="shared" si="35"/>
        <v>0</v>
      </c>
      <c r="N64" s="237">
        <f t="shared" si="35"/>
        <v>127</v>
      </c>
      <c r="O64" s="237">
        <f t="shared" si="35"/>
        <v>123</v>
      </c>
      <c r="P64" s="237">
        <f t="shared" si="36"/>
        <v>124</v>
      </c>
      <c r="Q64" s="237">
        <f t="shared" si="37"/>
        <v>374</v>
      </c>
      <c r="R64" s="238">
        <v>11</v>
      </c>
      <c r="S64" s="9">
        <f t="shared" si="38"/>
        <v>4.0236622493648077E-4</v>
      </c>
      <c r="U64" s="1"/>
      <c r="V64" s="1"/>
      <c r="W64" s="1"/>
      <c r="X64" s="1"/>
      <c r="Y64" s="1"/>
      <c r="Z64" s="1"/>
      <c r="AA64" s="1"/>
      <c r="AB64" s="1"/>
      <c r="AC64" s="1"/>
      <c r="AD64" s="1"/>
      <c r="AE64" s="1"/>
      <c r="AF64" s="1"/>
      <c r="AG64" s="1"/>
      <c r="AH64" s="1"/>
      <c r="AI64" s="1"/>
      <c r="AJ64" s="1"/>
      <c r="AK64" s="1"/>
      <c r="AL64" s="1"/>
      <c r="AM64" s="1"/>
    </row>
    <row r="65" spans="1:39" s="2" customFormat="1" ht="21.95" customHeight="1" thickBot="1" x14ac:dyDescent="0.25">
      <c r="A65" s="266"/>
      <c r="B65" s="266"/>
      <c r="C65" s="266"/>
      <c r="D65" s="266"/>
      <c r="E65" s="266"/>
      <c r="F65" s="235">
        <v>10180</v>
      </c>
      <c r="G65" s="235" t="s">
        <v>126</v>
      </c>
      <c r="H65" s="235" t="s">
        <v>127</v>
      </c>
      <c r="I65" s="235" t="s">
        <v>52</v>
      </c>
      <c r="J65" s="236" t="s">
        <v>26</v>
      </c>
      <c r="K65" s="235">
        <v>75700</v>
      </c>
      <c r="L65" s="235" t="s">
        <v>27</v>
      </c>
      <c r="M65" s="237">
        <f t="shared" si="35"/>
        <v>0</v>
      </c>
      <c r="N65" s="237">
        <f t="shared" si="35"/>
        <v>617</v>
      </c>
      <c r="O65" s="237">
        <f t="shared" si="35"/>
        <v>599</v>
      </c>
      <c r="P65" s="237">
        <f t="shared" si="36"/>
        <v>600</v>
      </c>
      <c r="Q65" s="237">
        <f t="shared" si="37"/>
        <v>1816</v>
      </c>
      <c r="R65" s="238">
        <v>6</v>
      </c>
      <c r="S65" s="9">
        <f t="shared" si="38"/>
        <v>1.9564285065991681E-3</v>
      </c>
      <c r="U65" s="1"/>
      <c r="V65" s="1"/>
      <c r="W65" s="1"/>
      <c r="X65" s="1"/>
      <c r="Y65" s="1"/>
      <c r="Z65" s="1"/>
      <c r="AA65" s="1"/>
      <c r="AB65" s="1"/>
      <c r="AC65" s="1"/>
      <c r="AD65" s="1"/>
      <c r="AE65" s="1"/>
      <c r="AF65" s="1"/>
      <c r="AG65" s="1"/>
      <c r="AH65" s="1"/>
      <c r="AI65" s="1"/>
      <c r="AJ65" s="1"/>
      <c r="AK65" s="1"/>
      <c r="AL65" s="1"/>
      <c r="AM65" s="1"/>
    </row>
    <row r="66" spans="1:39" s="2" customFormat="1" ht="21.95" customHeight="1" thickBot="1" x14ac:dyDescent="0.25">
      <c r="A66" s="266"/>
      <c r="B66" s="266"/>
      <c r="C66" s="266"/>
      <c r="D66" s="266"/>
      <c r="E66" s="266"/>
      <c r="F66" s="235">
        <v>10180</v>
      </c>
      <c r="G66" s="235" t="s">
        <v>126</v>
      </c>
      <c r="H66" s="235" t="s">
        <v>127</v>
      </c>
      <c r="I66" s="235" t="s">
        <v>52</v>
      </c>
      <c r="J66" s="236" t="s">
        <v>28</v>
      </c>
      <c r="K66" s="235">
        <v>61200</v>
      </c>
      <c r="L66" s="235" t="s">
        <v>29</v>
      </c>
      <c r="M66" s="237">
        <f t="shared" si="35"/>
        <v>0</v>
      </c>
      <c r="N66" s="237">
        <f t="shared" si="35"/>
        <v>0</v>
      </c>
      <c r="O66" s="237">
        <f t="shared" si="35"/>
        <v>0</v>
      </c>
      <c r="P66" s="237">
        <f t="shared" si="36"/>
        <v>0</v>
      </c>
      <c r="Q66" s="237">
        <f t="shared" si="37"/>
        <v>0</v>
      </c>
      <c r="R66" s="238">
        <v>4</v>
      </c>
      <c r="S66" s="9">
        <f t="shared" si="38"/>
        <v>0</v>
      </c>
      <c r="U66" s="1"/>
      <c r="V66" s="1"/>
      <c r="W66" s="1"/>
      <c r="X66" s="1"/>
      <c r="Y66" s="1"/>
      <c r="Z66" s="1"/>
      <c r="AA66" s="1"/>
      <c r="AB66" s="1"/>
      <c r="AC66" s="1"/>
      <c r="AD66" s="1"/>
      <c r="AE66" s="1"/>
      <c r="AF66" s="1"/>
      <c r="AG66" s="1"/>
      <c r="AH66" s="1"/>
      <c r="AI66" s="1"/>
      <c r="AJ66" s="1"/>
      <c r="AK66" s="1"/>
      <c r="AL66" s="1"/>
      <c r="AM66" s="1"/>
    </row>
    <row r="67" spans="1:39" s="2" customFormat="1" ht="21.95" customHeight="1" thickBot="1" x14ac:dyDescent="0.25">
      <c r="A67" s="266"/>
      <c r="B67" s="266"/>
      <c r="C67" s="267"/>
      <c r="D67" s="267"/>
      <c r="E67" s="267"/>
      <c r="F67" s="235">
        <v>10180</v>
      </c>
      <c r="G67" s="235" t="s">
        <v>126</v>
      </c>
      <c r="H67" s="235" t="s">
        <v>127</v>
      </c>
      <c r="I67" s="235" t="s">
        <v>52</v>
      </c>
      <c r="J67" s="236" t="s">
        <v>28</v>
      </c>
      <c r="K67" s="235">
        <v>61300</v>
      </c>
      <c r="L67" s="235" t="s">
        <v>30</v>
      </c>
      <c r="M67" s="237">
        <f t="shared" ref="M67:O67" si="39">M$2*$Q67</f>
        <v>0</v>
      </c>
      <c r="N67" s="237">
        <f t="shared" si="39"/>
        <v>0</v>
      </c>
      <c r="O67" s="237">
        <f t="shared" si="39"/>
        <v>0</v>
      </c>
      <c r="P67" s="237">
        <f t="shared" si="36"/>
        <v>0</v>
      </c>
      <c r="Q67" s="237">
        <f t="shared" si="37"/>
        <v>0</v>
      </c>
      <c r="R67" s="238">
        <v>4</v>
      </c>
      <c r="S67" s="9">
        <f t="shared" si="38"/>
        <v>0</v>
      </c>
      <c r="U67" s="1"/>
      <c r="V67" s="1"/>
      <c r="W67" s="1"/>
      <c r="X67" s="1"/>
      <c r="Y67" s="1"/>
      <c r="Z67" s="1"/>
      <c r="AA67" s="1"/>
      <c r="AB67" s="1"/>
      <c r="AC67" s="1"/>
      <c r="AD67" s="1"/>
      <c r="AE67" s="1"/>
      <c r="AF67" s="1"/>
      <c r="AG67" s="1"/>
      <c r="AH67" s="1"/>
      <c r="AI67" s="1"/>
      <c r="AJ67" s="1"/>
      <c r="AK67" s="1"/>
      <c r="AL67" s="1"/>
      <c r="AM67" s="1"/>
    </row>
    <row r="68" spans="1:39" s="2" customFormat="1" ht="21.95" customHeight="1" thickBot="1" x14ac:dyDescent="0.25">
      <c r="A68" s="266"/>
      <c r="B68" s="266"/>
      <c r="C68" s="270" t="s">
        <v>31</v>
      </c>
      <c r="D68" s="270"/>
      <c r="E68" s="270"/>
      <c r="F68" s="270"/>
      <c r="G68" s="270"/>
      <c r="H68" s="270"/>
      <c r="I68" s="270"/>
      <c r="J68" s="270"/>
      <c r="K68" s="270"/>
      <c r="L68" s="270"/>
      <c r="M68" s="237">
        <f>SUM(M59:M67)</f>
        <v>0</v>
      </c>
      <c r="N68" s="237">
        <f t="shared" ref="N68:Q68" si="40">SUM(N59:N67)</f>
        <v>37473</v>
      </c>
      <c r="O68" s="237">
        <f t="shared" si="40"/>
        <v>36371</v>
      </c>
      <c r="P68" s="237">
        <f t="shared" si="40"/>
        <v>36375</v>
      </c>
      <c r="Q68" s="237">
        <f t="shared" si="40"/>
        <v>110219</v>
      </c>
      <c r="R68" s="238"/>
      <c r="S68" s="9"/>
      <c r="U68" s="1"/>
      <c r="V68" s="1"/>
      <c r="W68" s="1"/>
      <c r="X68" s="1"/>
      <c r="Y68" s="1"/>
      <c r="Z68" s="1"/>
      <c r="AA68" s="1"/>
      <c r="AB68" s="1"/>
      <c r="AC68" s="1"/>
      <c r="AD68" s="1"/>
      <c r="AE68" s="1"/>
      <c r="AF68" s="1"/>
      <c r="AG68" s="1"/>
      <c r="AH68" s="1"/>
      <c r="AI68" s="1"/>
      <c r="AJ68" s="1"/>
      <c r="AK68" s="1"/>
      <c r="AL68" s="1"/>
      <c r="AM68" s="1"/>
    </row>
    <row r="69" spans="1:39" ht="21.95" customHeight="1" thickBot="1" x14ac:dyDescent="0.25">
      <c r="A69" s="267"/>
      <c r="B69" s="270" t="s">
        <v>53</v>
      </c>
      <c r="C69" s="270"/>
      <c r="D69" s="270"/>
      <c r="E69" s="270"/>
      <c r="F69" s="270"/>
      <c r="G69" s="270"/>
      <c r="H69" s="270"/>
      <c r="I69" s="270"/>
      <c r="J69" s="270"/>
      <c r="K69" s="270"/>
      <c r="L69" s="270"/>
      <c r="M69" s="237">
        <f>M68</f>
        <v>0</v>
      </c>
      <c r="N69" s="237">
        <f t="shared" ref="N69:Q69" si="41">N68</f>
        <v>37473</v>
      </c>
      <c r="O69" s="237">
        <f t="shared" si="41"/>
        <v>36371</v>
      </c>
      <c r="P69" s="237">
        <f t="shared" si="41"/>
        <v>36375</v>
      </c>
      <c r="Q69" s="237">
        <f t="shared" si="41"/>
        <v>110219</v>
      </c>
      <c r="R69" s="238"/>
      <c r="T69" s="10"/>
      <c r="AC69" s="11"/>
      <c r="AF69" s="12"/>
      <c r="AG69" s="13"/>
    </row>
    <row r="70" spans="1:39" ht="21.95" customHeight="1" thickBot="1" x14ac:dyDescent="0.25">
      <c r="A70" s="271" t="s">
        <v>54</v>
      </c>
      <c r="B70" s="272"/>
      <c r="C70" s="272"/>
      <c r="D70" s="272"/>
      <c r="E70" s="272"/>
      <c r="F70" s="272"/>
      <c r="G70" s="272"/>
      <c r="H70" s="272"/>
      <c r="I70" s="272"/>
      <c r="J70" s="272"/>
      <c r="K70" s="272"/>
      <c r="L70" s="273"/>
      <c r="M70" s="237">
        <f t="shared" ref="M70:Q70" si="42">M58+M69</f>
        <v>0</v>
      </c>
      <c r="N70" s="237">
        <f t="shared" si="42"/>
        <v>39491</v>
      </c>
      <c r="O70" s="237">
        <f t="shared" si="42"/>
        <v>38330</v>
      </c>
      <c r="P70" s="237">
        <f t="shared" si="42"/>
        <v>38334</v>
      </c>
      <c r="Q70" s="237">
        <f t="shared" si="42"/>
        <v>116155</v>
      </c>
      <c r="R70" s="238"/>
      <c r="U70" s="14"/>
      <c r="AC70" s="15"/>
      <c r="AM70" s="16"/>
    </row>
    <row r="71" spans="1:39" ht="21.95" customHeight="1" thickBot="1" x14ac:dyDescent="0.25">
      <c r="A71" s="265" t="s">
        <v>55</v>
      </c>
      <c r="B71" s="268" t="s">
        <v>56</v>
      </c>
      <c r="C71" s="268" t="s">
        <v>17</v>
      </c>
      <c r="D71" s="268">
        <v>62000</v>
      </c>
      <c r="E71" s="268">
        <v>10003</v>
      </c>
      <c r="F71" s="235">
        <v>10180</v>
      </c>
      <c r="G71" s="235" t="s">
        <v>126</v>
      </c>
      <c r="H71" s="235" t="s">
        <v>127</v>
      </c>
      <c r="I71" s="235" t="s">
        <v>57</v>
      </c>
      <c r="J71" s="236" t="s">
        <v>19</v>
      </c>
      <c r="K71" s="235">
        <v>71200</v>
      </c>
      <c r="L71" s="235" t="s">
        <v>19</v>
      </c>
      <c r="M71" s="237">
        <f t="shared" ref="M71:O79" si="43">ROUND(M$2*$Q71,0)</f>
        <v>0</v>
      </c>
      <c r="N71" s="237">
        <f t="shared" si="43"/>
        <v>0</v>
      </c>
      <c r="O71" s="237">
        <f t="shared" si="43"/>
        <v>0</v>
      </c>
      <c r="P71" s="237">
        <f t="shared" ref="P71:P79" si="44">Q71-SUM(M71:O71)</f>
        <v>0</v>
      </c>
      <c r="Q71" s="237">
        <f t="shared" ref="Q71:Q79" si="45">ROUND($V$6*S71,0)</f>
        <v>0</v>
      </c>
      <c r="R71" s="238">
        <v>2</v>
      </c>
      <c r="S71" s="9">
        <f t="shared" ref="S71:S79" si="46">VLOOKUP(K71, rpacoreratio, 6, FALSE)*VLOOKUP(K71, rpacoreratio, 8, FALSE)</f>
        <v>0</v>
      </c>
    </row>
    <row r="72" spans="1:39" ht="21.95" customHeight="1" thickBot="1" x14ac:dyDescent="0.25">
      <c r="A72" s="266"/>
      <c r="B72" s="268"/>
      <c r="C72" s="268"/>
      <c r="D72" s="268"/>
      <c r="E72" s="268"/>
      <c r="F72" s="235">
        <v>10180</v>
      </c>
      <c r="G72" s="235" t="s">
        <v>126</v>
      </c>
      <c r="H72" s="235" t="s">
        <v>127</v>
      </c>
      <c r="I72" s="235" t="s">
        <v>57</v>
      </c>
      <c r="J72" s="236" t="s">
        <v>20</v>
      </c>
      <c r="K72" s="235">
        <v>71300</v>
      </c>
      <c r="L72" s="235" t="s">
        <v>20</v>
      </c>
      <c r="M72" s="237">
        <f t="shared" si="43"/>
        <v>0</v>
      </c>
      <c r="N72" s="237">
        <f t="shared" si="43"/>
        <v>188</v>
      </c>
      <c r="O72" s="237">
        <f t="shared" si="43"/>
        <v>183</v>
      </c>
      <c r="P72" s="237">
        <f t="shared" si="44"/>
        <v>183</v>
      </c>
      <c r="Q72" s="237">
        <f t="shared" si="45"/>
        <v>554</v>
      </c>
      <c r="R72" s="238">
        <v>3</v>
      </c>
      <c r="S72" s="9">
        <f t="shared" si="46"/>
        <v>1.1084820146212829E-2</v>
      </c>
    </row>
    <row r="73" spans="1:39" ht="21.95" customHeight="1" thickBot="1" x14ac:dyDescent="0.25">
      <c r="A73" s="266"/>
      <c r="B73" s="268"/>
      <c r="C73" s="268"/>
      <c r="D73" s="268"/>
      <c r="E73" s="268"/>
      <c r="F73" s="235">
        <v>10180</v>
      </c>
      <c r="G73" s="235" t="s">
        <v>126</v>
      </c>
      <c r="H73" s="235" t="s">
        <v>127</v>
      </c>
      <c r="I73" s="235" t="s">
        <v>57</v>
      </c>
      <c r="J73" s="236" t="s">
        <v>21</v>
      </c>
      <c r="K73" s="235">
        <v>71400</v>
      </c>
      <c r="L73" s="235" t="s">
        <v>22</v>
      </c>
      <c r="M73" s="237">
        <f t="shared" si="43"/>
        <v>0</v>
      </c>
      <c r="N73" s="237">
        <f t="shared" si="43"/>
        <v>532</v>
      </c>
      <c r="O73" s="237">
        <f t="shared" si="43"/>
        <v>516</v>
      </c>
      <c r="P73" s="237">
        <f t="shared" si="44"/>
        <v>516</v>
      </c>
      <c r="Q73" s="237">
        <f t="shared" si="45"/>
        <v>1564</v>
      </c>
      <c r="R73" s="238">
        <v>5</v>
      </c>
      <c r="S73" s="9">
        <f t="shared" si="46"/>
        <v>3.1270142178718506E-2</v>
      </c>
    </row>
    <row r="74" spans="1:39" ht="21.95" customHeight="1" thickBot="1" x14ac:dyDescent="0.25">
      <c r="A74" s="266"/>
      <c r="B74" s="268"/>
      <c r="C74" s="268"/>
      <c r="D74" s="268"/>
      <c r="E74" s="268"/>
      <c r="F74" s="235">
        <v>10180</v>
      </c>
      <c r="G74" s="235" t="s">
        <v>126</v>
      </c>
      <c r="H74" s="235" t="s">
        <v>127</v>
      </c>
      <c r="I74" s="235" t="s">
        <v>57</v>
      </c>
      <c r="J74" s="236" t="s">
        <v>23</v>
      </c>
      <c r="K74" s="235">
        <v>71600</v>
      </c>
      <c r="L74" s="235" t="s">
        <v>23</v>
      </c>
      <c r="M74" s="237">
        <f t="shared" si="43"/>
        <v>0</v>
      </c>
      <c r="N74" s="237">
        <f t="shared" si="43"/>
        <v>699</v>
      </c>
      <c r="O74" s="237">
        <f t="shared" si="43"/>
        <v>679</v>
      </c>
      <c r="P74" s="237">
        <f t="shared" si="44"/>
        <v>679</v>
      </c>
      <c r="Q74" s="237">
        <f t="shared" si="45"/>
        <v>2057</v>
      </c>
      <c r="R74" s="238">
        <v>7</v>
      </c>
      <c r="S74" s="9">
        <f t="shared" si="46"/>
        <v>4.1134974061424981E-2</v>
      </c>
    </row>
    <row r="75" spans="1:39" ht="21.95" customHeight="1" thickBot="1" x14ac:dyDescent="0.25">
      <c r="A75" s="266"/>
      <c r="B75" s="268"/>
      <c r="C75" s="268"/>
      <c r="D75" s="268"/>
      <c r="E75" s="268"/>
      <c r="F75" s="235">
        <v>10180</v>
      </c>
      <c r="G75" s="235" t="s">
        <v>126</v>
      </c>
      <c r="H75" s="235" t="s">
        <v>127</v>
      </c>
      <c r="I75" s="235" t="s">
        <v>57</v>
      </c>
      <c r="J75" s="236" t="s">
        <v>58</v>
      </c>
      <c r="K75" s="235">
        <v>72100</v>
      </c>
      <c r="L75" s="235" t="s">
        <v>59</v>
      </c>
      <c r="M75" s="237">
        <f t="shared" si="43"/>
        <v>0</v>
      </c>
      <c r="N75" s="237">
        <f t="shared" si="43"/>
        <v>0</v>
      </c>
      <c r="O75" s="237">
        <f t="shared" si="43"/>
        <v>0</v>
      </c>
      <c r="P75" s="237">
        <f t="shared" si="44"/>
        <v>0</v>
      </c>
      <c r="Q75" s="237">
        <f t="shared" si="45"/>
        <v>0</v>
      </c>
      <c r="R75" s="238">
        <v>12</v>
      </c>
      <c r="S75" s="9">
        <f t="shared" si="46"/>
        <v>0</v>
      </c>
    </row>
    <row r="76" spans="1:39" ht="21.95" customHeight="1" thickBot="1" x14ac:dyDescent="0.25">
      <c r="A76" s="266"/>
      <c r="B76" s="268"/>
      <c r="C76" s="268"/>
      <c r="D76" s="268"/>
      <c r="E76" s="268"/>
      <c r="F76" s="235">
        <v>10180</v>
      </c>
      <c r="G76" s="235" t="s">
        <v>126</v>
      </c>
      <c r="H76" s="235" t="s">
        <v>127</v>
      </c>
      <c r="I76" s="235" t="s">
        <v>57</v>
      </c>
      <c r="J76" s="236" t="s">
        <v>24</v>
      </c>
      <c r="K76" s="235">
        <v>72500</v>
      </c>
      <c r="L76" s="235" t="s">
        <v>25</v>
      </c>
      <c r="M76" s="237">
        <f t="shared" si="43"/>
        <v>0</v>
      </c>
      <c r="N76" s="237">
        <f t="shared" si="43"/>
        <v>60</v>
      </c>
      <c r="O76" s="237">
        <f t="shared" si="43"/>
        <v>58</v>
      </c>
      <c r="P76" s="237">
        <f t="shared" si="44"/>
        <v>57</v>
      </c>
      <c r="Q76" s="237">
        <f t="shared" si="45"/>
        <v>175</v>
      </c>
      <c r="R76" s="238">
        <v>10</v>
      </c>
      <c r="S76" s="9">
        <f t="shared" si="46"/>
        <v>3.4996363977802436E-3</v>
      </c>
    </row>
    <row r="77" spans="1:39" ht="21.95" customHeight="1" thickBot="1" x14ac:dyDescent="0.25">
      <c r="A77" s="266"/>
      <c r="B77" s="268"/>
      <c r="C77" s="268"/>
      <c r="D77" s="268"/>
      <c r="E77" s="268"/>
      <c r="F77" s="235">
        <v>10180</v>
      </c>
      <c r="G77" s="235" t="s">
        <v>126</v>
      </c>
      <c r="H77" s="235" t="s">
        <v>127</v>
      </c>
      <c r="I77" s="235" t="s">
        <v>57</v>
      </c>
      <c r="J77" s="236" t="s">
        <v>23</v>
      </c>
      <c r="K77" s="235">
        <v>74500</v>
      </c>
      <c r="L77" s="235" t="s">
        <v>49</v>
      </c>
      <c r="M77" s="237">
        <f t="shared" si="43"/>
        <v>0</v>
      </c>
      <c r="N77" s="237">
        <f t="shared" si="43"/>
        <v>392</v>
      </c>
      <c r="O77" s="237">
        <f t="shared" si="43"/>
        <v>381</v>
      </c>
      <c r="P77" s="237">
        <f t="shared" si="44"/>
        <v>381</v>
      </c>
      <c r="Q77" s="237">
        <f t="shared" si="45"/>
        <v>1154</v>
      </c>
      <c r="R77" s="238">
        <v>11</v>
      </c>
      <c r="S77" s="9">
        <f t="shared" si="46"/>
        <v>2.3087514687527108E-2</v>
      </c>
    </row>
    <row r="78" spans="1:39" ht="21.95" customHeight="1" thickBot="1" x14ac:dyDescent="0.25">
      <c r="A78" s="266"/>
      <c r="B78" s="268"/>
      <c r="C78" s="268"/>
      <c r="D78" s="268"/>
      <c r="E78" s="268"/>
      <c r="F78" s="235">
        <v>10180</v>
      </c>
      <c r="G78" s="235" t="s">
        <v>126</v>
      </c>
      <c r="H78" s="235" t="s">
        <v>127</v>
      </c>
      <c r="I78" s="235" t="s">
        <v>57</v>
      </c>
      <c r="J78" s="236" t="s">
        <v>26</v>
      </c>
      <c r="K78" s="235">
        <v>75700</v>
      </c>
      <c r="L78" s="235" t="s">
        <v>27</v>
      </c>
      <c r="M78" s="237">
        <f t="shared" si="43"/>
        <v>0</v>
      </c>
      <c r="N78" s="237">
        <f t="shared" si="43"/>
        <v>308</v>
      </c>
      <c r="O78" s="237">
        <f t="shared" si="43"/>
        <v>299</v>
      </c>
      <c r="P78" s="237">
        <f t="shared" si="44"/>
        <v>298</v>
      </c>
      <c r="Q78" s="237">
        <f t="shared" si="45"/>
        <v>905</v>
      </c>
      <c r="R78" s="238">
        <v>6</v>
      </c>
      <c r="S78" s="9">
        <f t="shared" si="46"/>
        <v>1.810037452749574E-2</v>
      </c>
    </row>
    <row r="79" spans="1:39" ht="21.95" customHeight="1" thickBot="1" x14ac:dyDescent="0.25">
      <c r="A79" s="266"/>
      <c r="B79" s="268"/>
      <c r="C79" s="268"/>
      <c r="D79" s="268"/>
      <c r="E79" s="268"/>
      <c r="F79" s="235">
        <v>10180</v>
      </c>
      <c r="G79" s="235" t="s">
        <v>126</v>
      </c>
      <c r="H79" s="235" t="s">
        <v>127</v>
      </c>
      <c r="I79" s="235" t="s">
        <v>57</v>
      </c>
      <c r="J79" s="236" t="s">
        <v>28</v>
      </c>
      <c r="K79" s="235">
        <v>61300</v>
      </c>
      <c r="L79" s="235" t="s">
        <v>30</v>
      </c>
      <c r="M79" s="237">
        <f t="shared" si="43"/>
        <v>0</v>
      </c>
      <c r="N79" s="237">
        <f t="shared" si="43"/>
        <v>0</v>
      </c>
      <c r="O79" s="237">
        <f t="shared" si="43"/>
        <v>0</v>
      </c>
      <c r="P79" s="237">
        <f t="shared" si="44"/>
        <v>0</v>
      </c>
      <c r="Q79" s="237">
        <f t="shared" si="45"/>
        <v>0</v>
      </c>
      <c r="R79" s="238">
        <v>4</v>
      </c>
      <c r="S79" s="9">
        <f t="shared" si="46"/>
        <v>0</v>
      </c>
    </row>
    <row r="80" spans="1:39" ht="21.95" customHeight="1" thickBot="1" x14ac:dyDescent="0.25">
      <c r="A80" s="266"/>
      <c r="B80" s="268"/>
      <c r="C80" s="269" t="s">
        <v>31</v>
      </c>
      <c r="D80" s="269"/>
      <c r="E80" s="269"/>
      <c r="F80" s="269"/>
      <c r="G80" s="269"/>
      <c r="H80" s="269"/>
      <c r="I80" s="269"/>
      <c r="J80" s="269"/>
      <c r="K80" s="269"/>
      <c r="L80" s="269"/>
      <c r="M80" s="237">
        <f>SUM(M71:M79)</f>
        <v>0</v>
      </c>
      <c r="N80" s="237">
        <f t="shared" ref="N80:Q80" si="47">SUM(N71:N79)</f>
        <v>2179</v>
      </c>
      <c r="O80" s="237">
        <f t="shared" si="47"/>
        <v>2116</v>
      </c>
      <c r="P80" s="237">
        <f t="shared" si="47"/>
        <v>2114</v>
      </c>
      <c r="Q80" s="237">
        <f t="shared" si="47"/>
        <v>6409</v>
      </c>
      <c r="R80" s="238"/>
      <c r="S80" s="9"/>
    </row>
    <row r="81" spans="1:39" ht="21.95" customHeight="1" thickBot="1" x14ac:dyDescent="0.25">
      <c r="A81" s="266"/>
      <c r="B81" s="269" t="s">
        <v>60</v>
      </c>
      <c r="C81" s="269"/>
      <c r="D81" s="269"/>
      <c r="E81" s="269"/>
      <c r="F81" s="269"/>
      <c r="G81" s="269"/>
      <c r="H81" s="269"/>
      <c r="I81" s="269"/>
      <c r="J81" s="269"/>
      <c r="K81" s="269"/>
      <c r="L81" s="269"/>
      <c r="M81" s="237">
        <f>M80</f>
        <v>0</v>
      </c>
      <c r="N81" s="237">
        <f t="shared" ref="N81:Q81" si="48">N80</f>
        <v>2179</v>
      </c>
      <c r="O81" s="237">
        <f t="shared" si="48"/>
        <v>2116</v>
      </c>
      <c r="P81" s="237">
        <f t="shared" si="48"/>
        <v>2114</v>
      </c>
      <c r="Q81" s="237">
        <f t="shared" si="48"/>
        <v>6409</v>
      </c>
      <c r="R81" s="238"/>
      <c r="S81" s="9"/>
    </row>
    <row r="82" spans="1:39" ht="21.95" customHeight="1" thickBot="1" x14ac:dyDescent="0.25">
      <c r="A82" s="266"/>
      <c r="B82" s="268" t="s">
        <v>61</v>
      </c>
      <c r="C82" s="265" t="s">
        <v>17</v>
      </c>
      <c r="D82" s="265">
        <v>62000</v>
      </c>
      <c r="E82" s="265">
        <v>10003</v>
      </c>
      <c r="F82" s="235">
        <v>10180</v>
      </c>
      <c r="G82" s="235" t="s">
        <v>126</v>
      </c>
      <c r="H82" s="235" t="s">
        <v>127</v>
      </c>
      <c r="I82" s="235" t="s">
        <v>62</v>
      </c>
      <c r="J82" s="236" t="s">
        <v>19</v>
      </c>
      <c r="K82" s="235">
        <v>71200</v>
      </c>
      <c r="L82" s="235" t="s">
        <v>19</v>
      </c>
      <c r="M82" s="237">
        <f t="shared" ref="M82:O90" si="49">ROUND(M$2*$Q82,0)</f>
        <v>0</v>
      </c>
      <c r="N82" s="237">
        <f t="shared" si="49"/>
        <v>0</v>
      </c>
      <c r="O82" s="237">
        <f t="shared" si="49"/>
        <v>0</v>
      </c>
      <c r="P82" s="237">
        <f t="shared" ref="P82:P90" si="50">Q82-SUM(M82:O82)</f>
        <v>0</v>
      </c>
      <c r="Q82" s="237">
        <f t="shared" ref="Q82:Q90" si="51">ROUND($V$7*S82,0)</f>
        <v>0</v>
      </c>
      <c r="R82" s="238">
        <v>2</v>
      </c>
      <c r="S82" s="9">
        <f t="shared" ref="S82:S90" si="52">VLOOKUP(K82, rpastarratio, 6, FALSE)*VLOOKUP(K82, rpastarratio, 8, FALSE)</f>
        <v>0</v>
      </c>
    </row>
    <row r="83" spans="1:39" ht="21.95" customHeight="1" thickBot="1" x14ac:dyDescent="0.25">
      <c r="A83" s="266"/>
      <c r="B83" s="268"/>
      <c r="C83" s="266"/>
      <c r="D83" s="266"/>
      <c r="E83" s="266"/>
      <c r="F83" s="235">
        <v>10180</v>
      </c>
      <c r="G83" s="235" t="s">
        <v>126</v>
      </c>
      <c r="H83" s="235" t="s">
        <v>127</v>
      </c>
      <c r="I83" s="235" t="s">
        <v>62</v>
      </c>
      <c r="J83" s="236" t="s">
        <v>20</v>
      </c>
      <c r="K83" s="235">
        <v>71300</v>
      </c>
      <c r="L83" s="235" t="s">
        <v>20</v>
      </c>
      <c r="M83" s="237">
        <f t="shared" si="49"/>
        <v>0</v>
      </c>
      <c r="N83" s="237">
        <f t="shared" si="49"/>
        <v>3499</v>
      </c>
      <c r="O83" s="237">
        <f t="shared" si="49"/>
        <v>3396</v>
      </c>
      <c r="P83" s="237">
        <f t="shared" si="50"/>
        <v>3395</v>
      </c>
      <c r="Q83" s="237">
        <f t="shared" si="51"/>
        <v>10290</v>
      </c>
      <c r="R83" s="238">
        <v>3</v>
      </c>
      <c r="S83" s="9">
        <f t="shared" si="52"/>
        <v>1.1084820146212824E-2</v>
      </c>
    </row>
    <row r="84" spans="1:39" ht="21.95" customHeight="1" thickBot="1" x14ac:dyDescent="0.25">
      <c r="A84" s="266"/>
      <c r="B84" s="268"/>
      <c r="C84" s="266"/>
      <c r="D84" s="266"/>
      <c r="E84" s="266"/>
      <c r="F84" s="235">
        <v>10180</v>
      </c>
      <c r="G84" s="235" t="s">
        <v>126</v>
      </c>
      <c r="H84" s="235" t="s">
        <v>127</v>
      </c>
      <c r="I84" s="235" t="s">
        <v>62</v>
      </c>
      <c r="J84" s="236" t="s">
        <v>21</v>
      </c>
      <c r="K84" s="235">
        <v>71400</v>
      </c>
      <c r="L84" s="235" t="s">
        <v>22</v>
      </c>
      <c r="M84" s="237">
        <f t="shared" si="49"/>
        <v>0</v>
      </c>
      <c r="N84" s="237">
        <f t="shared" si="49"/>
        <v>9870</v>
      </c>
      <c r="O84" s="237">
        <f t="shared" si="49"/>
        <v>9579</v>
      </c>
      <c r="P84" s="237">
        <f t="shared" si="50"/>
        <v>9579</v>
      </c>
      <c r="Q84" s="237">
        <f t="shared" si="51"/>
        <v>29028</v>
      </c>
      <c r="R84" s="238">
        <v>5</v>
      </c>
      <c r="S84" s="9">
        <f t="shared" si="52"/>
        <v>3.1270142178718492E-2</v>
      </c>
    </row>
    <row r="85" spans="1:39" ht="21.95" customHeight="1" thickBot="1" x14ac:dyDescent="0.25">
      <c r="A85" s="266"/>
      <c r="B85" s="268"/>
      <c r="C85" s="266"/>
      <c r="D85" s="266"/>
      <c r="E85" s="266"/>
      <c r="F85" s="235">
        <v>10180</v>
      </c>
      <c r="G85" s="235" t="s">
        <v>126</v>
      </c>
      <c r="H85" s="235" t="s">
        <v>127</v>
      </c>
      <c r="I85" s="235" t="s">
        <v>62</v>
      </c>
      <c r="J85" s="236" t="s">
        <v>23</v>
      </c>
      <c r="K85" s="235">
        <v>71600</v>
      </c>
      <c r="L85" s="235" t="s">
        <v>23</v>
      </c>
      <c r="M85" s="237">
        <f t="shared" si="49"/>
        <v>0</v>
      </c>
      <c r="N85" s="237">
        <f t="shared" si="49"/>
        <v>12983</v>
      </c>
      <c r="O85" s="237">
        <f t="shared" si="49"/>
        <v>12601</v>
      </c>
      <c r="P85" s="237">
        <f t="shared" si="50"/>
        <v>12602</v>
      </c>
      <c r="Q85" s="237">
        <f t="shared" si="51"/>
        <v>38186</v>
      </c>
      <c r="R85" s="238">
        <v>7</v>
      </c>
      <c r="S85" s="9">
        <f t="shared" si="52"/>
        <v>4.1134974061424953E-2</v>
      </c>
    </row>
    <row r="86" spans="1:39" ht="21.95" customHeight="1" thickBot="1" x14ac:dyDescent="0.25">
      <c r="A86" s="266"/>
      <c r="B86" s="268"/>
      <c r="C86" s="266"/>
      <c r="D86" s="266"/>
      <c r="E86" s="266"/>
      <c r="F86" s="235">
        <v>10180</v>
      </c>
      <c r="G86" s="235" t="s">
        <v>126</v>
      </c>
      <c r="H86" s="235" t="s">
        <v>127</v>
      </c>
      <c r="I86" s="235" t="s">
        <v>62</v>
      </c>
      <c r="J86" s="236" t="s">
        <v>58</v>
      </c>
      <c r="K86" s="235">
        <v>72100</v>
      </c>
      <c r="L86" s="235" t="s">
        <v>59</v>
      </c>
      <c r="M86" s="237">
        <f t="shared" si="49"/>
        <v>0</v>
      </c>
      <c r="N86" s="237">
        <f t="shared" si="49"/>
        <v>0</v>
      </c>
      <c r="O86" s="237">
        <f t="shared" si="49"/>
        <v>0</v>
      </c>
      <c r="P86" s="237">
        <f t="shared" si="50"/>
        <v>0</v>
      </c>
      <c r="Q86" s="237">
        <f t="shared" si="51"/>
        <v>0</v>
      </c>
      <c r="R86" s="238">
        <v>12</v>
      </c>
      <c r="S86" s="9">
        <f t="shared" si="52"/>
        <v>0</v>
      </c>
    </row>
    <row r="87" spans="1:39" ht="21.95" customHeight="1" thickBot="1" x14ac:dyDescent="0.25">
      <c r="A87" s="266"/>
      <c r="B87" s="268"/>
      <c r="C87" s="266"/>
      <c r="D87" s="266"/>
      <c r="E87" s="266"/>
      <c r="F87" s="235">
        <v>10180</v>
      </c>
      <c r="G87" s="235" t="s">
        <v>126</v>
      </c>
      <c r="H87" s="235" t="s">
        <v>127</v>
      </c>
      <c r="I87" s="235" t="s">
        <v>62</v>
      </c>
      <c r="J87" s="236" t="s">
        <v>24</v>
      </c>
      <c r="K87" s="235">
        <v>72500</v>
      </c>
      <c r="L87" s="235" t="s">
        <v>25</v>
      </c>
      <c r="M87" s="237">
        <f t="shared" si="49"/>
        <v>0</v>
      </c>
      <c r="N87" s="237">
        <f t="shared" si="49"/>
        <v>1105</v>
      </c>
      <c r="O87" s="237">
        <f t="shared" si="49"/>
        <v>1072</v>
      </c>
      <c r="P87" s="237">
        <f t="shared" si="50"/>
        <v>1072</v>
      </c>
      <c r="Q87" s="237">
        <f t="shared" si="51"/>
        <v>3249</v>
      </c>
      <c r="R87" s="238">
        <v>10</v>
      </c>
      <c r="S87" s="9">
        <f t="shared" si="52"/>
        <v>3.4996363977802419E-3</v>
      </c>
    </row>
    <row r="88" spans="1:39" ht="21.95" customHeight="1" thickBot="1" x14ac:dyDescent="0.25">
      <c r="A88" s="266"/>
      <c r="B88" s="268"/>
      <c r="C88" s="266"/>
      <c r="D88" s="266"/>
      <c r="E88" s="266"/>
      <c r="F88" s="235">
        <v>10180</v>
      </c>
      <c r="G88" s="235" t="s">
        <v>126</v>
      </c>
      <c r="H88" s="235" t="s">
        <v>127</v>
      </c>
      <c r="I88" s="235" t="s">
        <v>62</v>
      </c>
      <c r="J88" s="236" t="s">
        <v>23</v>
      </c>
      <c r="K88" s="235">
        <v>74500</v>
      </c>
      <c r="L88" s="235" t="s">
        <v>49</v>
      </c>
      <c r="M88" s="237">
        <f t="shared" si="49"/>
        <v>0</v>
      </c>
      <c r="N88" s="237">
        <f t="shared" si="49"/>
        <v>7287</v>
      </c>
      <c r="O88" s="237">
        <f t="shared" si="49"/>
        <v>7073</v>
      </c>
      <c r="P88" s="237">
        <f t="shared" si="50"/>
        <v>7072</v>
      </c>
      <c r="Q88" s="237">
        <f t="shared" si="51"/>
        <v>21432</v>
      </c>
      <c r="R88" s="238">
        <v>11</v>
      </c>
      <c r="S88" s="9">
        <f t="shared" si="52"/>
        <v>2.3087514687527094E-2</v>
      </c>
    </row>
    <row r="89" spans="1:39" ht="21.95" customHeight="1" thickBot="1" x14ac:dyDescent="0.25">
      <c r="A89" s="266"/>
      <c r="B89" s="268"/>
      <c r="C89" s="266"/>
      <c r="D89" s="266"/>
      <c r="E89" s="266"/>
      <c r="F89" s="235">
        <v>10180</v>
      </c>
      <c r="G89" s="235" t="s">
        <v>126</v>
      </c>
      <c r="H89" s="235" t="s">
        <v>127</v>
      </c>
      <c r="I89" s="235" t="s">
        <v>62</v>
      </c>
      <c r="J89" s="236" t="s">
        <v>26</v>
      </c>
      <c r="K89" s="235">
        <v>75700</v>
      </c>
      <c r="L89" s="235" t="s">
        <v>27</v>
      </c>
      <c r="M89" s="237">
        <f t="shared" si="49"/>
        <v>0</v>
      </c>
      <c r="N89" s="237">
        <f t="shared" si="49"/>
        <v>5713</v>
      </c>
      <c r="O89" s="237">
        <f t="shared" si="49"/>
        <v>5545</v>
      </c>
      <c r="P89" s="237">
        <f t="shared" si="50"/>
        <v>5545</v>
      </c>
      <c r="Q89" s="237">
        <f t="shared" si="51"/>
        <v>16803</v>
      </c>
      <c r="R89" s="238">
        <v>6</v>
      </c>
      <c r="S89" s="9">
        <f t="shared" si="52"/>
        <v>1.8100374527495727E-2</v>
      </c>
    </row>
    <row r="90" spans="1:39" ht="21.95" customHeight="1" thickBot="1" x14ac:dyDescent="0.25">
      <c r="A90" s="266"/>
      <c r="B90" s="268"/>
      <c r="C90" s="267"/>
      <c r="D90" s="267"/>
      <c r="E90" s="267"/>
      <c r="F90" s="235">
        <v>10180</v>
      </c>
      <c r="G90" s="235" t="s">
        <v>126</v>
      </c>
      <c r="H90" s="235" t="s">
        <v>127</v>
      </c>
      <c r="I90" s="235" t="s">
        <v>62</v>
      </c>
      <c r="J90" s="236" t="s">
        <v>28</v>
      </c>
      <c r="K90" s="235">
        <v>61300</v>
      </c>
      <c r="L90" s="235" t="s">
        <v>30</v>
      </c>
      <c r="M90" s="237">
        <f t="shared" si="49"/>
        <v>0</v>
      </c>
      <c r="N90" s="237">
        <f t="shared" si="49"/>
        <v>0</v>
      </c>
      <c r="O90" s="237">
        <f t="shared" si="49"/>
        <v>0</v>
      </c>
      <c r="P90" s="237">
        <f t="shared" si="50"/>
        <v>0</v>
      </c>
      <c r="Q90" s="237">
        <f t="shared" si="51"/>
        <v>0</v>
      </c>
      <c r="R90" s="238">
        <v>4</v>
      </c>
      <c r="S90" s="9">
        <f t="shared" si="52"/>
        <v>0</v>
      </c>
    </row>
    <row r="91" spans="1:39" ht="21.95" customHeight="1" thickBot="1" x14ac:dyDescent="0.25">
      <c r="A91" s="266"/>
      <c r="B91" s="268"/>
      <c r="C91" s="270" t="s">
        <v>31</v>
      </c>
      <c r="D91" s="270"/>
      <c r="E91" s="270"/>
      <c r="F91" s="270"/>
      <c r="G91" s="270"/>
      <c r="H91" s="270"/>
      <c r="I91" s="270"/>
      <c r="J91" s="270"/>
      <c r="K91" s="270"/>
      <c r="L91" s="270"/>
      <c r="M91" s="237">
        <f>SUM(M82:M90)</f>
        <v>0</v>
      </c>
      <c r="N91" s="237">
        <f t="shared" ref="N91:Q91" si="53">SUM(N82:N90)</f>
        <v>40457</v>
      </c>
      <c r="O91" s="237">
        <f t="shared" si="53"/>
        <v>39266</v>
      </c>
      <c r="P91" s="237">
        <f t="shared" si="53"/>
        <v>39265</v>
      </c>
      <c r="Q91" s="237">
        <f t="shared" si="53"/>
        <v>118988</v>
      </c>
      <c r="R91" s="238"/>
      <c r="T91" s="17"/>
      <c r="AC91" s="11"/>
      <c r="AE91" s="15"/>
      <c r="AF91" s="12"/>
      <c r="AG91" s="13"/>
    </row>
    <row r="92" spans="1:39" ht="21.95" customHeight="1" thickBot="1" x14ac:dyDescent="0.25">
      <c r="A92" s="267"/>
      <c r="B92" s="270" t="s">
        <v>63</v>
      </c>
      <c r="C92" s="270"/>
      <c r="D92" s="270"/>
      <c r="E92" s="270"/>
      <c r="F92" s="270"/>
      <c r="G92" s="270"/>
      <c r="H92" s="270"/>
      <c r="I92" s="270"/>
      <c r="J92" s="270"/>
      <c r="K92" s="270"/>
      <c r="L92" s="270"/>
      <c r="M92" s="237">
        <f>M91</f>
        <v>0</v>
      </c>
      <c r="N92" s="237">
        <f t="shared" ref="N92:Q92" si="54">N91</f>
        <v>40457</v>
      </c>
      <c r="O92" s="237">
        <f t="shared" si="54"/>
        <v>39266</v>
      </c>
      <c r="P92" s="237">
        <f t="shared" si="54"/>
        <v>39265</v>
      </c>
      <c r="Q92" s="237">
        <f t="shared" si="54"/>
        <v>118988</v>
      </c>
      <c r="R92" s="238"/>
      <c r="T92" s="10"/>
      <c r="AC92" s="11"/>
      <c r="AF92" s="12"/>
      <c r="AG92" s="13"/>
    </row>
    <row r="93" spans="1:39" ht="21.95" customHeight="1" thickBot="1" x14ac:dyDescent="0.25">
      <c r="A93" s="271" t="s">
        <v>64</v>
      </c>
      <c r="B93" s="272"/>
      <c r="C93" s="272"/>
      <c r="D93" s="272"/>
      <c r="E93" s="272"/>
      <c r="F93" s="272"/>
      <c r="G93" s="272"/>
      <c r="H93" s="272"/>
      <c r="I93" s="272"/>
      <c r="J93" s="272"/>
      <c r="K93" s="272"/>
      <c r="L93" s="273"/>
      <c r="M93" s="237">
        <f>M81+M92</f>
        <v>0</v>
      </c>
      <c r="N93" s="237">
        <f t="shared" ref="N93:Q93" si="55">N81+N92</f>
        <v>42636</v>
      </c>
      <c r="O93" s="237">
        <f t="shared" si="55"/>
        <v>41382</v>
      </c>
      <c r="P93" s="237">
        <f t="shared" si="55"/>
        <v>41379</v>
      </c>
      <c r="Q93" s="237">
        <f t="shared" si="55"/>
        <v>125397</v>
      </c>
      <c r="R93" s="238"/>
      <c r="U93" s="14"/>
      <c r="AC93" s="15"/>
      <c r="AM93" s="16"/>
    </row>
    <row r="94" spans="1:39" ht="21.95" customHeight="1" thickBot="1" x14ac:dyDescent="0.25">
      <c r="A94" s="265" t="s">
        <v>65</v>
      </c>
      <c r="B94" s="268" t="s">
        <v>66</v>
      </c>
      <c r="C94" s="268" t="s">
        <v>17</v>
      </c>
      <c r="D94" s="268">
        <v>62000</v>
      </c>
      <c r="E94" s="268">
        <v>10003</v>
      </c>
      <c r="F94" s="235">
        <v>10180</v>
      </c>
      <c r="G94" s="235" t="s">
        <v>126</v>
      </c>
      <c r="H94" s="235" t="s">
        <v>127</v>
      </c>
      <c r="I94" s="235" t="s">
        <v>66</v>
      </c>
      <c r="J94" s="236" t="s">
        <v>21</v>
      </c>
      <c r="K94" s="235">
        <v>71400</v>
      </c>
      <c r="L94" s="235" t="s">
        <v>22</v>
      </c>
      <c r="M94" s="237">
        <f t="shared" ref="M94:O108" si="56">ROUND(M$2*$Q94,0)</f>
        <v>0</v>
      </c>
      <c r="N94" s="237">
        <f t="shared" si="56"/>
        <v>3323</v>
      </c>
      <c r="O94" s="237">
        <f t="shared" si="56"/>
        <v>3225</v>
      </c>
      <c r="P94" s="237">
        <f t="shared" ref="P94:P108" si="57">Q94-SUM(M94:O94)</f>
        <v>3225</v>
      </c>
      <c r="Q94" s="237">
        <f t="shared" ref="Q94:Q104" si="58">ROUND($V$6*S94,0)</f>
        <v>9773</v>
      </c>
      <c r="R94" s="238">
        <v>5</v>
      </c>
      <c r="S94" s="9">
        <f t="shared" ref="S94:S108" si="59">VLOOKUP(K94, rpacoreratio, 7, FALSE)*VLOOKUP(K94, rpacoreratio, 8, FALSE)</f>
        <v>0.19546413010552866</v>
      </c>
    </row>
    <row r="95" spans="1:39" ht="21.95" customHeight="1" thickBot="1" x14ac:dyDescent="0.25">
      <c r="A95" s="266"/>
      <c r="B95" s="268"/>
      <c r="C95" s="268"/>
      <c r="D95" s="268"/>
      <c r="E95" s="268"/>
      <c r="F95" s="235">
        <v>10180</v>
      </c>
      <c r="G95" s="235" t="s">
        <v>126</v>
      </c>
      <c r="H95" s="235" t="s">
        <v>127</v>
      </c>
      <c r="I95" s="235" t="s">
        <v>66</v>
      </c>
      <c r="J95" s="236" t="s">
        <v>23</v>
      </c>
      <c r="K95" s="235">
        <v>71600</v>
      </c>
      <c r="L95" s="235" t="s">
        <v>23</v>
      </c>
      <c r="M95" s="237">
        <f t="shared" si="56"/>
        <v>0</v>
      </c>
      <c r="N95" s="237">
        <f t="shared" si="56"/>
        <v>324</v>
      </c>
      <c r="O95" s="237">
        <f t="shared" si="56"/>
        <v>315</v>
      </c>
      <c r="P95" s="237">
        <f t="shared" si="57"/>
        <v>315</v>
      </c>
      <c r="Q95" s="237">
        <f t="shared" si="58"/>
        <v>954</v>
      </c>
      <c r="R95" s="238">
        <v>7</v>
      </c>
      <c r="S95" s="9">
        <f t="shared" si="59"/>
        <v>1.9088921632889836E-2</v>
      </c>
    </row>
    <row r="96" spans="1:39" ht="21.95" customHeight="1" thickBot="1" x14ac:dyDescent="0.25">
      <c r="A96" s="266"/>
      <c r="B96" s="268"/>
      <c r="C96" s="268"/>
      <c r="D96" s="268"/>
      <c r="E96" s="268"/>
      <c r="F96" s="235">
        <v>10180</v>
      </c>
      <c r="G96" s="235" t="s">
        <v>126</v>
      </c>
      <c r="H96" s="235" t="s">
        <v>127</v>
      </c>
      <c r="I96" s="235" t="s">
        <v>66</v>
      </c>
      <c r="J96" s="236" t="s">
        <v>58</v>
      </c>
      <c r="K96" s="235">
        <v>72200</v>
      </c>
      <c r="L96" s="235" t="s">
        <v>67</v>
      </c>
      <c r="M96" s="237">
        <f t="shared" si="56"/>
        <v>0</v>
      </c>
      <c r="N96" s="237">
        <f t="shared" si="56"/>
        <v>23</v>
      </c>
      <c r="O96" s="237">
        <f t="shared" si="56"/>
        <v>23</v>
      </c>
      <c r="P96" s="237">
        <f t="shared" si="57"/>
        <v>23</v>
      </c>
      <c r="Q96" s="237">
        <f t="shared" si="58"/>
        <v>69</v>
      </c>
      <c r="R96" s="238">
        <v>13</v>
      </c>
      <c r="S96" s="9">
        <f t="shared" si="59"/>
        <v>1.3809950556502937E-3</v>
      </c>
    </row>
    <row r="97" spans="1:39" ht="21.95" customHeight="1" thickBot="1" x14ac:dyDescent="0.25">
      <c r="A97" s="266"/>
      <c r="B97" s="268"/>
      <c r="C97" s="268"/>
      <c r="D97" s="268"/>
      <c r="E97" s="268"/>
      <c r="F97" s="235">
        <v>10180</v>
      </c>
      <c r="G97" s="235" t="s">
        <v>126</v>
      </c>
      <c r="H97" s="235" t="s">
        <v>127</v>
      </c>
      <c r="I97" s="235" t="s">
        <v>66</v>
      </c>
      <c r="J97" s="236" t="s">
        <v>58</v>
      </c>
      <c r="K97" s="235">
        <v>72300</v>
      </c>
      <c r="L97" s="235" t="s">
        <v>68</v>
      </c>
      <c r="M97" s="237">
        <f t="shared" si="56"/>
        <v>0</v>
      </c>
      <c r="N97" s="237">
        <f t="shared" si="56"/>
        <v>0</v>
      </c>
      <c r="O97" s="237">
        <f t="shared" si="56"/>
        <v>0</v>
      </c>
      <c r="P97" s="237">
        <f t="shared" si="57"/>
        <v>0</v>
      </c>
      <c r="Q97" s="237">
        <f t="shared" si="58"/>
        <v>0</v>
      </c>
      <c r="R97" s="238">
        <v>14</v>
      </c>
      <c r="S97" s="9">
        <f t="shared" si="59"/>
        <v>0</v>
      </c>
    </row>
    <row r="98" spans="1:39" ht="21.95" customHeight="1" thickBot="1" x14ac:dyDescent="0.25">
      <c r="A98" s="266"/>
      <c r="B98" s="268"/>
      <c r="C98" s="268"/>
      <c r="D98" s="268"/>
      <c r="E98" s="268"/>
      <c r="F98" s="235">
        <v>10180</v>
      </c>
      <c r="G98" s="235" t="s">
        <v>126</v>
      </c>
      <c r="H98" s="235" t="s">
        <v>127</v>
      </c>
      <c r="I98" s="235" t="s">
        <v>66</v>
      </c>
      <c r="J98" s="236" t="s">
        <v>58</v>
      </c>
      <c r="K98" s="235">
        <v>72400</v>
      </c>
      <c r="L98" s="235" t="s">
        <v>69</v>
      </c>
      <c r="M98" s="237">
        <f t="shared" si="56"/>
        <v>0</v>
      </c>
      <c r="N98" s="237">
        <f t="shared" si="56"/>
        <v>167</v>
      </c>
      <c r="O98" s="237">
        <f t="shared" si="56"/>
        <v>162</v>
      </c>
      <c r="P98" s="237">
        <f t="shared" si="57"/>
        <v>162</v>
      </c>
      <c r="Q98" s="237">
        <f t="shared" si="58"/>
        <v>491</v>
      </c>
      <c r="R98" s="238">
        <v>15</v>
      </c>
      <c r="S98" s="9">
        <f t="shared" si="59"/>
        <v>9.8297058690645835E-3</v>
      </c>
    </row>
    <row r="99" spans="1:39" ht="21.95" customHeight="1" thickBot="1" x14ac:dyDescent="0.25">
      <c r="A99" s="266"/>
      <c r="B99" s="268"/>
      <c r="C99" s="268"/>
      <c r="D99" s="268"/>
      <c r="E99" s="268"/>
      <c r="F99" s="235">
        <v>10180</v>
      </c>
      <c r="G99" s="235" t="s">
        <v>126</v>
      </c>
      <c r="H99" s="235" t="s">
        <v>127</v>
      </c>
      <c r="I99" s="235" t="s">
        <v>66</v>
      </c>
      <c r="J99" s="236" t="s">
        <v>24</v>
      </c>
      <c r="K99" s="235">
        <v>72500</v>
      </c>
      <c r="L99" s="235" t="s">
        <v>25</v>
      </c>
      <c r="M99" s="237">
        <f t="shared" si="56"/>
        <v>0</v>
      </c>
      <c r="N99" s="237">
        <f t="shared" si="56"/>
        <v>152</v>
      </c>
      <c r="O99" s="237">
        <f t="shared" si="56"/>
        <v>148</v>
      </c>
      <c r="P99" s="237">
        <f t="shared" si="57"/>
        <v>147</v>
      </c>
      <c r="Q99" s="237">
        <f t="shared" si="58"/>
        <v>447</v>
      </c>
      <c r="R99" s="238">
        <v>10</v>
      </c>
      <c r="S99" s="9">
        <f t="shared" si="59"/>
        <v>8.9354246977183076E-3</v>
      </c>
    </row>
    <row r="100" spans="1:39" ht="21.95" customHeight="1" thickBot="1" x14ac:dyDescent="0.25">
      <c r="A100" s="266"/>
      <c r="B100" s="268"/>
      <c r="C100" s="268"/>
      <c r="D100" s="268"/>
      <c r="E100" s="268"/>
      <c r="F100" s="235">
        <v>10180</v>
      </c>
      <c r="G100" s="235" t="s">
        <v>126</v>
      </c>
      <c r="H100" s="235" t="s">
        <v>127</v>
      </c>
      <c r="I100" s="235" t="s">
        <v>66</v>
      </c>
      <c r="J100" s="236" t="s">
        <v>58</v>
      </c>
      <c r="K100" s="235">
        <v>72800</v>
      </c>
      <c r="L100" s="235" t="s">
        <v>70</v>
      </c>
      <c r="M100" s="237">
        <f t="shared" si="56"/>
        <v>0</v>
      </c>
      <c r="N100" s="237">
        <f t="shared" si="56"/>
        <v>106</v>
      </c>
      <c r="O100" s="237">
        <f t="shared" si="56"/>
        <v>103</v>
      </c>
      <c r="P100" s="237">
        <f t="shared" si="57"/>
        <v>104</v>
      </c>
      <c r="Q100" s="237">
        <f t="shared" si="58"/>
        <v>313</v>
      </c>
      <c r="R100" s="238">
        <v>16</v>
      </c>
      <c r="S100" s="9">
        <f t="shared" si="59"/>
        <v>6.2690135248252626E-3</v>
      </c>
    </row>
    <row r="101" spans="1:39" ht="21.95" customHeight="1" thickBot="1" x14ac:dyDescent="0.25">
      <c r="A101" s="266"/>
      <c r="B101" s="268"/>
      <c r="C101" s="268"/>
      <c r="D101" s="268"/>
      <c r="E101" s="268"/>
      <c r="F101" s="235">
        <v>10180</v>
      </c>
      <c r="G101" s="235" t="s">
        <v>126</v>
      </c>
      <c r="H101" s="235" t="s">
        <v>127</v>
      </c>
      <c r="I101" s="235" t="s">
        <v>66</v>
      </c>
      <c r="J101" s="236" t="s">
        <v>71</v>
      </c>
      <c r="K101" s="235">
        <v>73100</v>
      </c>
      <c r="L101" s="235" t="s">
        <v>72</v>
      </c>
      <c r="M101" s="237">
        <f t="shared" si="56"/>
        <v>0</v>
      </c>
      <c r="N101" s="237">
        <f t="shared" si="56"/>
        <v>1372</v>
      </c>
      <c r="O101" s="237">
        <f t="shared" si="56"/>
        <v>1332</v>
      </c>
      <c r="P101" s="237">
        <f t="shared" si="57"/>
        <v>1332</v>
      </c>
      <c r="Q101" s="237">
        <f t="shared" si="58"/>
        <v>4036</v>
      </c>
      <c r="R101" s="238">
        <v>8</v>
      </c>
      <c r="S101" s="9">
        <f t="shared" si="59"/>
        <v>8.0719428593636136E-2</v>
      </c>
    </row>
    <row r="102" spans="1:39" ht="21.95" customHeight="1" thickBot="1" x14ac:dyDescent="0.25">
      <c r="A102" s="266"/>
      <c r="B102" s="268"/>
      <c r="C102" s="268"/>
      <c r="D102" s="268"/>
      <c r="E102" s="268"/>
      <c r="F102" s="235">
        <v>10180</v>
      </c>
      <c r="G102" s="235" t="s">
        <v>126</v>
      </c>
      <c r="H102" s="235" t="s">
        <v>127</v>
      </c>
      <c r="I102" s="235" t="s">
        <v>66</v>
      </c>
      <c r="J102" s="236" t="s">
        <v>58</v>
      </c>
      <c r="K102" s="235">
        <v>73400</v>
      </c>
      <c r="L102" s="235" t="s">
        <v>73</v>
      </c>
      <c r="M102" s="237">
        <f t="shared" si="56"/>
        <v>0</v>
      </c>
      <c r="N102" s="237">
        <f t="shared" si="56"/>
        <v>81</v>
      </c>
      <c r="O102" s="237">
        <f t="shared" si="56"/>
        <v>78</v>
      </c>
      <c r="P102" s="237">
        <f t="shared" si="57"/>
        <v>78</v>
      </c>
      <c r="Q102" s="237">
        <f t="shared" si="58"/>
        <v>237</v>
      </c>
      <c r="R102" s="238">
        <v>17</v>
      </c>
      <c r="S102" s="9">
        <f t="shared" si="59"/>
        <v>4.7455922829596296E-3</v>
      </c>
    </row>
    <row r="103" spans="1:39" ht="21.95" customHeight="1" thickBot="1" x14ac:dyDescent="0.25">
      <c r="A103" s="266"/>
      <c r="B103" s="268"/>
      <c r="C103" s="268"/>
      <c r="D103" s="268"/>
      <c r="E103" s="268"/>
      <c r="F103" s="235">
        <v>10180</v>
      </c>
      <c r="G103" s="235" t="s">
        <v>126</v>
      </c>
      <c r="H103" s="235" t="s">
        <v>127</v>
      </c>
      <c r="I103" s="235" t="s">
        <v>66</v>
      </c>
      <c r="J103" s="236" t="s">
        <v>74</v>
      </c>
      <c r="K103" s="235">
        <v>74100</v>
      </c>
      <c r="L103" s="235" t="s">
        <v>75</v>
      </c>
      <c r="M103" s="237">
        <f t="shared" si="56"/>
        <v>0</v>
      </c>
      <c r="N103" s="237">
        <f t="shared" si="56"/>
        <v>218</v>
      </c>
      <c r="O103" s="237">
        <f t="shared" si="56"/>
        <v>211</v>
      </c>
      <c r="P103" s="237">
        <f t="shared" si="57"/>
        <v>211</v>
      </c>
      <c r="Q103" s="237">
        <f t="shared" si="58"/>
        <v>640</v>
      </c>
      <c r="R103" s="238">
        <v>9</v>
      </c>
      <c r="S103" s="9">
        <f t="shared" si="59"/>
        <v>1.279755251095744E-2</v>
      </c>
    </row>
    <row r="104" spans="1:39" ht="21.95" customHeight="1" thickBot="1" x14ac:dyDescent="0.25">
      <c r="A104" s="266"/>
      <c r="B104" s="268"/>
      <c r="C104" s="268"/>
      <c r="D104" s="268"/>
      <c r="E104" s="268"/>
      <c r="F104" s="235">
        <v>10180</v>
      </c>
      <c r="G104" s="235" t="s">
        <v>126</v>
      </c>
      <c r="H104" s="235" t="s">
        <v>127</v>
      </c>
      <c r="I104" s="235" t="s">
        <v>66</v>
      </c>
      <c r="J104" s="236" t="s">
        <v>58</v>
      </c>
      <c r="K104" s="235">
        <v>74200</v>
      </c>
      <c r="L104" s="235" t="s">
        <v>76</v>
      </c>
      <c r="M104" s="237">
        <f t="shared" si="56"/>
        <v>0</v>
      </c>
      <c r="N104" s="237">
        <f t="shared" si="56"/>
        <v>76</v>
      </c>
      <c r="O104" s="237">
        <f t="shared" si="56"/>
        <v>74</v>
      </c>
      <c r="P104" s="237">
        <f t="shared" si="57"/>
        <v>73</v>
      </c>
      <c r="Q104" s="237">
        <f t="shared" si="58"/>
        <v>223</v>
      </c>
      <c r="R104" s="238">
        <v>18</v>
      </c>
      <c r="S104" s="9">
        <f t="shared" si="59"/>
        <v>4.4532398282170031E-3</v>
      </c>
    </row>
    <row r="105" spans="1:39" ht="21.95" customHeight="1" thickBot="1" x14ac:dyDescent="0.25">
      <c r="A105" s="266"/>
      <c r="B105" s="268"/>
      <c r="C105" s="268"/>
      <c r="D105" s="268"/>
      <c r="E105" s="268"/>
      <c r="F105" s="235">
        <v>10180</v>
      </c>
      <c r="G105" s="235" t="s">
        <v>126</v>
      </c>
      <c r="H105" s="235" t="s">
        <v>127</v>
      </c>
      <c r="I105" s="235" t="s">
        <v>66</v>
      </c>
      <c r="J105" s="236" t="s">
        <v>23</v>
      </c>
      <c r="K105" s="235">
        <v>74500</v>
      </c>
      <c r="L105" s="235" t="s">
        <v>49</v>
      </c>
      <c r="M105" s="237">
        <f t="shared" si="56"/>
        <v>0</v>
      </c>
      <c r="N105" s="237">
        <f t="shared" si="56"/>
        <v>96</v>
      </c>
      <c r="O105" s="237">
        <f t="shared" si="56"/>
        <v>93</v>
      </c>
      <c r="P105" s="237">
        <f t="shared" si="57"/>
        <v>92</v>
      </c>
      <c r="Q105" s="237">
        <f>V6-SUM(Q12,Q25:Q32,Q57,Q80, Q94:Q104)</f>
        <v>281</v>
      </c>
      <c r="R105" s="238">
        <v>11</v>
      </c>
      <c r="S105" s="9">
        <f t="shared" si="59"/>
        <v>5.5771968870457524E-3</v>
      </c>
    </row>
    <row r="106" spans="1:39" ht="21.95" customHeight="1" thickBot="1" x14ac:dyDescent="0.25">
      <c r="A106" s="266"/>
      <c r="B106" s="268"/>
      <c r="C106" s="268"/>
      <c r="D106" s="268"/>
      <c r="E106" s="268"/>
      <c r="F106" s="235">
        <v>10180</v>
      </c>
      <c r="G106" s="235" t="s">
        <v>126</v>
      </c>
      <c r="H106" s="235" t="s">
        <v>127</v>
      </c>
      <c r="I106" s="235" t="s">
        <v>66</v>
      </c>
      <c r="J106" s="236" t="s">
        <v>23</v>
      </c>
      <c r="K106" s="235">
        <v>74700</v>
      </c>
      <c r="L106" s="235" t="s">
        <v>77</v>
      </c>
      <c r="M106" s="237">
        <f t="shared" si="56"/>
        <v>0</v>
      </c>
      <c r="N106" s="237">
        <f t="shared" si="56"/>
        <v>0</v>
      </c>
      <c r="O106" s="237">
        <f t="shared" si="56"/>
        <v>0</v>
      </c>
      <c r="P106" s="237">
        <f t="shared" si="57"/>
        <v>0</v>
      </c>
      <c r="Q106" s="237">
        <f t="shared" ref="Q106:Q108" si="60">$V$6*S106</f>
        <v>0</v>
      </c>
      <c r="R106" s="238">
        <v>19</v>
      </c>
      <c r="S106" s="9">
        <f t="shared" si="59"/>
        <v>0</v>
      </c>
    </row>
    <row r="107" spans="1:39" ht="21.95" customHeight="1" thickBot="1" x14ac:dyDescent="0.25">
      <c r="A107" s="266"/>
      <c r="B107" s="268"/>
      <c r="C107" s="268"/>
      <c r="D107" s="268"/>
      <c r="E107" s="268"/>
      <c r="F107" s="235">
        <v>10180</v>
      </c>
      <c r="G107" s="235" t="s">
        <v>126</v>
      </c>
      <c r="H107" s="235" t="s">
        <v>127</v>
      </c>
      <c r="I107" s="235" t="s">
        <v>66</v>
      </c>
      <c r="J107" s="236" t="s">
        <v>28</v>
      </c>
      <c r="K107" s="235">
        <v>61200</v>
      </c>
      <c r="L107" s="235" t="s">
        <v>29</v>
      </c>
      <c r="M107" s="237">
        <f t="shared" si="56"/>
        <v>0</v>
      </c>
      <c r="N107" s="237">
        <f t="shared" si="56"/>
        <v>0</v>
      </c>
      <c r="O107" s="237">
        <f t="shared" si="56"/>
        <v>0</v>
      </c>
      <c r="P107" s="237">
        <f t="shared" si="57"/>
        <v>0</v>
      </c>
      <c r="Q107" s="237">
        <f t="shared" si="60"/>
        <v>0</v>
      </c>
      <c r="R107" s="238">
        <v>4</v>
      </c>
      <c r="S107" s="9">
        <f t="shared" si="59"/>
        <v>0</v>
      </c>
    </row>
    <row r="108" spans="1:39" s="2" customFormat="1" ht="21.95" customHeight="1" thickBot="1" x14ac:dyDescent="0.25">
      <c r="A108" s="266"/>
      <c r="B108" s="268"/>
      <c r="C108" s="268"/>
      <c r="D108" s="268"/>
      <c r="E108" s="268"/>
      <c r="F108" s="235">
        <v>10180</v>
      </c>
      <c r="G108" s="235" t="s">
        <v>126</v>
      </c>
      <c r="H108" s="235" t="s">
        <v>127</v>
      </c>
      <c r="I108" s="235" t="s">
        <v>66</v>
      </c>
      <c r="J108" s="236" t="s">
        <v>28</v>
      </c>
      <c r="K108" s="235">
        <v>61300</v>
      </c>
      <c r="L108" s="235" t="s">
        <v>30</v>
      </c>
      <c r="M108" s="237">
        <f t="shared" si="56"/>
        <v>0</v>
      </c>
      <c r="N108" s="237">
        <f t="shared" si="56"/>
        <v>0</v>
      </c>
      <c r="O108" s="237">
        <f t="shared" si="56"/>
        <v>0</v>
      </c>
      <c r="P108" s="237">
        <f t="shared" si="57"/>
        <v>0</v>
      </c>
      <c r="Q108" s="237">
        <f t="shared" si="60"/>
        <v>0</v>
      </c>
      <c r="R108" s="238">
        <v>4</v>
      </c>
      <c r="S108" s="9">
        <f t="shared" si="59"/>
        <v>0</v>
      </c>
      <c r="U108" s="1"/>
      <c r="V108" s="1"/>
      <c r="W108" s="1"/>
      <c r="X108" s="1"/>
      <c r="Y108" s="1"/>
      <c r="Z108" s="1"/>
      <c r="AA108" s="1"/>
      <c r="AB108" s="1"/>
      <c r="AC108" s="1"/>
      <c r="AD108" s="1"/>
      <c r="AE108" s="1"/>
      <c r="AF108" s="1"/>
      <c r="AG108" s="1"/>
      <c r="AH108" s="1"/>
      <c r="AI108" s="1"/>
      <c r="AJ108" s="1"/>
      <c r="AK108" s="1"/>
      <c r="AL108" s="1"/>
      <c r="AM108" s="1"/>
    </row>
    <row r="109" spans="1:39" s="2" customFormat="1" ht="21.95" customHeight="1" thickBot="1" x14ac:dyDescent="0.25">
      <c r="A109" s="266"/>
      <c r="B109" s="268"/>
      <c r="C109" s="269" t="s">
        <v>31</v>
      </c>
      <c r="D109" s="269"/>
      <c r="E109" s="269"/>
      <c r="F109" s="269"/>
      <c r="G109" s="269"/>
      <c r="H109" s="269"/>
      <c r="I109" s="269"/>
      <c r="J109" s="269"/>
      <c r="K109" s="269"/>
      <c r="L109" s="269"/>
      <c r="M109" s="237">
        <f>SUM(M94:M108)</f>
        <v>0</v>
      </c>
      <c r="N109" s="237">
        <f t="shared" ref="N109:Q109" si="61">SUM(N94:N108)</f>
        <v>5938</v>
      </c>
      <c r="O109" s="237">
        <f t="shared" si="61"/>
        <v>5764</v>
      </c>
      <c r="P109" s="237">
        <f t="shared" si="61"/>
        <v>5762</v>
      </c>
      <c r="Q109" s="237">
        <f t="shared" si="61"/>
        <v>17464</v>
      </c>
      <c r="R109" s="238"/>
      <c r="S109" s="9"/>
      <c r="U109" s="1"/>
      <c r="V109" s="1"/>
      <c r="W109" s="1"/>
      <c r="X109" s="1"/>
      <c r="Y109" s="1"/>
      <c r="Z109" s="1"/>
      <c r="AA109" s="1"/>
      <c r="AB109" s="1"/>
      <c r="AC109" s="1"/>
      <c r="AD109" s="1"/>
      <c r="AE109" s="1"/>
      <c r="AF109" s="1"/>
      <c r="AG109" s="1"/>
      <c r="AH109" s="1"/>
      <c r="AI109" s="1"/>
      <c r="AJ109" s="1"/>
      <c r="AK109" s="1"/>
      <c r="AL109" s="1"/>
      <c r="AM109" s="1"/>
    </row>
    <row r="110" spans="1:39" s="2" customFormat="1" ht="21.95" customHeight="1" thickBot="1" x14ac:dyDescent="0.25">
      <c r="A110" s="266"/>
      <c r="B110" s="269" t="s">
        <v>78</v>
      </c>
      <c r="C110" s="269"/>
      <c r="D110" s="269"/>
      <c r="E110" s="269"/>
      <c r="F110" s="269"/>
      <c r="G110" s="269"/>
      <c r="H110" s="269"/>
      <c r="I110" s="269"/>
      <c r="J110" s="269"/>
      <c r="K110" s="269"/>
      <c r="L110" s="269"/>
      <c r="M110" s="237">
        <f>M109</f>
        <v>0</v>
      </c>
      <c r="N110" s="237">
        <f t="shared" ref="N110:Q110" si="62">N109</f>
        <v>5938</v>
      </c>
      <c r="O110" s="237">
        <f t="shared" si="62"/>
        <v>5764</v>
      </c>
      <c r="P110" s="237">
        <f t="shared" si="62"/>
        <v>5762</v>
      </c>
      <c r="Q110" s="237">
        <f t="shared" si="62"/>
        <v>17464</v>
      </c>
      <c r="R110" s="238"/>
      <c r="S110" s="9"/>
      <c r="U110" s="1"/>
      <c r="V110" s="1"/>
      <c r="W110" s="1"/>
      <c r="X110" s="1"/>
      <c r="Y110" s="1"/>
      <c r="Z110" s="1"/>
      <c r="AA110" s="1"/>
      <c r="AB110" s="1"/>
      <c r="AC110" s="1"/>
      <c r="AD110" s="1"/>
      <c r="AE110" s="1"/>
      <c r="AF110" s="1"/>
      <c r="AG110" s="1"/>
      <c r="AH110" s="1"/>
      <c r="AI110" s="1"/>
      <c r="AJ110" s="1"/>
      <c r="AK110" s="1"/>
      <c r="AL110" s="1"/>
      <c r="AM110" s="1"/>
    </row>
    <row r="111" spans="1:39" s="2" customFormat="1" ht="21.95" customHeight="1" thickBot="1" x14ac:dyDescent="0.25">
      <c r="A111" s="266"/>
      <c r="B111" s="265" t="s">
        <v>79</v>
      </c>
      <c r="C111" s="265" t="s">
        <v>17</v>
      </c>
      <c r="D111" s="265">
        <v>62000</v>
      </c>
      <c r="E111" s="265">
        <v>10003</v>
      </c>
      <c r="F111" s="235">
        <v>10180</v>
      </c>
      <c r="G111" s="235" t="s">
        <v>126</v>
      </c>
      <c r="H111" s="235" t="s">
        <v>127</v>
      </c>
      <c r="I111" s="235" t="s">
        <v>79</v>
      </c>
      <c r="J111" s="236" t="s">
        <v>21</v>
      </c>
      <c r="K111" s="235">
        <v>71400</v>
      </c>
      <c r="L111" s="235" t="s">
        <v>22</v>
      </c>
      <c r="M111" s="237">
        <f t="shared" ref="M111:O125" si="63">ROUND(M$2*$Q111,0)</f>
        <v>0</v>
      </c>
      <c r="N111" s="237">
        <f t="shared" si="63"/>
        <v>61693</v>
      </c>
      <c r="O111" s="237">
        <f t="shared" si="63"/>
        <v>59879</v>
      </c>
      <c r="P111" s="237">
        <f t="shared" ref="P111:P125" si="64">Q111-SUM(M111:O111)</f>
        <v>59879</v>
      </c>
      <c r="Q111" s="237">
        <f t="shared" ref="Q111:Q121" si="65">ROUND($V$7*S111,0)</f>
        <v>181451</v>
      </c>
      <c r="R111" s="238">
        <v>5</v>
      </c>
      <c r="S111" s="9">
        <f t="shared" ref="S111:S125" si="66">VLOOKUP(K111, rpastarratio, 7, FALSE)*VLOOKUP(K111, rpastarratio, 8, FALSE)</f>
        <v>0.1954641301055286</v>
      </c>
      <c r="U111" s="1"/>
      <c r="V111" s="1"/>
      <c r="W111" s="1"/>
      <c r="X111" s="1"/>
      <c r="Y111" s="1"/>
      <c r="Z111" s="1"/>
      <c r="AA111" s="1"/>
      <c r="AB111" s="1"/>
      <c r="AC111" s="1"/>
      <c r="AD111" s="1"/>
      <c r="AE111" s="1"/>
      <c r="AF111" s="1"/>
      <c r="AG111" s="1"/>
      <c r="AH111" s="1"/>
      <c r="AI111" s="1"/>
      <c r="AJ111" s="1"/>
      <c r="AK111" s="1"/>
      <c r="AL111" s="1"/>
      <c r="AM111" s="1"/>
    </row>
    <row r="112" spans="1:39" s="2" customFormat="1" ht="21.95" customHeight="1" thickBot="1" x14ac:dyDescent="0.25">
      <c r="A112" s="266"/>
      <c r="B112" s="266"/>
      <c r="C112" s="266"/>
      <c r="D112" s="266"/>
      <c r="E112" s="266"/>
      <c r="F112" s="235">
        <v>10180</v>
      </c>
      <c r="G112" s="235" t="s">
        <v>126</v>
      </c>
      <c r="H112" s="235" t="s">
        <v>127</v>
      </c>
      <c r="I112" s="235" t="s">
        <v>79</v>
      </c>
      <c r="J112" s="236" t="s">
        <v>23</v>
      </c>
      <c r="K112" s="235">
        <v>71600</v>
      </c>
      <c r="L112" s="235" t="s">
        <v>23</v>
      </c>
      <c r="M112" s="237">
        <f t="shared" si="63"/>
        <v>0</v>
      </c>
      <c r="N112" s="237">
        <f t="shared" si="63"/>
        <v>6025</v>
      </c>
      <c r="O112" s="237">
        <f t="shared" si="63"/>
        <v>5848</v>
      </c>
      <c r="P112" s="237">
        <f t="shared" si="64"/>
        <v>5847</v>
      </c>
      <c r="Q112" s="237">
        <f t="shared" si="65"/>
        <v>17720</v>
      </c>
      <c r="R112" s="238">
        <v>7</v>
      </c>
      <c r="S112" s="9">
        <f t="shared" si="66"/>
        <v>1.9088921632889829E-2</v>
      </c>
      <c r="U112" s="1"/>
      <c r="V112" s="1"/>
      <c r="W112" s="1"/>
      <c r="X112" s="1"/>
      <c r="Y112" s="1"/>
      <c r="Z112" s="1"/>
      <c r="AA112" s="1"/>
      <c r="AB112" s="1"/>
      <c r="AC112" s="1"/>
      <c r="AD112" s="1"/>
      <c r="AE112" s="1"/>
      <c r="AF112" s="1"/>
      <c r="AG112" s="1"/>
      <c r="AH112" s="1"/>
      <c r="AI112" s="1"/>
      <c r="AJ112" s="1"/>
      <c r="AK112" s="1"/>
      <c r="AL112" s="1"/>
      <c r="AM112" s="1"/>
    </row>
    <row r="113" spans="1:39" s="2" customFormat="1" ht="21.95" customHeight="1" thickBot="1" x14ac:dyDescent="0.25">
      <c r="A113" s="266"/>
      <c r="B113" s="266"/>
      <c r="C113" s="266"/>
      <c r="D113" s="266"/>
      <c r="E113" s="266"/>
      <c r="F113" s="235">
        <v>10180</v>
      </c>
      <c r="G113" s="235" t="s">
        <v>126</v>
      </c>
      <c r="H113" s="235" t="s">
        <v>127</v>
      </c>
      <c r="I113" s="235" t="s">
        <v>79</v>
      </c>
      <c r="J113" s="236" t="s">
        <v>58</v>
      </c>
      <c r="K113" s="235">
        <v>72200</v>
      </c>
      <c r="L113" s="235" t="s">
        <v>67</v>
      </c>
      <c r="M113" s="237">
        <f t="shared" si="63"/>
        <v>0</v>
      </c>
      <c r="N113" s="237">
        <f t="shared" si="63"/>
        <v>436</v>
      </c>
      <c r="O113" s="237">
        <f t="shared" si="63"/>
        <v>423</v>
      </c>
      <c r="P113" s="237">
        <f t="shared" si="64"/>
        <v>423</v>
      </c>
      <c r="Q113" s="237">
        <f t="shared" si="65"/>
        <v>1282</v>
      </c>
      <c r="R113" s="238">
        <v>13</v>
      </c>
      <c r="S113" s="9">
        <f t="shared" si="66"/>
        <v>1.3809950556502931E-3</v>
      </c>
      <c r="U113" s="1"/>
      <c r="V113" s="1"/>
      <c r="W113" s="1"/>
      <c r="X113" s="1"/>
      <c r="Y113" s="1"/>
      <c r="Z113" s="1"/>
      <c r="AA113" s="1"/>
      <c r="AB113" s="1"/>
      <c r="AC113" s="1"/>
      <c r="AD113" s="1"/>
      <c r="AE113" s="1"/>
      <c r="AF113" s="1"/>
      <c r="AG113" s="1"/>
      <c r="AH113" s="1"/>
      <c r="AI113" s="1"/>
      <c r="AJ113" s="1"/>
      <c r="AK113" s="1"/>
      <c r="AL113" s="1"/>
      <c r="AM113" s="1"/>
    </row>
    <row r="114" spans="1:39" s="2" customFormat="1" ht="21.95" customHeight="1" thickBot="1" x14ac:dyDescent="0.25">
      <c r="A114" s="266"/>
      <c r="B114" s="266"/>
      <c r="C114" s="266"/>
      <c r="D114" s="266"/>
      <c r="E114" s="266"/>
      <c r="F114" s="235">
        <v>10180</v>
      </c>
      <c r="G114" s="235" t="s">
        <v>126</v>
      </c>
      <c r="H114" s="235" t="s">
        <v>127</v>
      </c>
      <c r="I114" s="235" t="s">
        <v>79</v>
      </c>
      <c r="J114" s="236" t="s">
        <v>58</v>
      </c>
      <c r="K114" s="235">
        <v>72300</v>
      </c>
      <c r="L114" s="235" t="s">
        <v>68</v>
      </c>
      <c r="M114" s="237">
        <f t="shared" si="63"/>
        <v>0</v>
      </c>
      <c r="N114" s="237">
        <f t="shared" si="63"/>
        <v>0</v>
      </c>
      <c r="O114" s="237">
        <f t="shared" si="63"/>
        <v>0</v>
      </c>
      <c r="P114" s="237">
        <f t="shared" si="64"/>
        <v>0</v>
      </c>
      <c r="Q114" s="237">
        <f t="shared" si="65"/>
        <v>0</v>
      </c>
      <c r="R114" s="238">
        <v>14</v>
      </c>
      <c r="S114" s="9">
        <f t="shared" si="66"/>
        <v>0</v>
      </c>
      <c r="U114" s="1"/>
      <c r="V114" s="1"/>
      <c r="W114" s="1"/>
      <c r="X114" s="1"/>
      <c r="Y114" s="1"/>
      <c r="Z114" s="1"/>
      <c r="AA114" s="1"/>
      <c r="AB114" s="1"/>
      <c r="AC114" s="1"/>
      <c r="AD114" s="1"/>
      <c r="AE114" s="1"/>
      <c r="AF114" s="1"/>
      <c r="AG114" s="1"/>
      <c r="AH114" s="1"/>
      <c r="AI114" s="1"/>
      <c r="AJ114" s="1"/>
      <c r="AK114" s="1"/>
      <c r="AL114" s="1"/>
      <c r="AM114" s="1"/>
    </row>
    <row r="115" spans="1:39" s="2" customFormat="1" ht="21.95" customHeight="1" thickBot="1" x14ac:dyDescent="0.25">
      <c r="A115" s="266"/>
      <c r="B115" s="266"/>
      <c r="C115" s="266"/>
      <c r="D115" s="266"/>
      <c r="E115" s="266"/>
      <c r="F115" s="235">
        <v>10180</v>
      </c>
      <c r="G115" s="235" t="s">
        <v>126</v>
      </c>
      <c r="H115" s="235" t="s">
        <v>127</v>
      </c>
      <c r="I115" s="235" t="s">
        <v>79</v>
      </c>
      <c r="J115" s="236" t="s">
        <v>58</v>
      </c>
      <c r="K115" s="235">
        <v>72400</v>
      </c>
      <c r="L115" s="235" t="s">
        <v>69</v>
      </c>
      <c r="M115" s="237">
        <f t="shared" si="63"/>
        <v>0</v>
      </c>
      <c r="N115" s="237">
        <f t="shared" si="63"/>
        <v>3103</v>
      </c>
      <c r="O115" s="237">
        <f t="shared" si="63"/>
        <v>3011</v>
      </c>
      <c r="P115" s="237">
        <f t="shared" si="64"/>
        <v>3011</v>
      </c>
      <c r="Q115" s="237">
        <f t="shared" si="65"/>
        <v>9125</v>
      </c>
      <c r="R115" s="238">
        <v>15</v>
      </c>
      <c r="S115" s="9">
        <f t="shared" si="66"/>
        <v>9.8297058690645783E-3</v>
      </c>
      <c r="U115" s="1"/>
      <c r="V115" s="1"/>
      <c r="W115" s="1"/>
      <c r="X115" s="1"/>
      <c r="Y115" s="1"/>
      <c r="Z115" s="1"/>
      <c r="AA115" s="1"/>
      <c r="AB115" s="1"/>
      <c r="AC115" s="1"/>
      <c r="AD115" s="1"/>
      <c r="AE115" s="1"/>
      <c r="AF115" s="1"/>
      <c r="AG115" s="1"/>
      <c r="AH115" s="1"/>
      <c r="AI115" s="1"/>
      <c r="AJ115" s="1"/>
      <c r="AK115" s="1"/>
      <c r="AL115" s="1"/>
      <c r="AM115" s="1"/>
    </row>
    <row r="116" spans="1:39" s="2" customFormat="1" ht="21.95" customHeight="1" thickBot="1" x14ac:dyDescent="0.25">
      <c r="A116" s="266"/>
      <c r="B116" s="266"/>
      <c r="C116" s="266"/>
      <c r="D116" s="266"/>
      <c r="E116" s="266"/>
      <c r="F116" s="235">
        <v>10180</v>
      </c>
      <c r="G116" s="235" t="s">
        <v>126</v>
      </c>
      <c r="H116" s="235" t="s">
        <v>127</v>
      </c>
      <c r="I116" s="235" t="s">
        <v>79</v>
      </c>
      <c r="J116" s="236" t="s">
        <v>24</v>
      </c>
      <c r="K116" s="235">
        <v>72500</v>
      </c>
      <c r="L116" s="235" t="s">
        <v>25</v>
      </c>
      <c r="M116" s="237">
        <f t="shared" si="63"/>
        <v>0</v>
      </c>
      <c r="N116" s="237">
        <f t="shared" si="63"/>
        <v>2820</v>
      </c>
      <c r="O116" s="237">
        <f t="shared" si="63"/>
        <v>2737</v>
      </c>
      <c r="P116" s="237">
        <f t="shared" si="64"/>
        <v>2738</v>
      </c>
      <c r="Q116" s="237">
        <f t="shared" si="65"/>
        <v>8295</v>
      </c>
      <c r="R116" s="238">
        <v>10</v>
      </c>
      <c r="S116" s="9">
        <f t="shared" si="66"/>
        <v>8.9354246977183041E-3</v>
      </c>
      <c r="U116" s="1"/>
      <c r="V116" s="1"/>
      <c r="W116" s="1"/>
      <c r="X116" s="1"/>
      <c r="Y116" s="1"/>
      <c r="Z116" s="1"/>
      <c r="AA116" s="1"/>
      <c r="AB116" s="1"/>
      <c r="AC116" s="1"/>
      <c r="AD116" s="1"/>
      <c r="AE116" s="1"/>
      <c r="AF116" s="1"/>
      <c r="AG116" s="1"/>
      <c r="AH116" s="1"/>
      <c r="AI116" s="1"/>
      <c r="AJ116" s="1"/>
      <c r="AK116" s="1"/>
      <c r="AL116" s="1"/>
      <c r="AM116" s="1"/>
    </row>
    <row r="117" spans="1:39" s="2" customFormat="1" ht="21.95" customHeight="1" thickBot="1" x14ac:dyDescent="0.25">
      <c r="A117" s="266"/>
      <c r="B117" s="266"/>
      <c r="C117" s="266"/>
      <c r="D117" s="266"/>
      <c r="E117" s="266"/>
      <c r="F117" s="235">
        <v>10180</v>
      </c>
      <c r="G117" s="235" t="s">
        <v>126</v>
      </c>
      <c r="H117" s="235" t="s">
        <v>127</v>
      </c>
      <c r="I117" s="235" t="s">
        <v>79</v>
      </c>
      <c r="J117" s="236" t="s">
        <v>58</v>
      </c>
      <c r="K117" s="235">
        <v>72800</v>
      </c>
      <c r="L117" s="235" t="s">
        <v>70</v>
      </c>
      <c r="M117" s="237">
        <f t="shared" si="63"/>
        <v>0</v>
      </c>
      <c r="N117" s="237">
        <f t="shared" si="63"/>
        <v>1979</v>
      </c>
      <c r="O117" s="237">
        <f t="shared" si="63"/>
        <v>1921</v>
      </c>
      <c r="P117" s="237">
        <f t="shared" si="64"/>
        <v>1920</v>
      </c>
      <c r="Q117" s="237">
        <f t="shared" si="65"/>
        <v>5820</v>
      </c>
      <c r="R117" s="238">
        <v>16</v>
      </c>
      <c r="S117" s="9">
        <f t="shared" si="66"/>
        <v>6.2690135248252591E-3</v>
      </c>
      <c r="U117" s="1"/>
      <c r="V117" s="1"/>
      <c r="W117" s="1"/>
      <c r="X117" s="1"/>
      <c r="Y117" s="1"/>
      <c r="Z117" s="1"/>
      <c r="AA117" s="1"/>
      <c r="AB117" s="1"/>
      <c r="AC117" s="1"/>
      <c r="AD117" s="1"/>
      <c r="AE117" s="1"/>
      <c r="AF117" s="1"/>
      <c r="AG117" s="1"/>
      <c r="AH117" s="1"/>
      <c r="AI117" s="1"/>
      <c r="AJ117" s="1"/>
      <c r="AK117" s="1"/>
      <c r="AL117" s="1"/>
      <c r="AM117" s="1"/>
    </row>
    <row r="118" spans="1:39" s="2" customFormat="1" ht="21.95" customHeight="1" thickBot="1" x14ac:dyDescent="0.25">
      <c r="A118" s="266"/>
      <c r="B118" s="266"/>
      <c r="C118" s="266"/>
      <c r="D118" s="266"/>
      <c r="E118" s="266"/>
      <c r="F118" s="235">
        <v>10180</v>
      </c>
      <c r="G118" s="235" t="s">
        <v>126</v>
      </c>
      <c r="H118" s="235" t="s">
        <v>127</v>
      </c>
      <c r="I118" s="235" t="s">
        <v>79</v>
      </c>
      <c r="J118" s="236" t="s">
        <v>71</v>
      </c>
      <c r="K118" s="235">
        <v>73100</v>
      </c>
      <c r="L118" s="235" t="s">
        <v>72</v>
      </c>
      <c r="M118" s="237">
        <f t="shared" si="63"/>
        <v>0</v>
      </c>
      <c r="N118" s="237">
        <f t="shared" si="63"/>
        <v>25477</v>
      </c>
      <c r="O118" s="237">
        <f t="shared" si="63"/>
        <v>24728</v>
      </c>
      <c r="P118" s="237">
        <f t="shared" si="64"/>
        <v>24728</v>
      </c>
      <c r="Q118" s="237">
        <f t="shared" si="65"/>
        <v>74933</v>
      </c>
      <c r="R118" s="238">
        <v>8</v>
      </c>
      <c r="S118" s="9">
        <f t="shared" si="66"/>
        <v>8.0719428593636094E-2</v>
      </c>
      <c r="U118" s="1"/>
      <c r="V118" s="1"/>
      <c r="W118" s="1"/>
      <c r="X118" s="1"/>
      <c r="Y118" s="1"/>
      <c r="Z118" s="1"/>
      <c r="AA118" s="1"/>
      <c r="AB118" s="1"/>
      <c r="AC118" s="1"/>
      <c r="AD118" s="1"/>
      <c r="AE118" s="1"/>
      <c r="AF118" s="1"/>
      <c r="AG118" s="1"/>
      <c r="AH118" s="1"/>
      <c r="AI118" s="1"/>
      <c r="AJ118" s="1"/>
      <c r="AK118" s="1"/>
      <c r="AL118" s="1"/>
      <c r="AM118" s="1"/>
    </row>
    <row r="119" spans="1:39" s="2" customFormat="1" ht="21.95" customHeight="1" thickBot="1" x14ac:dyDescent="0.25">
      <c r="A119" s="266"/>
      <c r="B119" s="266"/>
      <c r="C119" s="266"/>
      <c r="D119" s="266"/>
      <c r="E119" s="266"/>
      <c r="F119" s="235">
        <v>10180</v>
      </c>
      <c r="G119" s="235" t="s">
        <v>126</v>
      </c>
      <c r="H119" s="235" t="s">
        <v>127</v>
      </c>
      <c r="I119" s="235" t="s">
        <v>79</v>
      </c>
      <c r="J119" s="236" t="s">
        <v>58</v>
      </c>
      <c r="K119" s="235">
        <v>73400</v>
      </c>
      <c r="L119" s="235" t="s">
        <v>73</v>
      </c>
      <c r="M119" s="237">
        <f t="shared" si="63"/>
        <v>0</v>
      </c>
      <c r="N119" s="237">
        <f t="shared" si="63"/>
        <v>1498</v>
      </c>
      <c r="O119" s="237">
        <f t="shared" si="63"/>
        <v>1454</v>
      </c>
      <c r="P119" s="237">
        <f t="shared" si="64"/>
        <v>1453</v>
      </c>
      <c r="Q119" s="237">
        <f t="shared" si="65"/>
        <v>4405</v>
      </c>
      <c r="R119" s="238">
        <v>17</v>
      </c>
      <c r="S119" s="9">
        <f t="shared" si="66"/>
        <v>4.7455922829596269E-3</v>
      </c>
      <c r="U119" s="1"/>
      <c r="V119" s="1"/>
      <c r="W119" s="1"/>
      <c r="X119" s="1"/>
      <c r="Y119" s="1"/>
      <c r="Z119" s="1"/>
      <c r="AA119" s="1"/>
      <c r="AB119" s="1"/>
      <c r="AC119" s="1"/>
      <c r="AD119" s="1"/>
      <c r="AE119" s="1"/>
      <c r="AF119" s="1"/>
      <c r="AG119" s="1"/>
      <c r="AH119" s="1"/>
      <c r="AI119" s="1"/>
      <c r="AJ119" s="1"/>
      <c r="AK119" s="1"/>
      <c r="AL119" s="1"/>
      <c r="AM119" s="1"/>
    </row>
    <row r="120" spans="1:39" s="2" customFormat="1" ht="21.95" customHeight="1" thickBot="1" x14ac:dyDescent="0.25">
      <c r="A120" s="266"/>
      <c r="B120" s="266"/>
      <c r="C120" s="266"/>
      <c r="D120" s="266"/>
      <c r="E120" s="266"/>
      <c r="F120" s="235">
        <v>10180</v>
      </c>
      <c r="G120" s="235" t="s">
        <v>126</v>
      </c>
      <c r="H120" s="235" t="s">
        <v>127</v>
      </c>
      <c r="I120" s="235" t="s">
        <v>79</v>
      </c>
      <c r="J120" s="236" t="s">
        <v>74</v>
      </c>
      <c r="K120" s="235">
        <v>74100</v>
      </c>
      <c r="L120" s="235" t="s">
        <v>75</v>
      </c>
      <c r="M120" s="237">
        <f t="shared" si="63"/>
        <v>0</v>
      </c>
      <c r="N120" s="237">
        <f t="shared" si="63"/>
        <v>4039</v>
      </c>
      <c r="O120" s="237">
        <f t="shared" si="63"/>
        <v>3920</v>
      </c>
      <c r="P120" s="237">
        <f t="shared" si="64"/>
        <v>3921</v>
      </c>
      <c r="Q120" s="237">
        <f t="shared" si="65"/>
        <v>11880</v>
      </c>
      <c r="R120" s="238">
        <v>9</v>
      </c>
      <c r="S120" s="9">
        <f t="shared" si="66"/>
        <v>1.2797552510957431E-2</v>
      </c>
      <c r="U120" s="1"/>
      <c r="V120" s="1"/>
      <c r="W120" s="1"/>
      <c r="X120" s="1"/>
      <c r="Y120" s="1"/>
      <c r="Z120" s="1"/>
      <c r="AA120" s="1"/>
      <c r="AB120" s="1"/>
      <c r="AC120" s="1"/>
      <c r="AD120" s="1"/>
      <c r="AE120" s="1"/>
      <c r="AF120" s="1"/>
      <c r="AG120" s="1"/>
      <c r="AH120" s="1"/>
      <c r="AI120" s="1"/>
      <c r="AJ120" s="1"/>
      <c r="AK120" s="1"/>
      <c r="AL120" s="1"/>
      <c r="AM120" s="1"/>
    </row>
    <row r="121" spans="1:39" s="2" customFormat="1" ht="21.95" customHeight="1" thickBot="1" x14ac:dyDescent="0.25">
      <c r="A121" s="266"/>
      <c r="B121" s="266"/>
      <c r="C121" s="266"/>
      <c r="D121" s="266"/>
      <c r="E121" s="266"/>
      <c r="F121" s="235">
        <v>10180</v>
      </c>
      <c r="G121" s="235" t="s">
        <v>126</v>
      </c>
      <c r="H121" s="235" t="s">
        <v>127</v>
      </c>
      <c r="I121" s="235" t="s">
        <v>79</v>
      </c>
      <c r="J121" s="236" t="s">
        <v>58</v>
      </c>
      <c r="K121" s="235">
        <v>74200</v>
      </c>
      <c r="L121" s="235" t="s">
        <v>76</v>
      </c>
      <c r="M121" s="237">
        <f t="shared" si="63"/>
        <v>0</v>
      </c>
      <c r="N121" s="237">
        <f t="shared" si="63"/>
        <v>1406</v>
      </c>
      <c r="O121" s="237">
        <f t="shared" si="63"/>
        <v>1364</v>
      </c>
      <c r="P121" s="237">
        <f t="shared" si="64"/>
        <v>1364</v>
      </c>
      <c r="Q121" s="237">
        <f t="shared" si="65"/>
        <v>4134</v>
      </c>
      <c r="R121" s="238">
        <v>18</v>
      </c>
      <c r="S121" s="9">
        <f t="shared" si="66"/>
        <v>4.4532398282170005E-3</v>
      </c>
      <c r="U121" s="1"/>
      <c r="V121" s="1"/>
      <c r="W121" s="1"/>
      <c r="X121" s="1"/>
      <c r="Y121" s="1"/>
      <c r="Z121" s="1"/>
      <c r="AA121" s="1"/>
      <c r="AB121" s="1"/>
      <c r="AC121" s="1"/>
      <c r="AD121" s="1"/>
      <c r="AE121" s="1"/>
      <c r="AF121" s="1"/>
      <c r="AG121" s="1"/>
      <c r="AH121" s="1"/>
      <c r="AI121" s="1"/>
      <c r="AJ121" s="1"/>
      <c r="AK121" s="1"/>
      <c r="AL121" s="1"/>
      <c r="AM121" s="1"/>
    </row>
    <row r="122" spans="1:39" s="2" customFormat="1" ht="21.95" customHeight="1" thickBot="1" x14ac:dyDescent="0.25">
      <c r="A122" s="266"/>
      <c r="B122" s="266"/>
      <c r="C122" s="266"/>
      <c r="D122" s="266"/>
      <c r="E122" s="266"/>
      <c r="F122" s="235">
        <v>10180</v>
      </c>
      <c r="G122" s="235" t="s">
        <v>126</v>
      </c>
      <c r="H122" s="235" t="s">
        <v>127</v>
      </c>
      <c r="I122" s="235" t="s">
        <v>79</v>
      </c>
      <c r="J122" s="236" t="s">
        <v>23</v>
      </c>
      <c r="K122" s="235">
        <v>74500</v>
      </c>
      <c r="L122" s="235" t="s">
        <v>49</v>
      </c>
      <c r="M122" s="237">
        <f t="shared" si="63"/>
        <v>0</v>
      </c>
      <c r="N122" s="237">
        <f t="shared" si="63"/>
        <v>1760</v>
      </c>
      <c r="O122" s="237">
        <f t="shared" si="63"/>
        <v>1708</v>
      </c>
      <c r="P122" s="237">
        <f t="shared" si="64"/>
        <v>1708</v>
      </c>
      <c r="Q122" s="237">
        <f>V7-SUM(Q22,Q36:Q43,Q68,Q91,Q111:Q121)</f>
        <v>5176</v>
      </c>
      <c r="R122" s="238">
        <v>11</v>
      </c>
      <c r="S122" s="9">
        <f t="shared" si="66"/>
        <v>5.5771968870457498E-3</v>
      </c>
      <c r="U122" s="1"/>
      <c r="V122" s="1"/>
      <c r="W122" s="1"/>
      <c r="X122" s="1"/>
      <c r="Y122" s="1"/>
      <c r="Z122" s="1"/>
      <c r="AA122" s="1"/>
      <c r="AB122" s="1"/>
      <c r="AC122" s="1"/>
      <c r="AD122" s="1"/>
      <c r="AE122" s="1"/>
      <c r="AF122" s="1"/>
      <c r="AG122" s="1"/>
      <c r="AH122" s="1"/>
      <c r="AI122" s="1"/>
      <c r="AJ122" s="1"/>
      <c r="AK122" s="1"/>
      <c r="AL122" s="1"/>
      <c r="AM122" s="1"/>
    </row>
    <row r="123" spans="1:39" s="2" customFormat="1" ht="21.95" customHeight="1" thickBot="1" x14ac:dyDescent="0.25">
      <c r="A123" s="266"/>
      <c r="B123" s="266"/>
      <c r="C123" s="266"/>
      <c r="D123" s="266"/>
      <c r="E123" s="266"/>
      <c r="F123" s="235">
        <v>10180</v>
      </c>
      <c r="G123" s="235" t="s">
        <v>126</v>
      </c>
      <c r="H123" s="235" t="s">
        <v>127</v>
      </c>
      <c r="I123" s="235" t="s">
        <v>79</v>
      </c>
      <c r="J123" s="236" t="s">
        <v>23</v>
      </c>
      <c r="K123" s="235">
        <v>74700</v>
      </c>
      <c r="L123" s="235" t="s">
        <v>77</v>
      </c>
      <c r="M123" s="237">
        <f t="shared" si="63"/>
        <v>0</v>
      </c>
      <c r="N123" s="237">
        <f t="shared" si="63"/>
        <v>0</v>
      </c>
      <c r="O123" s="237">
        <f t="shared" si="63"/>
        <v>0</v>
      </c>
      <c r="P123" s="237">
        <f t="shared" si="64"/>
        <v>0</v>
      </c>
      <c r="Q123" s="237">
        <f t="shared" ref="Q123:Q125" si="67">$V$7*S123</f>
        <v>0</v>
      </c>
      <c r="R123" s="238">
        <v>19</v>
      </c>
      <c r="S123" s="9">
        <f t="shared" si="66"/>
        <v>0</v>
      </c>
      <c r="U123" s="1"/>
      <c r="V123" s="1"/>
      <c r="W123" s="1"/>
      <c r="X123" s="1"/>
      <c r="Y123" s="1"/>
      <c r="Z123" s="1"/>
      <c r="AA123" s="1"/>
      <c r="AB123" s="1"/>
      <c r="AC123" s="1"/>
      <c r="AD123" s="1"/>
      <c r="AE123" s="1"/>
      <c r="AF123" s="1"/>
      <c r="AG123" s="1"/>
      <c r="AH123" s="1"/>
      <c r="AI123" s="1"/>
      <c r="AJ123" s="1"/>
      <c r="AK123" s="1"/>
      <c r="AL123" s="1"/>
      <c r="AM123" s="1"/>
    </row>
    <row r="124" spans="1:39" s="2" customFormat="1" ht="21.95" customHeight="1" thickBot="1" x14ac:dyDescent="0.25">
      <c r="A124" s="266"/>
      <c r="B124" s="266"/>
      <c r="C124" s="266"/>
      <c r="D124" s="266"/>
      <c r="E124" s="266"/>
      <c r="F124" s="235">
        <v>10180</v>
      </c>
      <c r="G124" s="235" t="s">
        <v>126</v>
      </c>
      <c r="H124" s="235" t="s">
        <v>127</v>
      </c>
      <c r="I124" s="235" t="s">
        <v>79</v>
      </c>
      <c r="J124" s="236" t="s">
        <v>28</v>
      </c>
      <c r="K124" s="235">
        <v>61200</v>
      </c>
      <c r="L124" s="235" t="s">
        <v>29</v>
      </c>
      <c r="M124" s="237">
        <f t="shared" si="63"/>
        <v>0</v>
      </c>
      <c r="N124" s="237">
        <f t="shared" si="63"/>
        <v>0</v>
      </c>
      <c r="O124" s="237">
        <f t="shared" si="63"/>
        <v>0</v>
      </c>
      <c r="P124" s="237">
        <f t="shared" si="64"/>
        <v>0</v>
      </c>
      <c r="Q124" s="237">
        <f t="shared" si="67"/>
        <v>0</v>
      </c>
      <c r="R124" s="238">
        <v>4</v>
      </c>
      <c r="S124" s="9">
        <f t="shared" si="66"/>
        <v>0</v>
      </c>
      <c r="U124" s="1"/>
      <c r="V124" s="1"/>
      <c r="W124" s="1"/>
      <c r="X124" s="1"/>
      <c r="Y124" s="1"/>
      <c r="Z124" s="1"/>
      <c r="AA124" s="1"/>
      <c r="AB124" s="1"/>
      <c r="AC124" s="1"/>
      <c r="AD124" s="1"/>
      <c r="AE124" s="1"/>
      <c r="AF124" s="1"/>
      <c r="AG124" s="1"/>
      <c r="AH124" s="1"/>
      <c r="AI124" s="1"/>
      <c r="AJ124" s="1"/>
      <c r="AK124" s="1"/>
      <c r="AL124" s="1"/>
      <c r="AM124" s="1"/>
    </row>
    <row r="125" spans="1:39" s="2" customFormat="1" ht="21.95" customHeight="1" thickBot="1" x14ac:dyDescent="0.25">
      <c r="A125" s="266"/>
      <c r="B125" s="266"/>
      <c r="C125" s="267"/>
      <c r="D125" s="267"/>
      <c r="E125" s="267"/>
      <c r="F125" s="235">
        <v>10180</v>
      </c>
      <c r="G125" s="235" t="s">
        <v>126</v>
      </c>
      <c r="H125" s="235" t="s">
        <v>127</v>
      </c>
      <c r="I125" s="235" t="s">
        <v>79</v>
      </c>
      <c r="J125" s="236" t="s">
        <v>28</v>
      </c>
      <c r="K125" s="235">
        <v>61300</v>
      </c>
      <c r="L125" s="235" t="s">
        <v>30</v>
      </c>
      <c r="M125" s="237">
        <f t="shared" si="63"/>
        <v>0</v>
      </c>
      <c r="N125" s="237">
        <f t="shared" si="63"/>
        <v>0</v>
      </c>
      <c r="O125" s="237">
        <f t="shared" si="63"/>
        <v>0</v>
      </c>
      <c r="P125" s="237">
        <f t="shared" si="64"/>
        <v>0</v>
      </c>
      <c r="Q125" s="237">
        <f t="shared" si="67"/>
        <v>0</v>
      </c>
      <c r="R125" s="238">
        <v>4</v>
      </c>
      <c r="S125" s="9">
        <f t="shared" si="66"/>
        <v>0</v>
      </c>
      <c r="U125" s="1"/>
      <c r="V125" s="1"/>
      <c r="W125" s="1"/>
      <c r="X125" s="1"/>
      <c r="Y125" s="1"/>
      <c r="Z125" s="1"/>
      <c r="AA125" s="1"/>
      <c r="AB125" s="1"/>
      <c r="AC125" s="1"/>
      <c r="AD125" s="1"/>
      <c r="AE125" s="1"/>
      <c r="AF125" s="1"/>
      <c r="AG125" s="1"/>
      <c r="AH125" s="1"/>
      <c r="AI125" s="1"/>
      <c r="AJ125" s="1"/>
      <c r="AK125" s="1"/>
      <c r="AL125" s="1"/>
      <c r="AM125" s="1"/>
    </row>
    <row r="126" spans="1:39" s="2" customFormat="1" ht="21.95" customHeight="1" thickBot="1" x14ac:dyDescent="0.25">
      <c r="A126" s="266"/>
      <c r="B126" s="266"/>
      <c r="C126" s="270" t="s">
        <v>31</v>
      </c>
      <c r="D126" s="270"/>
      <c r="E126" s="270"/>
      <c r="F126" s="270"/>
      <c r="G126" s="270"/>
      <c r="H126" s="270"/>
      <c r="I126" s="270"/>
      <c r="J126" s="270"/>
      <c r="K126" s="270"/>
      <c r="L126" s="270"/>
      <c r="M126" s="237">
        <f>SUM(M111:M125)</f>
        <v>0</v>
      </c>
      <c r="N126" s="237">
        <f t="shared" ref="N126:Q126" si="68">SUM(N111:N125)</f>
        <v>110236</v>
      </c>
      <c r="O126" s="237">
        <f t="shared" si="68"/>
        <v>106993</v>
      </c>
      <c r="P126" s="237">
        <f t="shared" si="68"/>
        <v>106992</v>
      </c>
      <c r="Q126" s="237">
        <f t="shared" si="68"/>
        <v>324221</v>
      </c>
      <c r="R126" s="238"/>
      <c r="S126" s="9"/>
      <c r="U126" s="1"/>
      <c r="V126" s="1"/>
      <c r="W126" s="1"/>
      <c r="X126" s="1"/>
      <c r="Y126" s="1"/>
      <c r="Z126" s="1"/>
      <c r="AA126" s="1"/>
      <c r="AB126" s="1"/>
      <c r="AC126" s="1"/>
      <c r="AD126" s="1"/>
      <c r="AE126" s="1"/>
      <c r="AF126" s="1"/>
      <c r="AG126" s="1"/>
      <c r="AH126" s="1"/>
      <c r="AI126" s="1"/>
      <c r="AJ126" s="1"/>
      <c r="AK126" s="1"/>
      <c r="AL126" s="1"/>
      <c r="AM126" s="1"/>
    </row>
    <row r="127" spans="1:39" ht="21.95" customHeight="1" thickBot="1" x14ac:dyDescent="0.25">
      <c r="A127" s="267"/>
      <c r="B127" s="270" t="s">
        <v>80</v>
      </c>
      <c r="C127" s="270"/>
      <c r="D127" s="270"/>
      <c r="E127" s="270"/>
      <c r="F127" s="270"/>
      <c r="G127" s="270"/>
      <c r="H127" s="270"/>
      <c r="I127" s="270"/>
      <c r="J127" s="270"/>
      <c r="K127" s="270"/>
      <c r="L127" s="270"/>
      <c r="M127" s="237">
        <f>M126</f>
        <v>0</v>
      </c>
      <c r="N127" s="237">
        <f t="shared" ref="N127:Q127" si="69">N126</f>
        <v>110236</v>
      </c>
      <c r="O127" s="237">
        <f t="shared" si="69"/>
        <v>106993</v>
      </c>
      <c r="P127" s="237">
        <f t="shared" si="69"/>
        <v>106992</v>
      </c>
      <c r="Q127" s="237">
        <f t="shared" si="69"/>
        <v>324221</v>
      </c>
      <c r="R127" s="238"/>
      <c r="T127" s="10"/>
      <c r="AC127" s="11"/>
      <c r="AF127" s="12"/>
      <c r="AG127" s="13"/>
    </row>
    <row r="128" spans="1:39" ht="21.95" customHeight="1" thickBot="1" x14ac:dyDescent="0.25">
      <c r="A128" s="271" t="s">
        <v>81</v>
      </c>
      <c r="B128" s="272"/>
      <c r="C128" s="272"/>
      <c r="D128" s="272"/>
      <c r="E128" s="272"/>
      <c r="F128" s="272"/>
      <c r="G128" s="272"/>
      <c r="H128" s="272"/>
      <c r="I128" s="272"/>
      <c r="J128" s="272"/>
      <c r="K128" s="272"/>
      <c r="L128" s="273"/>
      <c r="M128" s="237">
        <f t="shared" ref="M128:Q128" si="70">M110+M127</f>
        <v>0</v>
      </c>
      <c r="N128" s="237">
        <f t="shared" si="70"/>
        <v>116174</v>
      </c>
      <c r="O128" s="237">
        <f t="shared" si="70"/>
        <v>112757</v>
      </c>
      <c r="P128" s="237">
        <f t="shared" si="70"/>
        <v>112754</v>
      </c>
      <c r="Q128" s="237">
        <f t="shared" si="70"/>
        <v>341685</v>
      </c>
      <c r="R128" s="238"/>
      <c r="U128" s="14"/>
      <c r="AC128" s="15"/>
      <c r="AM128" s="16"/>
    </row>
    <row r="129" spans="1:39" ht="21.95" customHeight="1" thickBot="1" x14ac:dyDescent="0.25">
      <c r="A129" s="271" t="s">
        <v>82</v>
      </c>
      <c r="B129" s="272"/>
      <c r="C129" s="272"/>
      <c r="D129" s="272"/>
      <c r="E129" s="272"/>
      <c r="F129" s="272"/>
      <c r="G129" s="272"/>
      <c r="H129" s="272"/>
      <c r="I129" s="272"/>
      <c r="J129" s="272"/>
      <c r="K129" s="272"/>
      <c r="L129" s="273"/>
      <c r="M129" s="237">
        <f t="shared" ref="M129:P129" si="71">M24+M47+M70+M93+M128</f>
        <v>0</v>
      </c>
      <c r="N129" s="237">
        <f t="shared" si="71"/>
        <v>1587352</v>
      </c>
      <c r="O129" s="237">
        <f t="shared" si="71"/>
        <v>1577571</v>
      </c>
      <c r="P129" s="237">
        <f t="shared" si="71"/>
        <v>950205.17999999993</v>
      </c>
      <c r="Q129" s="242">
        <f>SUM(M129:P129)</f>
        <v>4115128.1799999997</v>
      </c>
      <c r="R129" s="243"/>
      <c r="S129" s="14"/>
      <c r="T129" s="18"/>
      <c r="U129" s="19"/>
    </row>
    <row r="131" spans="1:39" ht="12.6" hidden="1" customHeight="1" x14ac:dyDescent="0.2"/>
    <row r="132" spans="1:39" ht="12.6" hidden="1" customHeight="1" x14ac:dyDescent="0.2">
      <c r="A132" s="1" t="s">
        <v>7</v>
      </c>
      <c r="B132" s="1" t="s">
        <v>110</v>
      </c>
    </row>
    <row r="133" spans="1:39" ht="12.6" hidden="1" customHeight="1" x14ac:dyDescent="0.2">
      <c r="J133" s="1" t="s">
        <v>23</v>
      </c>
    </row>
    <row r="134" spans="1:39" ht="12.6" hidden="1" customHeight="1" x14ac:dyDescent="0.2">
      <c r="A134" s="22" t="s">
        <v>111</v>
      </c>
      <c r="B134" s="22" t="s">
        <v>112</v>
      </c>
      <c r="C134" s="23"/>
      <c r="E134" s="24" t="s">
        <v>113</v>
      </c>
      <c r="F134" s="24"/>
      <c r="G134" s="24"/>
      <c r="H134" s="24"/>
      <c r="I134" s="24"/>
      <c r="J134" s="24">
        <v>2</v>
      </c>
    </row>
    <row r="135" spans="1:39" ht="12.6" hidden="1" customHeight="1" x14ac:dyDescent="0.2">
      <c r="A135" s="22" t="s">
        <v>49</v>
      </c>
      <c r="B135" s="22">
        <v>814869</v>
      </c>
      <c r="C135" s="23"/>
      <c r="E135" s="24" t="s">
        <v>114</v>
      </c>
      <c r="F135" s="24"/>
      <c r="G135" s="24"/>
      <c r="H135" s="24"/>
      <c r="I135" s="24"/>
      <c r="J135" s="24">
        <v>-5</v>
      </c>
    </row>
    <row r="136" spans="1:39" ht="12.6" hidden="1" customHeight="1" x14ac:dyDescent="0.2">
      <c r="A136" s="22" t="s">
        <v>77</v>
      </c>
      <c r="B136" s="22">
        <v>47589</v>
      </c>
      <c r="C136" s="23"/>
      <c r="E136" s="24" t="s">
        <v>115</v>
      </c>
      <c r="F136" s="24"/>
      <c r="G136" s="24"/>
      <c r="H136" s="24"/>
      <c r="I136" s="24"/>
      <c r="J136" s="24">
        <v>-3</v>
      </c>
    </row>
    <row r="137" spans="1:39" ht="12.6" hidden="1" customHeight="1" x14ac:dyDescent="0.2">
      <c r="A137" s="22" t="s">
        <v>23</v>
      </c>
      <c r="B137" s="22">
        <v>2731487.162</v>
      </c>
      <c r="C137" s="23"/>
      <c r="E137" s="24" t="s">
        <v>116</v>
      </c>
      <c r="F137" s="24"/>
      <c r="G137" s="24"/>
      <c r="H137" s="24"/>
      <c r="I137" s="24"/>
      <c r="J137" s="24">
        <v>0</v>
      </c>
    </row>
    <row r="138" spans="1:39" ht="12.6" hidden="1" customHeight="1" x14ac:dyDescent="0.2">
      <c r="A138" s="22" t="s">
        <v>117</v>
      </c>
      <c r="B138" s="22">
        <v>3593945.162</v>
      </c>
      <c r="C138" s="23"/>
      <c r="E138" s="24" t="s">
        <v>118</v>
      </c>
      <c r="F138" s="24"/>
      <c r="G138" s="24"/>
      <c r="H138" s="24"/>
      <c r="I138" s="24"/>
      <c r="J138" s="24">
        <v>-3</v>
      </c>
    </row>
    <row r="139" spans="1:39" ht="12.95" hidden="1" customHeight="1" x14ac:dyDescent="0.2">
      <c r="A139" s="23"/>
      <c r="B139" s="23"/>
      <c r="C139" s="23"/>
      <c r="E139" s="24" t="s">
        <v>119</v>
      </c>
      <c r="F139" s="24"/>
      <c r="G139" s="24"/>
      <c r="H139" s="24"/>
      <c r="I139" s="24"/>
      <c r="J139" s="24">
        <v>-9</v>
      </c>
    </row>
    <row r="140" spans="1:39" s="2" customFormat="1" x14ac:dyDescent="0.2">
      <c r="A140" s="23"/>
      <c r="B140" s="23"/>
      <c r="C140" s="23"/>
      <c r="D140" s="1"/>
      <c r="E140" s="1"/>
      <c r="F140" s="1"/>
      <c r="G140" s="1"/>
      <c r="H140" s="1"/>
      <c r="I140" s="1"/>
      <c r="J140" s="1"/>
      <c r="K140" s="1"/>
      <c r="L140" s="1"/>
      <c r="M140" s="1"/>
      <c r="N140" s="1"/>
      <c r="O140" s="1"/>
      <c r="P140" s="1"/>
      <c r="Q140" s="15"/>
      <c r="R140" s="15"/>
      <c r="S140" s="25"/>
      <c r="U140" s="1"/>
      <c r="V140" s="1"/>
      <c r="W140" s="1"/>
      <c r="X140" s="1"/>
      <c r="Y140" s="1"/>
      <c r="Z140" s="1"/>
      <c r="AA140" s="1"/>
      <c r="AB140" s="1"/>
      <c r="AC140" s="1"/>
      <c r="AD140" s="1"/>
      <c r="AE140" s="1"/>
      <c r="AF140" s="1"/>
      <c r="AG140" s="1"/>
      <c r="AH140" s="1"/>
      <c r="AI140" s="1"/>
      <c r="AJ140" s="1"/>
      <c r="AK140" s="1"/>
      <c r="AL140" s="1"/>
      <c r="AM140" s="1"/>
    </row>
    <row r="141" spans="1:39" s="2" customFormat="1" x14ac:dyDescent="0.2">
      <c r="A141" s="26" t="s">
        <v>83</v>
      </c>
      <c r="B141" s="1"/>
      <c r="C141" s="1"/>
      <c r="D141" s="1"/>
      <c r="E141" s="1"/>
      <c r="F141" s="1"/>
      <c r="G141" s="1"/>
      <c r="H141" s="1"/>
      <c r="I141" s="1"/>
      <c r="J141" s="1"/>
      <c r="K141" s="1"/>
      <c r="L141" s="1"/>
      <c r="M141" s="1"/>
      <c r="N141" s="1"/>
      <c r="O141" s="1"/>
      <c r="P141" s="1"/>
      <c r="Q141" s="15"/>
      <c r="R141" s="15"/>
      <c r="S141" s="1"/>
      <c r="U141" s="1"/>
      <c r="V141" s="1"/>
      <c r="W141" s="1"/>
      <c r="X141" s="1"/>
      <c r="Y141" s="1"/>
      <c r="Z141" s="1"/>
      <c r="AA141" s="1"/>
      <c r="AB141" s="1"/>
      <c r="AC141" s="1"/>
      <c r="AD141" s="1"/>
      <c r="AE141" s="1"/>
      <c r="AF141" s="1"/>
      <c r="AG141" s="1"/>
      <c r="AH141" s="1"/>
      <c r="AI141" s="1"/>
      <c r="AJ141" s="1"/>
      <c r="AK141" s="1"/>
      <c r="AL141" s="1"/>
      <c r="AM141" s="1"/>
    </row>
    <row r="142" spans="1:39" s="2" customFormat="1" x14ac:dyDescent="0.2">
      <c r="A142" s="26" t="s">
        <v>85</v>
      </c>
      <c r="B142" s="1"/>
      <c r="C142" s="1"/>
      <c r="D142" s="1"/>
      <c r="E142" s="1"/>
      <c r="F142" s="1"/>
      <c r="G142" s="1"/>
      <c r="H142" s="1"/>
      <c r="I142" s="1"/>
      <c r="J142" s="1"/>
      <c r="K142" s="1"/>
      <c r="L142" s="1"/>
      <c r="M142" s="1"/>
      <c r="N142" s="1"/>
      <c r="O142" s="1"/>
      <c r="P142" s="1"/>
      <c r="Q142" s="15"/>
      <c r="R142" s="15"/>
      <c r="S142" s="1"/>
      <c r="U142" s="1"/>
      <c r="V142" s="1"/>
      <c r="W142" s="1"/>
      <c r="X142" s="1"/>
      <c r="Y142" s="1"/>
      <c r="Z142" s="1"/>
      <c r="AA142" s="1"/>
      <c r="AB142" s="1"/>
      <c r="AC142" s="1"/>
      <c r="AD142" s="1"/>
      <c r="AE142" s="1"/>
      <c r="AF142" s="1"/>
      <c r="AG142" s="1"/>
      <c r="AH142" s="1"/>
      <c r="AI142" s="1"/>
      <c r="AJ142" s="1"/>
      <c r="AK142" s="1"/>
      <c r="AL142" s="1"/>
      <c r="AM142" s="1"/>
    </row>
    <row r="143" spans="1:39" s="2" customFormat="1" x14ac:dyDescent="0.2">
      <c r="A143" s="27" t="s">
        <v>87</v>
      </c>
      <c r="B143" s="1"/>
      <c r="C143" s="1"/>
      <c r="D143" s="1"/>
      <c r="E143" s="1"/>
      <c r="F143" s="1"/>
      <c r="G143" s="1"/>
      <c r="H143" s="1"/>
      <c r="I143" s="1"/>
      <c r="J143" s="1"/>
      <c r="K143" s="1"/>
      <c r="L143" s="1"/>
      <c r="M143" s="1"/>
      <c r="N143" s="1"/>
      <c r="O143" s="1"/>
      <c r="P143" s="1"/>
      <c r="Q143" s="1"/>
      <c r="R143" s="1"/>
      <c r="S143" s="1"/>
      <c r="U143" s="1"/>
      <c r="V143" s="1"/>
      <c r="W143" s="1"/>
      <c r="X143" s="1"/>
      <c r="Y143" s="1"/>
      <c r="Z143" s="1"/>
      <c r="AA143" s="1"/>
      <c r="AB143" s="1"/>
      <c r="AC143" s="1"/>
      <c r="AD143" s="1"/>
      <c r="AE143" s="1"/>
      <c r="AF143" s="1"/>
      <c r="AG143" s="1"/>
      <c r="AH143" s="1"/>
      <c r="AI143" s="1"/>
      <c r="AJ143" s="1"/>
      <c r="AK143" s="1"/>
      <c r="AL143" s="1"/>
      <c r="AM143" s="1"/>
    </row>
    <row r="144" spans="1:39" s="2" customFormat="1" x14ac:dyDescent="0.2">
      <c r="A144" s="27" t="s">
        <v>88</v>
      </c>
      <c r="B144" s="1"/>
      <c r="C144" s="1"/>
      <c r="D144" s="1"/>
      <c r="E144" s="1"/>
      <c r="F144" s="1"/>
      <c r="G144" s="1"/>
      <c r="H144" s="1"/>
      <c r="I144" s="1"/>
      <c r="J144" s="1"/>
      <c r="K144" s="1"/>
      <c r="L144" s="1"/>
      <c r="M144" s="1"/>
      <c r="N144" s="1"/>
      <c r="O144" s="1"/>
      <c r="P144" s="1"/>
      <c r="Q144" s="1"/>
      <c r="R144" s="1"/>
      <c r="S144" s="1"/>
      <c r="U144" s="1"/>
      <c r="V144" s="1"/>
      <c r="W144" s="1"/>
      <c r="X144" s="1"/>
      <c r="Y144" s="1"/>
      <c r="Z144" s="1"/>
      <c r="AA144" s="1"/>
      <c r="AB144" s="1"/>
      <c r="AC144" s="1"/>
      <c r="AD144" s="1"/>
      <c r="AE144" s="1"/>
      <c r="AF144" s="1"/>
      <c r="AG144" s="1"/>
      <c r="AH144" s="1"/>
      <c r="AI144" s="1"/>
      <c r="AJ144" s="1"/>
      <c r="AK144" s="1"/>
      <c r="AL144" s="1"/>
      <c r="AM144" s="1"/>
    </row>
    <row r="145" spans="1:39" s="2" customFormat="1" x14ac:dyDescent="0.2">
      <c r="A145" s="27" t="s">
        <v>89</v>
      </c>
      <c r="B145" s="1"/>
      <c r="C145" s="1"/>
      <c r="D145" s="1"/>
      <c r="E145" s="1"/>
      <c r="F145" s="1"/>
      <c r="G145" s="1"/>
      <c r="H145" s="1"/>
      <c r="I145" s="1"/>
      <c r="J145" s="1"/>
      <c r="K145" s="1"/>
      <c r="L145" s="1"/>
      <c r="M145" s="1"/>
      <c r="N145" s="1"/>
      <c r="O145" s="1"/>
      <c r="P145" s="1"/>
      <c r="Q145" s="1"/>
      <c r="R145" s="1"/>
      <c r="S145" s="1"/>
      <c r="U145" s="1"/>
      <c r="V145" s="1"/>
      <c r="W145" s="1"/>
      <c r="X145" s="1"/>
      <c r="Y145" s="1"/>
      <c r="Z145" s="1"/>
      <c r="AA145" s="1"/>
      <c r="AB145" s="1"/>
      <c r="AC145" s="1"/>
      <c r="AD145" s="1"/>
      <c r="AE145" s="1"/>
      <c r="AF145" s="1"/>
      <c r="AG145" s="1"/>
      <c r="AH145" s="1"/>
      <c r="AI145" s="1"/>
      <c r="AJ145" s="1"/>
      <c r="AK145" s="1"/>
      <c r="AL145" s="1"/>
      <c r="AM145" s="1"/>
    </row>
    <row r="146" spans="1:39" s="2" customFormat="1" x14ac:dyDescent="0.2">
      <c r="A146" s="27" t="s">
        <v>90</v>
      </c>
      <c r="B146" s="1"/>
      <c r="C146" s="1"/>
      <c r="D146" s="1"/>
      <c r="E146" s="1"/>
      <c r="F146" s="1"/>
      <c r="G146" s="1"/>
      <c r="H146" s="1"/>
      <c r="I146" s="1"/>
      <c r="J146" s="1"/>
      <c r="K146" s="1"/>
      <c r="L146" s="1"/>
      <c r="M146" s="1"/>
      <c r="N146" s="1"/>
      <c r="O146" s="1"/>
      <c r="P146" s="1"/>
      <c r="Q146" s="1"/>
      <c r="R146" s="1"/>
      <c r="S146" s="1"/>
      <c r="U146" s="1"/>
      <c r="V146" s="1"/>
      <c r="W146" s="1"/>
      <c r="X146" s="1"/>
      <c r="Y146" s="1"/>
      <c r="Z146" s="1"/>
      <c r="AA146" s="1"/>
      <c r="AB146" s="1"/>
      <c r="AC146" s="1"/>
      <c r="AD146" s="1"/>
      <c r="AE146" s="1"/>
      <c r="AF146" s="1"/>
      <c r="AG146" s="1"/>
      <c r="AH146" s="1"/>
      <c r="AI146" s="1"/>
      <c r="AJ146" s="1"/>
      <c r="AK146" s="1"/>
      <c r="AL146" s="1"/>
      <c r="AM146" s="1"/>
    </row>
    <row r="147" spans="1:39" s="2" customFormat="1" x14ac:dyDescent="0.2">
      <c r="A147" s="27" t="s">
        <v>91</v>
      </c>
      <c r="B147" s="1"/>
      <c r="C147" s="1"/>
      <c r="D147" s="1"/>
      <c r="E147" s="1"/>
      <c r="F147" s="1"/>
      <c r="G147" s="1"/>
      <c r="H147" s="1"/>
      <c r="I147" s="1"/>
      <c r="J147" s="1"/>
      <c r="K147" s="1"/>
      <c r="L147" s="1"/>
      <c r="M147" s="1"/>
      <c r="N147" s="1"/>
      <c r="O147" s="1"/>
      <c r="P147" s="1"/>
      <c r="Q147" s="1"/>
      <c r="R147" s="1"/>
      <c r="S147" s="1"/>
      <c r="U147" s="1"/>
      <c r="V147" s="1"/>
      <c r="W147" s="1"/>
      <c r="X147" s="1"/>
      <c r="Y147" s="1"/>
      <c r="Z147" s="1"/>
      <c r="AA147" s="1"/>
      <c r="AB147" s="1"/>
      <c r="AC147" s="1"/>
      <c r="AD147" s="1"/>
      <c r="AE147" s="1"/>
      <c r="AF147" s="1"/>
      <c r="AG147" s="1"/>
      <c r="AH147" s="1"/>
      <c r="AI147" s="1"/>
      <c r="AJ147" s="1"/>
      <c r="AK147" s="1"/>
      <c r="AL147" s="1"/>
      <c r="AM147" s="1"/>
    </row>
    <row r="148" spans="1:39" s="2" customFormat="1" x14ac:dyDescent="0.2">
      <c r="A148" s="27" t="s">
        <v>92</v>
      </c>
      <c r="B148" s="1"/>
      <c r="C148" s="1"/>
      <c r="D148" s="1"/>
      <c r="E148" s="1"/>
      <c r="F148" s="1"/>
      <c r="G148" s="1"/>
      <c r="H148" s="1"/>
      <c r="I148" s="1"/>
      <c r="J148" s="1"/>
      <c r="K148" s="1"/>
      <c r="L148" s="1"/>
      <c r="M148" s="1"/>
      <c r="N148" s="1"/>
      <c r="O148" s="1"/>
      <c r="P148" s="1"/>
      <c r="Q148" s="1"/>
      <c r="R148" s="1"/>
      <c r="S148" s="1"/>
      <c r="U148" s="1"/>
      <c r="V148" s="1"/>
      <c r="W148" s="1"/>
      <c r="X148" s="1"/>
      <c r="Y148" s="1"/>
      <c r="Z148" s="1"/>
      <c r="AA148" s="1"/>
      <c r="AB148" s="1"/>
      <c r="AC148" s="1"/>
      <c r="AD148" s="1"/>
      <c r="AE148" s="1"/>
      <c r="AF148" s="1"/>
      <c r="AG148" s="1"/>
      <c r="AH148" s="1"/>
      <c r="AI148" s="1"/>
      <c r="AJ148" s="1"/>
      <c r="AK148" s="1"/>
      <c r="AL148" s="1"/>
      <c r="AM148" s="1"/>
    </row>
    <row r="149" spans="1:39" s="2" customFormat="1" x14ac:dyDescent="0.2">
      <c r="A149" s="27" t="s">
        <v>93</v>
      </c>
      <c r="B149" s="1"/>
      <c r="C149" s="1"/>
      <c r="D149" s="1"/>
      <c r="E149" s="1"/>
      <c r="F149" s="1"/>
      <c r="G149" s="1"/>
      <c r="H149" s="1"/>
      <c r="I149" s="1"/>
      <c r="J149" s="1"/>
      <c r="K149" s="1"/>
      <c r="L149" s="1"/>
      <c r="M149" s="1"/>
      <c r="N149" s="1"/>
      <c r="O149" s="1"/>
      <c r="P149" s="1"/>
      <c r="Q149" s="1"/>
      <c r="R149" s="1"/>
      <c r="S149" s="1"/>
      <c r="U149" s="1"/>
      <c r="V149" s="1"/>
      <c r="W149" s="1"/>
      <c r="X149" s="1"/>
      <c r="Y149" s="1"/>
      <c r="Z149" s="1"/>
      <c r="AA149" s="1"/>
      <c r="AB149" s="1"/>
      <c r="AC149" s="1"/>
      <c r="AD149" s="1"/>
      <c r="AE149" s="1"/>
      <c r="AF149" s="1"/>
      <c r="AG149" s="1"/>
      <c r="AH149" s="1"/>
      <c r="AI149" s="1"/>
      <c r="AJ149" s="1"/>
      <c r="AK149" s="1"/>
      <c r="AL149" s="1"/>
      <c r="AM149" s="1"/>
    </row>
    <row r="150" spans="1:39" s="2" customFormat="1" x14ac:dyDescent="0.2">
      <c r="A150" s="27" t="s">
        <v>94</v>
      </c>
      <c r="B150" s="1"/>
      <c r="C150" s="1"/>
      <c r="D150" s="1"/>
      <c r="E150" s="1"/>
      <c r="F150" s="1"/>
      <c r="G150" s="1"/>
      <c r="H150" s="1"/>
      <c r="I150" s="1"/>
      <c r="J150" s="1"/>
      <c r="K150" s="1"/>
      <c r="L150" s="1"/>
      <c r="M150" s="1"/>
      <c r="N150" s="1"/>
      <c r="O150" s="1"/>
      <c r="P150" s="1"/>
      <c r="Q150" s="1"/>
      <c r="R150" s="1"/>
      <c r="S150" s="1"/>
      <c r="U150" s="1"/>
      <c r="V150" s="1"/>
      <c r="W150" s="1"/>
      <c r="X150" s="1"/>
      <c r="Y150" s="1"/>
      <c r="Z150" s="1"/>
      <c r="AA150" s="1"/>
      <c r="AB150" s="1"/>
      <c r="AC150" s="1"/>
      <c r="AD150" s="1"/>
      <c r="AE150" s="1"/>
      <c r="AF150" s="1"/>
      <c r="AG150" s="1"/>
      <c r="AH150" s="1"/>
      <c r="AI150" s="1"/>
      <c r="AJ150" s="1"/>
      <c r="AK150" s="1"/>
      <c r="AL150" s="1"/>
      <c r="AM150" s="1"/>
    </row>
    <row r="151" spans="1:39" s="2" customFormat="1" x14ac:dyDescent="0.2">
      <c r="A151" s="27" t="s">
        <v>95</v>
      </c>
      <c r="B151" s="1"/>
      <c r="C151" s="1"/>
      <c r="D151" s="1"/>
      <c r="E151" s="1"/>
      <c r="F151" s="1"/>
      <c r="G151" s="1"/>
      <c r="H151" s="1"/>
      <c r="I151" s="1"/>
      <c r="J151" s="1"/>
      <c r="K151" s="1"/>
      <c r="L151" s="1"/>
      <c r="M151" s="1"/>
      <c r="N151" s="1"/>
      <c r="O151" s="1"/>
      <c r="P151" s="1"/>
      <c r="Q151" s="1"/>
      <c r="R151" s="1"/>
      <c r="S151" s="1"/>
      <c r="U151" s="1"/>
      <c r="V151" s="1"/>
      <c r="W151" s="1"/>
      <c r="X151" s="1"/>
      <c r="Y151" s="1"/>
      <c r="Z151" s="1"/>
      <c r="AA151" s="1"/>
      <c r="AB151" s="1"/>
      <c r="AC151" s="1"/>
      <c r="AD151" s="1"/>
      <c r="AE151" s="1"/>
      <c r="AF151" s="1"/>
      <c r="AG151" s="1"/>
      <c r="AH151" s="1"/>
      <c r="AI151" s="1"/>
      <c r="AJ151" s="1"/>
      <c r="AK151" s="1"/>
      <c r="AL151" s="1"/>
      <c r="AM151" s="1"/>
    </row>
    <row r="152" spans="1:39" s="2" customFormat="1" x14ac:dyDescent="0.2">
      <c r="A152" s="27" t="s">
        <v>96</v>
      </c>
      <c r="B152" s="1"/>
      <c r="C152" s="1"/>
      <c r="D152" s="1"/>
      <c r="E152" s="1"/>
      <c r="F152" s="1"/>
      <c r="G152" s="1"/>
      <c r="H152" s="1"/>
      <c r="I152" s="1"/>
      <c r="J152" s="1"/>
      <c r="K152" s="1"/>
      <c r="L152" s="1"/>
      <c r="M152" s="1"/>
      <c r="N152" s="1"/>
      <c r="O152" s="1"/>
      <c r="P152" s="1"/>
      <c r="Q152" s="1"/>
      <c r="R152" s="1"/>
      <c r="S152" s="1"/>
      <c r="U152" s="1"/>
      <c r="V152" s="1"/>
      <c r="W152" s="1"/>
      <c r="X152" s="1"/>
      <c r="Y152" s="1"/>
      <c r="Z152" s="1"/>
      <c r="AA152" s="1"/>
      <c r="AB152" s="1"/>
      <c r="AC152" s="1"/>
      <c r="AD152" s="1"/>
      <c r="AE152" s="1"/>
      <c r="AF152" s="1"/>
      <c r="AG152" s="1"/>
      <c r="AH152" s="1"/>
      <c r="AI152" s="1"/>
      <c r="AJ152" s="1"/>
      <c r="AK152" s="1"/>
      <c r="AL152" s="1"/>
      <c r="AM152" s="1"/>
    </row>
    <row r="153" spans="1:39" s="2" customFormat="1" x14ac:dyDescent="0.2">
      <c r="A153" s="27" t="s">
        <v>97</v>
      </c>
      <c r="B153" s="1"/>
      <c r="C153" s="1"/>
      <c r="D153" s="1"/>
      <c r="E153" s="1"/>
      <c r="F153" s="1"/>
      <c r="G153" s="1"/>
      <c r="H153" s="1"/>
      <c r="I153" s="1"/>
      <c r="J153" s="1"/>
      <c r="K153" s="1"/>
      <c r="L153" s="1"/>
      <c r="M153" s="1"/>
      <c r="N153" s="1"/>
      <c r="O153" s="1"/>
      <c r="P153" s="1"/>
      <c r="Q153" s="1"/>
      <c r="R153" s="1"/>
      <c r="S153" s="1"/>
      <c r="U153" s="1"/>
      <c r="V153" s="1"/>
      <c r="W153" s="1"/>
      <c r="X153" s="1"/>
      <c r="Y153" s="1"/>
      <c r="Z153" s="1"/>
      <c r="AA153" s="1"/>
      <c r="AB153" s="1"/>
      <c r="AC153" s="1"/>
      <c r="AD153" s="1"/>
      <c r="AE153" s="1"/>
      <c r="AF153" s="1"/>
      <c r="AG153" s="1"/>
      <c r="AH153" s="1"/>
      <c r="AI153" s="1"/>
      <c r="AJ153" s="1"/>
      <c r="AK153" s="1"/>
      <c r="AL153" s="1"/>
      <c r="AM153" s="1"/>
    </row>
    <row r="154" spans="1:39" s="2" customFormat="1" x14ac:dyDescent="0.2">
      <c r="A154" s="27" t="s">
        <v>98</v>
      </c>
      <c r="B154" s="1"/>
      <c r="C154" s="1"/>
      <c r="D154" s="1"/>
      <c r="E154" s="1"/>
      <c r="F154" s="1"/>
      <c r="G154" s="1"/>
      <c r="H154" s="1"/>
      <c r="I154" s="1"/>
      <c r="J154" s="1"/>
      <c r="K154" s="1"/>
      <c r="L154" s="1"/>
      <c r="M154" s="1"/>
      <c r="N154" s="1"/>
      <c r="O154" s="1"/>
      <c r="P154" s="1"/>
      <c r="Q154" s="1"/>
      <c r="R154" s="1"/>
      <c r="S154" s="1"/>
      <c r="U154" s="1"/>
      <c r="V154" s="1"/>
      <c r="W154" s="1"/>
      <c r="X154" s="1"/>
      <c r="Y154" s="1"/>
      <c r="Z154" s="1"/>
      <c r="AA154" s="1"/>
      <c r="AB154" s="1"/>
      <c r="AC154" s="1"/>
      <c r="AD154" s="1"/>
      <c r="AE154" s="1"/>
      <c r="AF154" s="1"/>
      <c r="AG154" s="1"/>
      <c r="AH154" s="1"/>
      <c r="AI154" s="1"/>
      <c r="AJ154" s="1"/>
      <c r="AK154" s="1"/>
      <c r="AL154" s="1"/>
      <c r="AM154" s="1"/>
    </row>
    <row r="155" spans="1:39" s="2" customFormat="1" x14ac:dyDescent="0.2">
      <c r="A155" s="27" t="s">
        <v>99</v>
      </c>
      <c r="B155" s="1"/>
      <c r="C155" s="1"/>
      <c r="D155" s="1"/>
      <c r="E155" s="1"/>
      <c r="F155" s="1"/>
      <c r="G155" s="1"/>
      <c r="H155" s="1"/>
      <c r="I155" s="1"/>
      <c r="J155" s="1"/>
      <c r="K155" s="1"/>
      <c r="L155" s="1"/>
      <c r="M155" s="1"/>
      <c r="N155" s="1"/>
      <c r="O155" s="1"/>
      <c r="P155" s="1"/>
      <c r="Q155" s="1"/>
      <c r="R155" s="1"/>
      <c r="S155" s="1"/>
      <c r="U155" s="1"/>
      <c r="V155" s="1"/>
      <c r="W155" s="1"/>
      <c r="X155" s="1"/>
      <c r="Y155" s="1"/>
      <c r="Z155" s="1"/>
      <c r="AA155" s="1"/>
      <c r="AB155" s="1"/>
      <c r="AC155" s="1"/>
      <c r="AD155" s="1"/>
      <c r="AE155" s="1"/>
      <c r="AF155" s="1"/>
      <c r="AG155" s="1"/>
      <c r="AH155" s="1"/>
      <c r="AI155" s="1"/>
      <c r="AJ155" s="1"/>
      <c r="AK155" s="1"/>
      <c r="AL155" s="1"/>
      <c r="AM155" s="1"/>
    </row>
    <row r="156" spans="1:39" x14ac:dyDescent="0.2">
      <c r="A156" s="27" t="s">
        <v>100</v>
      </c>
    </row>
    <row r="157" spans="1:39" x14ac:dyDescent="0.2">
      <c r="A157" s="27" t="s">
        <v>101</v>
      </c>
    </row>
    <row r="158" spans="1:39" x14ac:dyDescent="0.2">
      <c r="A158" s="27" t="s">
        <v>102</v>
      </c>
    </row>
    <row r="159" spans="1:39" x14ac:dyDescent="0.2">
      <c r="A159" s="27" t="s">
        <v>103</v>
      </c>
    </row>
    <row r="160" spans="1:39" x14ac:dyDescent="0.2">
      <c r="A160" s="27" t="s">
        <v>104</v>
      </c>
    </row>
    <row r="161" spans="1:1" x14ac:dyDescent="0.2">
      <c r="A161" s="27" t="s">
        <v>105</v>
      </c>
    </row>
  </sheetData>
  <sheetProtection formatCells="0" formatColumns="0" formatRows="0" insertColumns="0" insertRows="0" insertHyperlinks="0" deleteColumns="0" deleteRows="0" sort="0" autoFilter="0" pivotTables="0"/>
  <mergeCells count="72">
    <mergeCell ref="A128:L128"/>
    <mergeCell ref="A129:L129"/>
    <mergeCell ref="B110:L110"/>
    <mergeCell ref="B111:B126"/>
    <mergeCell ref="C111:C125"/>
    <mergeCell ref="D111:D125"/>
    <mergeCell ref="E111:E125"/>
    <mergeCell ref="C126:L126"/>
    <mergeCell ref="B92:L92"/>
    <mergeCell ref="A93:L93"/>
    <mergeCell ref="A94:A127"/>
    <mergeCell ref="B94:B109"/>
    <mergeCell ref="C94:C108"/>
    <mergeCell ref="D94:D108"/>
    <mergeCell ref="E94:E108"/>
    <mergeCell ref="C109:L109"/>
    <mergeCell ref="A71:A92"/>
    <mergeCell ref="B71:B80"/>
    <mergeCell ref="C71:C79"/>
    <mergeCell ref="D71:D79"/>
    <mergeCell ref="E71:E79"/>
    <mergeCell ref="C80:L80"/>
    <mergeCell ref="B127:L127"/>
    <mergeCell ref="B81:L81"/>
    <mergeCell ref="A70:L70"/>
    <mergeCell ref="E82:E90"/>
    <mergeCell ref="B82:B91"/>
    <mergeCell ref="C82:C90"/>
    <mergeCell ref="D82:D90"/>
    <mergeCell ref="C91:L91"/>
    <mergeCell ref="B46:L46"/>
    <mergeCell ref="A47:L47"/>
    <mergeCell ref="A48:A69"/>
    <mergeCell ref="B48:B57"/>
    <mergeCell ref="C48:C56"/>
    <mergeCell ref="D48:D56"/>
    <mergeCell ref="E48:E56"/>
    <mergeCell ref="C57:L57"/>
    <mergeCell ref="B58:L58"/>
    <mergeCell ref="B59:B68"/>
    <mergeCell ref="A25:A46"/>
    <mergeCell ref="E59:E67"/>
    <mergeCell ref="C68:L68"/>
    <mergeCell ref="B69:L69"/>
    <mergeCell ref="C59:C67"/>
    <mergeCell ref="D59:D67"/>
    <mergeCell ref="A24:L24"/>
    <mergeCell ref="C34:L34"/>
    <mergeCell ref="B35:L35"/>
    <mergeCell ref="B36:B45"/>
    <mergeCell ref="C36:C44"/>
    <mergeCell ref="D36:D44"/>
    <mergeCell ref="E36:E44"/>
    <mergeCell ref="C45:L45"/>
    <mergeCell ref="B25:B34"/>
    <mergeCell ref="C25:C33"/>
    <mergeCell ref="D25:D33"/>
    <mergeCell ref="E25:E33"/>
    <mergeCell ref="U3:V3"/>
    <mergeCell ref="A4:A23"/>
    <mergeCell ref="B4:B12"/>
    <mergeCell ref="C4:C11"/>
    <mergeCell ref="D4:D11"/>
    <mergeCell ref="E4:E11"/>
    <mergeCell ref="C12:L12"/>
    <mergeCell ref="B13:L13"/>
    <mergeCell ref="B14:B22"/>
    <mergeCell ref="C14:C21"/>
    <mergeCell ref="D14:D21"/>
    <mergeCell ref="E14:E21"/>
    <mergeCell ref="C22:L22"/>
    <mergeCell ref="B23:L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EC232-C0FC-4B94-A0E3-BB37219A900D}">
  <sheetPr>
    <tabColor theme="6" tint="0.79998168889431442"/>
  </sheetPr>
  <dimension ref="A1:AM161"/>
  <sheetViews>
    <sheetView topLeftCell="C120" zoomScale="70" zoomScaleNormal="70" workbookViewId="0">
      <selection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9" width="9.5703125" style="1" customWidth="1"/>
    <col min="10" max="10" width="8.7109375" style="1"/>
    <col min="11" max="11" width="18.28515625" style="1" customWidth="1"/>
    <col min="12" max="12" width="9.5703125" style="1" customWidth="1"/>
    <col min="13" max="13" width="11.85546875" style="1" customWidth="1"/>
    <col min="14" max="17" width="12.5703125" style="1" bestFit="1" customWidth="1"/>
    <col min="18" max="18" width="11.85546875" style="1" bestFit="1" customWidth="1"/>
    <col min="19" max="19" width="6.5703125" style="1" bestFit="1" customWidth="1"/>
    <col min="20" max="20" width="9.140625" style="2" customWidth="1"/>
    <col min="21" max="21" width="14.7109375" style="1" bestFit="1" customWidth="1"/>
    <col min="22" max="22" width="16.42578125" style="1" bestFit="1" customWidth="1"/>
    <col min="23" max="23" width="9.85546875" style="1" bestFit="1" customWidth="1"/>
    <col min="24" max="24" width="14.28515625" style="1" bestFit="1" customWidth="1"/>
    <col min="25" max="25" width="13.85546875" style="1" customWidth="1"/>
    <col min="26" max="26" width="14.7109375" style="1" bestFit="1" customWidth="1"/>
    <col min="27" max="27" width="9.85546875" style="1" customWidth="1"/>
    <col min="28" max="28" width="12.28515625" style="1" customWidth="1"/>
    <col min="29" max="29" width="15.28515625" style="1" bestFit="1" customWidth="1"/>
    <col min="30" max="31" width="14.28515625" style="1" bestFit="1" customWidth="1"/>
    <col min="32" max="32" width="12.5703125" style="1" bestFit="1" customWidth="1"/>
    <col min="33" max="33" width="11.5703125" style="1" bestFit="1" customWidth="1"/>
    <col min="34" max="38" width="14.28515625" style="1" bestFit="1" customWidth="1"/>
    <col min="39" max="39" width="8.7109375" style="1" customWidth="1"/>
    <col min="40" max="40" width="12.5703125" style="1" bestFit="1" customWidth="1"/>
    <col min="41" max="16384" width="8.7109375" style="1"/>
  </cols>
  <sheetData>
    <row r="1" spans="1:39" x14ac:dyDescent="0.2">
      <c r="L1" s="209" t="s">
        <v>106</v>
      </c>
      <c r="M1" s="210">
        <v>0</v>
      </c>
      <c r="N1" s="210">
        <v>0.4</v>
      </c>
      <c r="O1" s="210">
        <v>0.4</v>
      </c>
      <c r="P1" s="210">
        <v>0.2</v>
      </c>
      <c r="Q1" s="210">
        <f>SUM(M1:P1)</f>
        <v>1</v>
      </c>
    </row>
    <row r="2" spans="1:39" ht="12.75" thickBot="1" x14ac:dyDescent="0.25">
      <c r="L2" s="209" t="s">
        <v>107</v>
      </c>
      <c r="M2" s="211">
        <v>0</v>
      </c>
      <c r="N2" s="211">
        <v>0.34</v>
      </c>
      <c r="O2" s="211">
        <v>0.33</v>
      </c>
      <c r="P2" s="211">
        <v>0.33</v>
      </c>
      <c r="Q2" s="210">
        <f>SUM(M2:P2)</f>
        <v>1</v>
      </c>
    </row>
    <row r="3" spans="1:39" s="5" customFormat="1" ht="52.5" customHeight="1" thickBot="1" x14ac:dyDescent="0.25">
      <c r="A3" s="232" t="s">
        <v>0</v>
      </c>
      <c r="B3" s="232" t="s">
        <v>1</v>
      </c>
      <c r="C3" s="232" t="s">
        <v>2</v>
      </c>
      <c r="D3" s="232" t="s">
        <v>3</v>
      </c>
      <c r="E3" s="232" t="s">
        <v>4</v>
      </c>
      <c r="F3" s="232" t="s">
        <v>121</v>
      </c>
      <c r="G3" s="232" t="s">
        <v>122</v>
      </c>
      <c r="H3" s="232" t="s">
        <v>123</v>
      </c>
      <c r="I3" s="232" t="s">
        <v>5</v>
      </c>
      <c r="J3" s="232" t="s">
        <v>6</v>
      </c>
      <c r="K3" s="232" t="s">
        <v>7</v>
      </c>
      <c r="L3" s="232" t="s">
        <v>8</v>
      </c>
      <c r="M3" s="232" t="s">
        <v>9</v>
      </c>
      <c r="N3" s="232" t="s">
        <v>10</v>
      </c>
      <c r="O3" s="232" t="s">
        <v>11</v>
      </c>
      <c r="P3" s="232" t="s">
        <v>12</v>
      </c>
      <c r="Q3" s="233" t="s">
        <v>13</v>
      </c>
      <c r="R3" s="232" t="s">
        <v>14</v>
      </c>
      <c r="S3" s="5" t="s">
        <v>124</v>
      </c>
      <c r="T3" s="212"/>
      <c r="U3" s="264" t="s">
        <v>125</v>
      </c>
      <c r="V3" s="264"/>
    </row>
    <row r="4" spans="1:39" ht="21.95" customHeight="1" thickBot="1" x14ac:dyDescent="0.3">
      <c r="A4" s="265" t="s">
        <v>15</v>
      </c>
      <c r="B4" s="268" t="s">
        <v>16</v>
      </c>
      <c r="C4" s="268" t="s">
        <v>17</v>
      </c>
      <c r="D4" s="268">
        <v>62000</v>
      </c>
      <c r="E4" s="268">
        <v>10003</v>
      </c>
      <c r="F4" s="235">
        <v>10214</v>
      </c>
      <c r="G4" s="235" t="s">
        <v>132</v>
      </c>
      <c r="H4" s="235" t="s">
        <v>133</v>
      </c>
      <c r="I4" s="235" t="s">
        <v>18</v>
      </c>
      <c r="J4" s="236" t="s">
        <v>19</v>
      </c>
      <c r="K4" s="235">
        <v>71200</v>
      </c>
      <c r="L4" s="235" t="s">
        <v>19</v>
      </c>
      <c r="M4" s="237">
        <f>ROUND(M$2*$Q4,0)</f>
        <v>0</v>
      </c>
      <c r="N4" s="237">
        <f t="shared" ref="N4:O11" si="0">ROUND(N$2*$Q4,0)</f>
        <v>0</v>
      </c>
      <c r="O4" s="237">
        <f t="shared" si="0"/>
        <v>0</v>
      </c>
      <c r="P4" s="237">
        <f>Q4-SUM(M4:O4)</f>
        <v>0</v>
      </c>
      <c r="Q4" s="237">
        <f>ROUND($V$6*S4,0)</f>
        <v>0</v>
      </c>
      <c r="R4" s="238">
        <v>2</v>
      </c>
      <c r="S4" s="9">
        <f t="shared" ref="S4:S11" si="1">VLOOKUP(K4, rpacoreratio, 3, FALSE)*VLOOKUP(K4, rpacoreratio, 8, FALSE)</f>
        <v>0</v>
      </c>
      <c r="U4" s="239" t="s">
        <v>128</v>
      </c>
      <c r="V4" s="240">
        <f>[3]RPA_Kris!C3</f>
        <v>456818.18</v>
      </c>
    </row>
    <row r="5" spans="1:39" ht="21.95" customHeight="1" thickBot="1" x14ac:dyDescent="0.3">
      <c r="A5" s="266"/>
      <c r="B5" s="268"/>
      <c r="C5" s="268"/>
      <c r="D5" s="268"/>
      <c r="E5" s="268"/>
      <c r="F5" s="235">
        <v>10214</v>
      </c>
      <c r="G5" s="235" t="s">
        <v>132</v>
      </c>
      <c r="H5" s="235" t="s">
        <v>133</v>
      </c>
      <c r="I5" s="235" t="s">
        <v>18</v>
      </c>
      <c r="J5" s="236" t="s">
        <v>20</v>
      </c>
      <c r="K5" s="235">
        <v>71300</v>
      </c>
      <c r="L5" s="235" t="s">
        <v>20</v>
      </c>
      <c r="M5" s="237">
        <f t="shared" ref="M5:M11" si="2">ROUND(M$2*$Q5,0)</f>
        <v>0</v>
      </c>
      <c r="N5" s="237">
        <f t="shared" si="0"/>
        <v>195</v>
      </c>
      <c r="O5" s="237">
        <f t="shared" si="0"/>
        <v>189</v>
      </c>
      <c r="P5" s="237">
        <f t="shared" ref="P5:P11" si="3">Q5-SUM(M5:O5)</f>
        <v>190</v>
      </c>
      <c r="Q5" s="237">
        <f t="shared" ref="Q5:Q11" si="4">ROUND($V$6*S5,0)</f>
        <v>574</v>
      </c>
      <c r="R5" s="238">
        <v>3</v>
      </c>
      <c r="S5" s="9">
        <f t="shared" si="1"/>
        <v>1.1484623528952263E-2</v>
      </c>
      <c r="U5" s="239" t="s">
        <v>129</v>
      </c>
      <c r="V5" s="240">
        <f>[3]RPA_Kris!C4</f>
        <v>3350000</v>
      </c>
    </row>
    <row r="6" spans="1:39" ht="21.95" customHeight="1" thickBot="1" x14ac:dyDescent="0.3">
      <c r="A6" s="266"/>
      <c r="B6" s="268"/>
      <c r="C6" s="268"/>
      <c r="D6" s="268"/>
      <c r="E6" s="268"/>
      <c r="F6" s="235">
        <v>10214</v>
      </c>
      <c r="G6" s="235" t="s">
        <v>132</v>
      </c>
      <c r="H6" s="235" t="s">
        <v>133</v>
      </c>
      <c r="I6" s="235" t="s">
        <v>18</v>
      </c>
      <c r="J6" s="236" t="s">
        <v>21</v>
      </c>
      <c r="K6" s="235">
        <v>71400</v>
      </c>
      <c r="L6" s="235" t="s">
        <v>22</v>
      </c>
      <c r="M6" s="237">
        <f t="shared" si="2"/>
        <v>0</v>
      </c>
      <c r="N6" s="237">
        <f t="shared" si="0"/>
        <v>2999</v>
      </c>
      <c r="O6" s="237">
        <f t="shared" si="0"/>
        <v>2911</v>
      </c>
      <c r="P6" s="237">
        <f t="shared" si="3"/>
        <v>2910</v>
      </c>
      <c r="Q6" s="237">
        <f t="shared" si="4"/>
        <v>8820</v>
      </c>
      <c r="R6" s="238">
        <v>5</v>
      </c>
      <c r="S6" s="9">
        <f t="shared" si="1"/>
        <v>0.17640953291668729</v>
      </c>
      <c r="U6" s="239" t="s">
        <v>130</v>
      </c>
      <c r="V6" s="240">
        <f>[3]RPA_Kris!C5</f>
        <v>50000</v>
      </c>
    </row>
    <row r="7" spans="1:39" ht="21.95" customHeight="1" thickBot="1" x14ac:dyDescent="0.3">
      <c r="A7" s="266"/>
      <c r="B7" s="268"/>
      <c r="C7" s="268"/>
      <c r="D7" s="268"/>
      <c r="E7" s="268"/>
      <c r="F7" s="235">
        <v>10214</v>
      </c>
      <c r="G7" s="235" t="s">
        <v>132</v>
      </c>
      <c r="H7" s="235" t="s">
        <v>133</v>
      </c>
      <c r="I7" s="235" t="s">
        <v>18</v>
      </c>
      <c r="J7" s="236" t="s">
        <v>23</v>
      </c>
      <c r="K7" s="235">
        <v>71600</v>
      </c>
      <c r="L7" s="235" t="s">
        <v>23</v>
      </c>
      <c r="M7" s="237">
        <f t="shared" si="2"/>
        <v>0</v>
      </c>
      <c r="N7" s="237">
        <f t="shared" si="0"/>
        <v>319</v>
      </c>
      <c r="O7" s="237">
        <f t="shared" si="0"/>
        <v>310</v>
      </c>
      <c r="P7" s="237">
        <f t="shared" si="3"/>
        <v>309</v>
      </c>
      <c r="Q7" s="237">
        <f t="shared" si="4"/>
        <v>938</v>
      </c>
      <c r="R7" s="238">
        <v>7</v>
      </c>
      <c r="S7" s="9">
        <f t="shared" si="1"/>
        <v>1.8765823245845751E-2</v>
      </c>
      <c r="U7" s="239" t="s">
        <v>131</v>
      </c>
      <c r="V7" s="240">
        <f>[3]RPA_Kris!C6</f>
        <v>1173317</v>
      </c>
    </row>
    <row r="8" spans="1:39" ht="21.95" customHeight="1" thickBot="1" x14ac:dyDescent="0.3">
      <c r="A8" s="266"/>
      <c r="B8" s="268"/>
      <c r="C8" s="268"/>
      <c r="D8" s="268"/>
      <c r="E8" s="268"/>
      <c r="F8" s="235">
        <v>10214</v>
      </c>
      <c r="G8" s="235" t="s">
        <v>132</v>
      </c>
      <c r="H8" s="235" t="s">
        <v>133</v>
      </c>
      <c r="I8" s="235" t="s">
        <v>18</v>
      </c>
      <c r="J8" s="236" t="s">
        <v>24</v>
      </c>
      <c r="K8" s="235">
        <v>72500</v>
      </c>
      <c r="L8" s="235" t="s">
        <v>25</v>
      </c>
      <c r="M8" s="237">
        <f t="shared" si="2"/>
        <v>0</v>
      </c>
      <c r="N8" s="237">
        <f t="shared" si="0"/>
        <v>12</v>
      </c>
      <c r="O8" s="237">
        <f t="shared" si="0"/>
        <v>12</v>
      </c>
      <c r="P8" s="237">
        <f t="shared" si="3"/>
        <v>12</v>
      </c>
      <c r="Q8" s="237">
        <f t="shared" si="4"/>
        <v>36</v>
      </c>
      <c r="R8" s="238">
        <v>10</v>
      </c>
      <c r="S8" s="9">
        <f t="shared" si="1"/>
        <v>7.2509589748529012E-4</v>
      </c>
      <c r="V8" s="241">
        <f>SUM(V4:V7)</f>
        <v>5030135.18</v>
      </c>
    </row>
    <row r="9" spans="1:39" ht="21.95" customHeight="1" thickBot="1" x14ac:dyDescent="0.25">
      <c r="A9" s="266"/>
      <c r="B9" s="268"/>
      <c r="C9" s="268"/>
      <c r="D9" s="268"/>
      <c r="E9" s="268"/>
      <c r="F9" s="235">
        <v>10214</v>
      </c>
      <c r="G9" s="235" t="s">
        <v>132</v>
      </c>
      <c r="H9" s="235" t="s">
        <v>133</v>
      </c>
      <c r="I9" s="235" t="s">
        <v>18</v>
      </c>
      <c r="J9" s="236" t="s">
        <v>26</v>
      </c>
      <c r="K9" s="235">
        <v>75700</v>
      </c>
      <c r="L9" s="235" t="s">
        <v>27</v>
      </c>
      <c r="M9" s="237">
        <f t="shared" si="2"/>
        <v>0</v>
      </c>
      <c r="N9" s="237">
        <f t="shared" si="0"/>
        <v>63</v>
      </c>
      <c r="O9" s="237">
        <f t="shared" si="0"/>
        <v>61</v>
      </c>
      <c r="P9" s="237">
        <f t="shared" si="3"/>
        <v>60</v>
      </c>
      <c r="Q9" s="237">
        <f t="shared" si="4"/>
        <v>184</v>
      </c>
      <c r="R9" s="238">
        <v>6</v>
      </c>
      <c r="S9" s="9">
        <f t="shared" si="1"/>
        <v>3.6708273653368421E-3</v>
      </c>
    </row>
    <row r="10" spans="1:39" ht="21.95" customHeight="1" thickBot="1" x14ac:dyDescent="0.25">
      <c r="A10" s="266"/>
      <c r="B10" s="268"/>
      <c r="C10" s="268"/>
      <c r="D10" s="268"/>
      <c r="E10" s="268"/>
      <c r="F10" s="235">
        <v>10214</v>
      </c>
      <c r="G10" s="235" t="s">
        <v>132</v>
      </c>
      <c r="H10" s="235" t="s">
        <v>133</v>
      </c>
      <c r="I10" s="235" t="s">
        <v>18</v>
      </c>
      <c r="J10" s="236" t="s">
        <v>28</v>
      </c>
      <c r="K10" s="235">
        <v>61200</v>
      </c>
      <c r="L10" s="235" t="s">
        <v>29</v>
      </c>
      <c r="M10" s="237">
        <f t="shared" si="2"/>
        <v>0</v>
      </c>
      <c r="N10" s="237">
        <f t="shared" si="0"/>
        <v>0</v>
      </c>
      <c r="O10" s="237">
        <f t="shared" si="0"/>
        <v>0</v>
      </c>
      <c r="P10" s="237">
        <f t="shared" si="3"/>
        <v>0</v>
      </c>
      <c r="Q10" s="237">
        <f t="shared" si="4"/>
        <v>0</v>
      </c>
      <c r="R10" s="238">
        <v>4</v>
      </c>
      <c r="S10" s="9">
        <f t="shared" si="1"/>
        <v>0</v>
      </c>
    </row>
    <row r="11" spans="1:39" ht="21.95" customHeight="1" thickBot="1" x14ac:dyDescent="0.25">
      <c r="A11" s="266"/>
      <c r="B11" s="268"/>
      <c r="C11" s="268"/>
      <c r="D11" s="268"/>
      <c r="E11" s="268"/>
      <c r="F11" s="235">
        <v>10214</v>
      </c>
      <c r="G11" s="235" t="s">
        <v>132</v>
      </c>
      <c r="H11" s="235" t="s">
        <v>133</v>
      </c>
      <c r="I11" s="235" t="s">
        <v>18</v>
      </c>
      <c r="J11" s="236" t="s">
        <v>28</v>
      </c>
      <c r="K11" s="235">
        <v>61300</v>
      </c>
      <c r="L11" s="235" t="s">
        <v>30</v>
      </c>
      <c r="M11" s="237">
        <f t="shared" si="2"/>
        <v>0</v>
      </c>
      <c r="N11" s="237">
        <f t="shared" si="0"/>
        <v>0</v>
      </c>
      <c r="O11" s="237">
        <f t="shared" si="0"/>
        <v>0</v>
      </c>
      <c r="P11" s="237">
        <f t="shared" si="3"/>
        <v>0</v>
      </c>
      <c r="Q11" s="237">
        <f t="shared" si="4"/>
        <v>0</v>
      </c>
      <c r="R11" s="238">
        <v>4</v>
      </c>
      <c r="S11" s="9">
        <f t="shared" si="1"/>
        <v>0</v>
      </c>
    </row>
    <row r="12" spans="1:39" ht="21.95" customHeight="1" thickBot="1" x14ac:dyDescent="0.25">
      <c r="A12" s="266"/>
      <c r="B12" s="268"/>
      <c r="C12" s="269" t="s">
        <v>31</v>
      </c>
      <c r="D12" s="269"/>
      <c r="E12" s="269"/>
      <c r="F12" s="269"/>
      <c r="G12" s="269"/>
      <c r="H12" s="269"/>
      <c r="I12" s="269"/>
      <c r="J12" s="269"/>
      <c r="K12" s="269"/>
      <c r="L12" s="269"/>
      <c r="M12" s="237">
        <f>SUM(M4:M11)</f>
        <v>0</v>
      </c>
      <c r="N12" s="237">
        <f t="shared" ref="N12:Q12" si="5">SUM(N4:N11)</f>
        <v>3588</v>
      </c>
      <c r="O12" s="237">
        <f t="shared" si="5"/>
        <v>3483</v>
      </c>
      <c r="P12" s="237">
        <f t="shared" si="5"/>
        <v>3481</v>
      </c>
      <c r="Q12" s="237">
        <f t="shared" si="5"/>
        <v>10552</v>
      </c>
      <c r="R12" s="238"/>
      <c r="S12" s="9"/>
    </row>
    <row r="13" spans="1:39" s="2" customFormat="1" ht="21.95" customHeight="1" thickBot="1" x14ac:dyDescent="0.25">
      <c r="A13" s="266"/>
      <c r="B13" s="269" t="s">
        <v>32</v>
      </c>
      <c r="C13" s="269"/>
      <c r="D13" s="269"/>
      <c r="E13" s="269"/>
      <c r="F13" s="269"/>
      <c r="G13" s="269"/>
      <c r="H13" s="269"/>
      <c r="I13" s="269"/>
      <c r="J13" s="269"/>
      <c r="K13" s="269"/>
      <c r="L13" s="269"/>
      <c r="M13" s="237">
        <f>M12</f>
        <v>0</v>
      </c>
      <c r="N13" s="237">
        <f t="shared" ref="N13:Q13" si="6">N12</f>
        <v>3588</v>
      </c>
      <c r="O13" s="237">
        <f t="shared" si="6"/>
        <v>3483</v>
      </c>
      <c r="P13" s="237">
        <f t="shared" si="6"/>
        <v>3481</v>
      </c>
      <c r="Q13" s="237">
        <f t="shared" si="6"/>
        <v>10552</v>
      </c>
      <c r="R13" s="238"/>
      <c r="S13" s="9"/>
      <c r="U13" s="1"/>
      <c r="V13" s="1"/>
      <c r="W13" s="1"/>
      <c r="X13" s="1"/>
      <c r="Y13" s="1"/>
      <c r="Z13" s="1"/>
      <c r="AA13" s="1"/>
      <c r="AB13" s="1"/>
      <c r="AC13" s="1"/>
      <c r="AD13" s="1"/>
      <c r="AE13" s="1"/>
      <c r="AF13" s="1"/>
      <c r="AG13" s="1"/>
      <c r="AH13" s="1"/>
      <c r="AI13" s="1"/>
      <c r="AJ13" s="1"/>
      <c r="AK13" s="1"/>
      <c r="AL13" s="1"/>
      <c r="AM13" s="1"/>
    </row>
    <row r="14" spans="1:39" s="2" customFormat="1" ht="21.95" customHeight="1" thickBot="1" x14ac:dyDescent="0.25">
      <c r="A14" s="266"/>
      <c r="B14" s="265" t="s">
        <v>33</v>
      </c>
      <c r="C14" s="265" t="s">
        <v>17</v>
      </c>
      <c r="D14" s="265">
        <v>62000</v>
      </c>
      <c r="E14" s="265">
        <v>10003</v>
      </c>
      <c r="F14" s="235">
        <v>10214</v>
      </c>
      <c r="G14" s="235" t="s">
        <v>132</v>
      </c>
      <c r="H14" s="235" t="s">
        <v>133</v>
      </c>
      <c r="I14" s="234" t="s">
        <v>34</v>
      </c>
      <c r="J14" s="236" t="s">
        <v>19</v>
      </c>
      <c r="K14" s="235">
        <v>71200</v>
      </c>
      <c r="L14" s="235" t="s">
        <v>19</v>
      </c>
      <c r="M14" s="237">
        <f t="shared" ref="M14:O21" si="7">ROUND(M$2*$Q14,0)</f>
        <v>0</v>
      </c>
      <c r="N14" s="237">
        <f t="shared" si="7"/>
        <v>0</v>
      </c>
      <c r="O14" s="237">
        <f t="shared" si="7"/>
        <v>0</v>
      </c>
      <c r="P14" s="237">
        <f t="shared" ref="P14:P21" si="8">Q14-SUM(M14:O14)</f>
        <v>0</v>
      </c>
      <c r="Q14" s="237">
        <f>ROUND($V$7*S14,0)</f>
        <v>0</v>
      </c>
      <c r="R14" s="238">
        <v>2</v>
      </c>
      <c r="S14" s="9">
        <f t="shared" ref="S14:S21" si="9">VLOOKUP(K14, rpastarratio, 3, FALSE)*VLOOKUP(K14, rpastarratio, 8, FALSE)</f>
        <v>0</v>
      </c>
      <c r="U14" s="1"/>
      <c r="V14" s="1"/>
      <c r="W14" s="1"/>
      <c r="X14" s="1"/>
      <c r="Y14" s="1"/>
      <c r="Z14" s="1"/>
      <c r="AA14" s="1"/>
      <c r="AB14" s="1"/>
      <c r="AC14" s="1"/>
      <c r="AD14" s="1"/>
      <c r="AE14" s="1"/>
      <c r="AF14" s="1"/>
      <c r="AG14" s="1"/>
      <c r="AH14" s="1"/>
      <c r="AI14" s="1"/>
      <c r="AJ14" s="1"/>
      <c r="AK14" s="1"/>
      <c r="AL14" s="1"/>
      <c r="AM14" s="1"/>
    </row>
    <row r="15" spans="1:39" s="2" customFormat="1" ht="21.95" customHeight="1" thickBot="1" x14ac:dyDescent="0.25">
      <c r="A15" s="266"/>
      <c r="B15" s="266"/>
      <c r="C15" s="266"/>
      <c r="D15" s="266"/>
      <c r="E15" s="266"/>
      <c r="F15" s="235">
        <v>10214</v>
      </c>
      <c r="G15" s="235" t="s">
        <v>132</v>
      </c>
      <c r="H15" s="235" t="s">
        <v>133</v>
      </c>
      <c r="I15" s="234" t="s">
        <v>34</v>
      </c>
      <c r="J15" s="236" t="s">
        <v>20</v>
      </c>
      <c r="K15" s="235">
        <v>71300</v>
      </c>
      <c r="L15" s="235" t="s">
        <v>20</v>
      </c>
      <c r="M15" s="237">
        <f t="shared" si="7"/>
        <v>0</v>
      </c>
      <c r="N15" s="237">
        <f t="shared" si="7"/>
        <v>4582</v>
      </c>
      <c r="O15" s="237">
        <f t="shared" si="7"/>
        <v>4447</v>
      </c>
      <c r="P15" s="237">
        <f t="shared" si="8"/>
        <v>4446</v>
      </c>
      <c r="Q15" s="237">
        <f t="shared" ref="Q15:Q21" si="10">ROUND($V$7*S15,0)</f>
        <v>13475</v>
      </c>
      <c r="R15" s="238">
        <v>3</v>
      </c>
      <c r="S15" s="9">
        <f t="shared" si="9"/>
        <v>1.1484623528952256E-2</v>
      </c>
      <c r="U15" s="1"/>
      <c r="V15" s="1"/>
      <c r="W15" s="1"/>
      <c r="X15" s="1"/>
      <c r="Y15" s="1"/>
      <c r="Z15" s="1"/>
      <c r="AA15" s="1"/>
      <c r="AB15" s="1"/>
      <c r="AC15" s="1"/>
      <c r="AD15" s="1"/>
      <c r="AE15" s="1"/>
      <c r="AF15" s="1"/>
      <c r="AG15" s="1"/>
      <c r="AH15" s="1"/>
      <c r="AI15" s="1"/>
      <c r="AJ15" s="1"/>
      <c r="AK15" s="1"/>
      <c r="AL15" s="1"/>
      <c r="AM15" s="1"/>
    </row>
    <row r="16" spans="1:39" s="2" customFormat="1" ht="21.95" customHeight="1" thickBot="1" x14ac:dyDescent="0.25">
      <c r="A16" s="266"/>
      <c r="B16" s="266"/>
      <c r="C16" s="266"/>
      <c r="D16" s="266"/>
      <c r="E16" s="266"/>
      <c r="F16" s="235">
        <v>10214</v>
      </c>
      <c r="G16" s="235" t="s">
        <v>132</v>
      </c>
      <c r="H16" s="235" t="s">
        <v>133</v>
      </c>
      <c r="I16" s="234" t="s">
        <v>34</v>
      </c>
      <c r="J16" s="236" t="s">
        <v>21</v>
      </c>
      <c r="K16" s="235">
        <v>71400</v>
      </c>
      <c r="L16" s="235" t="s">
        <v>22</v>
      </c>
      <c r="M16" s="237">
        <f t="shared" si="7"/>
        <v>0</v>
      </c>
      <c r="N16" s="237">
        <f t="shared" si="7"/>
        <v>70375</v>
      </c>
      <c r="O16" s="237">
        <f t="shared" si="7"/>
        <v>68305</v>
      </c>
      <c r="P16" s="237">
        <f t="shared" si="8"/>
        <v>68304</v>
      </c>
      <c r="Q16" s="237">
        <f t="shared" si="10"/>
        <v>206984</v>
      </c>
      <c r="R16" s="238">
        <v>5</v>
      </c>
      <c r="S16" s="9">
        <f t="shared" si="9"/>
        <v>0.17640953291668721</v>
      </c>
      <c r="U16" s="1"/>
      <c r="V16" s="1"/>
      <c r="W16" s="1"/>
      <c r="X16" s="1"/>
      <c r="Y16" s="1"/>
      <c r="Z16" s="1"/>
      <c r="AA16" s="1"/>
      <c r="AB16" s="1"/>
      <c r="AC16" s="1"/>
      <c r="AD16" s="1"/>
      <c r="AE16" s="1"/>
      <c r="AF16" s="1"/>
      <c r="AG16" s="1"/>
      <c r="AH16" s="1"/>
      <c r="AI16" s="1"/>
      <c r="AJ16" s="1"/>
      <c r="AK16" s="1"/>
      <c r="AL16" s="1"/>
      <c r="AM16" s="1"/>
    </row>
    <row r="17" spans="1:39" s="2" customFormat="1" ht="21.95" customHeight="1" thickBot="1" x14ac:dyDescent="0.25">
      <c r="A17" s="266"/>
      <c r="B17" s="266"/>
      <c r="C17" s="266"/>
      <c r="D17" s="266"/>
      <c r="E17" s="266"/>
      <c r="F17" s="235">
        <v>10214</v>
      </c>
      <c r="G17" s="235" t="s">
        <v>132</v>
      </c>
      <c r="H17" s="235" t="s">
        <v>133</v>
      </c>
      <c r="I17" s="234" t="s">
        <v>34</v>
      </c>
      <c r="J17" s="236" t="s">
        <v>23</v>
      </c>
      <c r="K17" s="235">
        <v>71600</v>
      </c>
      <c r="L17" s="235" t="s">
        <v>23</v>
      </c>
      <c r="M17" s="237">
        <f t="shared" si="7"/>
        <v>0</v>
      </c>
      <c r="N17" s="237">
        <f t="shared" si="7"/>
        <v>7486</v>
      </c>
      <c r="O17" s="237">
        <f t="shared" si="7"/>
        <v>7266</v>
      </c>
      <c r="P17" s="237">
        <f t="shared" si="8"/>
        <v>7266</v>
      </c>
      <c r="Q17" s="237">
        <f t="shared" si="10"/>
        <v>22018</v>
      </c>
      <c r="R17" s="238">
        <v>7</v>
      </c>
      <c r="S17" s="9">
        <f t="shared" si="9"/>
        <v>1.8765823245845741E-2</v>
      </c>
      <c r="U17" s="1"/>
      <c r="V17" s="1"/>
      <c r="W17" s="1"/>
      <c r="X17" s="1"/>
      <c r="Y17" s="1"/>
      <c r="Z17" s="1"/>
      <c r="AA17" s="1"/>
      <c r="AB17" s="1"/>
      <c r="AC17" s="1"/>
      <c r="AD17" s="1"/>
      <c r="AE17" s="1"/>
      <c r="AF17" s="1"/>
      <c r="AG17" s="1"/>
      <c r="AH17" s="1"/>
      <c r="AI17" s="1"/>
      <c r="AJ17" s="1"/>
      <c r="AK17" s="1"/>
      <c r="AL17" s="1"/>
      <c r="AM17" s="1"/>
    </row>
    <row r="18" spans="1:39" s="2" customFormat="1" ht="21.95" customHeight="1" thickBot="1" x14ac:dyDescent="0.25">
      <c r="A18" s="266"/>
      <c r="B18" s="266"/>
      <c r="C18" s="266"/>
      <c r="D18" s="266"/>
      <c r="E18" s="266"/>
      <c r="F18" s="235">
        <v>10214</v>
      </c>
      <c r="G18" s="235" t="s">
        <v>132</v>
      </c>
      <c r="H18" s="235" t="s">
        <v>133</v>
      </c>
      <c r="I18" s="234" t="s">
        <v>34</v>
      </c>
      <c r="J18" s="236" t="s">
        <v>24</v>
      </c>
      <c r="K18" s="235">
        <v>72500</v>
      </c>
      <c r="L18" s="235" t="s">
        <v>25</v>
      </c>
      <c r="M18" s="237">
        <f t="shared" si="7"/>
        <v>0</v>
      </c>
      <c r="N18" s="237">
        <f t="shared" si="7"/>
        <v>289</v>
      </c>
      <c r="O18" s="237">
        <f t="shared" si="7"/>
        <v>281</v>
      </c>
      <c r="P18" s="237">
        <f t="shared" si="8"/>
        <v>281</v>
      </c>
      <c r="Q18" s="237">
        <f t="shared" si="10"/>
        <v>851</v>
      </c>
      <c r="R18" s="238">
        <v>10</v>
      </c>
      <c r="S18" s="9">
        <f t="shared" si="9"/>
        <v>7.2509589748528979E-4</v>
      </c>
      <c r="U18" s="1"/>
      <c r="V18" s="1"/>
      <c r="W18" s="1"/>
      <c r="X18" s="1"/>
      <c r="Y18" s="1"/>
      <c r="Z18" s="1"/>
      <c r="AA18" s="1"/>
      <c r="AB18" s="1"/>
      <c r="AC18" s="1"/>
      <c r="AD18" s="1"/>
      <c r="AE18" s="1"/>
      <c r="AF18" s="1"/>
      <c r="AG18" s="1"/>
      <c r="AH18" s="1"/>
      <c r="AI18" s="1"/>
      <c r="AJ18" s="1"/>
      <c r="AK18" s="1"/>
      <c r="AL18" s="1"/>
      <c r="AM18" s="1"/>
    </row>
    <row r="19" spans="1:39" s="2" customFormat="1" ht="21.95" customHeight="1" thickBot="1" x14ac:dyDescent="0.25">
      <c r="A19" s="266"/>
      <c r="B19" s="266"/>
      <c r="C19" s="266"/>
      <c r="D19" s="266"/>
      <c r="E19" s="266"/>
      <c r="F19" s="235">
        <v>10214</v>
      </c>
      <c r="G19" s="235" t="s">
        <v>132</v>
      </c>
      <c r="H19" s="235" t="s">
        <v>133</v>
      </c>
      <c r="I19" s="234" t="s">
        <v>34</v>
      </c>
      <c r="J19" s="236" t="s">
        <v>26</v>
      </c>
      <c r="K19" s="235">
        <v>75700</v>
      </c>
      <c r="L19" s="235" t="s">
        <v>27</v>
      </c>
      <c r="M19" s="237">
        <f t="shared" si="7"/>
        <v>0</v>
      </c>
      <c r="N19" s="237">
        <f t="shared" si="7"/>
        <v>1464</v>
      </c>
      <c r="O19" s="237">
        <f t="shared" si="7"/>
        <v>1421</v>
      </c>
      <c r="P19" s="237">
        <f t="shared" si="8"/>
        <v>1422</v>
      </c>
      <c r="Q19" s="237">
        <f t="shared" si="10"/>
        <v>4307</v>
      </c>
      <c r="R19" s="238">
        <v>6</v>
      </c>
      <c r="S19" s="9">
        <f t="shared" si="9"/>
        <v>3.6708273653368404E-3</v>
      </c>
      <c r="U19" s="1"/>
      <c r="V19" s="1"/>
      <c r="W19" s="1"/>
      <c r="X19" s="1"/>
      <c r="Y19" s="1"/>
      <c r="Z19" s="1"/>
      <c r="AA19" s="1"/>
      <c r="AB19" s="1"/>
      <c r="AC19" s="1"/>
      <c r="AD19" s="1"/>
      <c r="AE19" s="1"/>
      <c r="AF19" s="1"/>
      <c r="AG19" s="1"/>
      <c r="AH19" s="1"/>
      <c r="AI19" s="1"/>
      <c r="AJ19" s="1"/>
      <c r="AK19" s="1"/>
      <c r="AL19" s="1"/>
      <c r="AM19" s="1"/>
    </row>
    <row r="20" spans="1:39" s="2" customFormat="1" ht="21.95" customHeight="1" thickBot="1" x14ac:dyDescent="0.25">
      <c r="A20" s="266"/>
      <c r="B20" s="266"/>
      <c r="C20" s="266"/>
      <c r="D20" s="266"/>
      <c r="E20" s="266"/>
      <c r="F20" s="235">
        <v>10214</v>
      </c>
      <c r="G20" s="235" t="s">
        <v>132</v>
      </c>
      <c r="H20" s="235" t="s">
        <v>133</v>
      </c>
      <c r="I20" s="234" t="s">
        <v>34</v>
      </c>
      <c r="J20" s="236" t="s">
        <v>28</v>
      </c>
      <c r="K20" s="235">
        <v>61200</v>
      </c>
      <c r="L20" s="235" t="s">
        <v>29</v>
      </c>
      <c r="M20" s="237">
        <f t="shared" si="7"/>
        <v>0</v>
      </c>
      <c r="N20" s="237">
        <f t="shared" si="7"/>
        <v>0</v>
      </c>
      <c r="O20" s="237">
        <f t="shared" si="7"/>
        <v>0</v>
      </c>
      <c r="P20" s="237">
        <f t="shared" si="8"/>
        <v>0</v>
      </c>
      <c r="Q20" s="237">
        <f t="shared" si="10"/>
        <v>0</v>
      </c>
      <c r="R20" s="238">
        <v>4</v>
      </c>
      <c r="S20" s="9">
        <f t="shared" si="9"/>
        <v>0</v>
      </c>
      <c r="U20" s="1"/>
      <c r="V20" s="1"/>
      <c r="W20" s="1"/>
      <c r="X20" s="1"/>
      <c r="Y20" s="1"/>
      <c r="Z20" s="1"/>
      <c r="AA20" s="1"/>
      <c r="AB20" s="1"/>
      <c r="AC20" s="1"/>
      <c r="AD20" s="1"/>
      <c r="AE20" s="1"/>
      <c r="AF20" s="1"/>
      <c r="AG20" s="1"/>
      <c r="AH20" s="1"/>
      <c r="AI20" s="1"/>
      <c r="AJ20" s="1"/>
      <c r="AK20" s="1"/>
      <c r="AL20" s="1"/>
      <c r="AM20" s="1"/>
    </row>
    <row r="21" spans="1:39" s="2" customFormat="1" ht="21.95" customHeight="1" thickBot="1" x14ac:dyDescent="0.25">
      <c r="A21" s="266"/>
      <c r="B21" s="266"/>
      <c r="C21" s="267"/>
      <c r="D21" s="267"/>
      <c r="E21" s="267"/>
      <c r="F21" s="235">
        <v>10214</v>
      </c>
      <c r="G21" s="235" t="s">
        <v>132</v>
      </c>
      <c r="H21" s="235" t="s">
        <v>133</v>
      </c>
      <c r="I21" s="234" t="s">
        <v>34</v>
      </c>
      <c r="J21" s="236" t="s">
        <v>28</v>
      </c>
      <c r="K21" s="235">
        <v>61300</v>
      </c>
      <c r="L21" s="235" t="s">
        <v>30</v>
      </c>
      <c r="M21" s="237">
        <f t="shared" si="7"/>
        <v>0</v>
      </c>
      <c r="N21" s="237">
        <f t="shared" si="7"/>
        <v>0</v>
      </c>
      <c r="O21" s="237">
        <f t="shared" si="7"/>
        <v>0</v>
      </c>
      <c r="P21" s="237">
        <f t="shared" si="8"/>
        <v>0</v>
      </c>
      <c r="Q21" s="237">
        <f t="shared" si="10"/>
        <v>0</v>
      </c>
      <c r="R21" s="238">
        <v>4</v>
      </c>
      <c r="S21" s="9">
        <f t="shared" si="9"/>
        <v>0</v>
      </c>
      <c r="U21" s="1"/>
      <c r="V21" s="1"/>
      <c r="W21" s="1"/>
      <c r="X21" s="1"/>
      <c r="Y21" s="1"/>
      <c r="Z21" s="1"/>
      <c r="AA21" s="1"/>
      <c r="AB21" s="1"/>
      <c r="AC21" s="1"/>
      <c r="AD21" s="1"/>
      <c r="AE21" s="1"/>
      <c r="AF21" s="1"/>
      <c r="AG21" s="1"/>
      <c r="AH21" s="1"/>
      <c r="AI21" s="1"/>
      <c r="AJ21" s="1"/>
      <c r="AK21" s="1"/>
      <c r="AL21" s="1"/>
      <c r="AM21" s="1"/>
    </row>
    <row r="22" spans="1:39" s="2" customFormat="1" ht="21.95" customHeight="1" thickBot="1" x14ac:dyDescent="0.25">
      <c r="A22" s="266"/>
      <c r="B22" s="266"/>
      <c r="C22" s="270" t="s">
        <v>31</v>
      </c>
      <c r="D22" s="270"/>
      <c r="E22" s="270"/>
      <c r="F22" s="270"/>
      <c r="G22" s="270"/>
      <c r="H22" s="270"/>
      <c r="I22" s="270"/>
      <c r="J22" s="270"/>
      <c r="K22" s="270"/>
      <c r="L22" s="270"/>
      <c r="M22" s="237">
        <f>SUM(M14:M21)</f>
        <v>0</v>
      </c>
      <c r="N22" s="237">
        <f t="shared" ref="N22:Q22" si="11">SUM(N14:N21)</f>
        <v>84196</v>
      </c>
      <c r="O22" s="237">
        <f t="shared" si="11"/>
        <v>81720</v>
      </c>
      <c r="P22" s="237">
        <f t="shared" si="11"/>
        <v>81719</v>
      </c>
      <c r="Q22" s="237">
        <f t="shared" si="11"/>
        <v>247635</v>
      </c>
      <c r="R22" s="238"/>
      <c r="S22" s="9"/>
      <c r="U22" s="1"/>
      <c r="V22" s="1"/>
      <c r="W22" s="1"/>
      <c r="X22" s="1"/>
      <c r="Y22" s="1"/>
      <c r="Z22" s="1"/>
      <c r="AA22" s="1"/>
      <c r="AB22" s="1"/>
      <c r="AC22" s="1"/>
      <c r="AD22" s="1"/>
      <c r="AE22" s="1"/>
      <c r="AF22" s="1"/>
      <c r="AG22" s="1"/>
      <c r="AH22" s="1"/>
      <c r="AI22" s="1"/>
      <c r="AJ22" s="1"/>
      <c r="AK22" s="1"/>
      <c r="AL22" s="1"/>
      <c r="AM22" s="1"/>
    </row>
    <row r="23" spans="1:39" ht="21.95" customHeight="1" thickBot="1" x14ac:dyDescent="0.25">
      <c r="A23" s="267"/>
      <c r="B23" s="270" t="s">
        <v>35</v>
      </c>
      <c r="C23" s="270"/>
      <c r="D23" s="270"/>
      <c r="E23" s="270"/>
      <c r="F23" s="270"/>
      <c r="G23" s="270"/>
      <c r="H23" s="270"/>
      <c r="I23" s="270"/>
      <c r="J23" s="270"/>
      <c r="K23" s="270"/>
      <c r="L23" s="270"/>
      <c r="M23" s="237">
        <f>M22</f>
        <v>0</v>
      </c>
      <c r="N23" s="237">
        <f t="shared" ref="N23:Q23" si="12">N22</f>
        <v>84196</v>
      </c>
      <c r="O23" s="237">
        <f t="shared" si="12"/>
        <v>81720</v>
      </c>
      <c r="P23" s="237">
        <f t="shared" si="12"/>
        <v>81719</v>
      </c>
      <c r="Q23" s="237">
        <f t="shared" si="12"/>
        <v>247635</v>
      </c>
      <c r="R23" s="238"/>
      <c r="T23" s="10"/>
      <c r="AC23" s="11"/>
      <c r="AF23" s="12"/>
      <c r="AG23" s="13"/>
    </row>
    <row r="24" spans="1:39" ht="21.95" customHeight="1" thickBot="1" x14ac:dyDescent="0.25">
      <c r="A24" s="271" t="s">
        <v>36</v>
      </c>
      <c r="B24" s="272"/>
      <c r="C24" s="272"/>
      <c r="D24" s="272"/>
      <c r="E24" s="272"/>
      <c r="F24" s="272"/>
      <c r="G24" s="272"/>
      <c r="H24" s="272"/>
      <c r="I24" s="272"/>
      <c r="J24" s="272"/>
      <c r="K24" s="272"/>
      <c r="L24" s="273"/>
      <c r="M24" s="237">
        <f t="shared" ref="M24:Q24" si="13">M13+M23</f>
        <v>0</v>
      </c>
      <c r="N24" s="237">
        <f t="shared" si="13"/>
        <v>87784</v>
      </c>
      <c r="O24" s="237">
        <f t="shared" si="13"/>
        <v>85203</v>
      </c>
      <c r="P24" s="237">
        <f t="shared" si="13"/>
        <v>85200</v>
      </c>
      <c r="Q24" s="237">
        <f t="shared" si="13"/>
        <v>258187</v>
      </c>
      <c r="R24" s="238"/>
      <c r="U24" s="14"/>
      <c r="AC24" s="15"/>
      <c r="AM24" s="16"/>
    </row>
    <row r="25" spans="1:39" ht="21.95" customHeight="1" thickBot="1" x14ac:dyDescent="0.25">
      <c r="A25" s="265" t="s">
        <v>37</v>
      </c>
      <c r="B25" s="268" t="s">
        <v>38</v>
      </c>
      <c r="C25" s="268" t="s">
        <v>17</v>
      </c>
      <c r="D25" s="268">
        <v>62000</v>
      </c>
      <c r="E25" s="268">
        <v>10003</v>
      </c>
      <c r="F25" s="235">
        <v>10214</v>
      </c>
      <c r="G25" s="235" t="s">
        <v>132</v>
      </c>
      <c r="H25" s="235" t="s">
        <v>133</v>
      </c>
      <c r="I25" s="235" t="s">
        <v>39</v>
      </c>
      <c r="J25" s="236" t="s">
        <v>19</v>
      </c>
      <c r="K25" s="235">
        <v>71200</v>
      </c>
      <c r="L25" s="235" t="s">
        <v>19</v>
      </c>
      <c r="M25" s="237">
        <f t="shared" ref="M25:O32" si="14">ROUND(M$2*$Q25,0)</f>
        <v>0</v>
      </c>
      <c r="N25" s="237">
        <f t="shared" si="14"/>
        <v>0</v>
      </c>
      <c r="O25" s="237">
        <f t="shared" si="14"/>
        <v>0</v>
      </c>
      <c r="P25" s="237">
        <f t="shared" ref="P25:P32" si="15">Q25-SUM(M25:O25)</f>
        <v>0</v>
      </c>
      <c r="Q25" s="237">
        <f t="shared" ref="Q25:Q32" si="16">ROUND($V$6*S25,0)</f>
        <v>0</v>
      </c>
      <c r="R25" s="238">
        <v>2</v>
      </c>
      <c r="S25" s="9">
        <f t="shared" ref="S25:S33" si="17">VLOOKUP(K25, rpacoreratio, 4, FALSE)*VLOOKUP(K25, rpacoreratio, 8, FALSE)</f>
        <v>0</v>
      </c>
    </row>
    <row r="26" spans="1:39" ht="21.95" customHeight="1" thickBot="1" x14ac:dyDescent="0.25">
      <c r="A26" s="266"/>
      <c r="B26" s="268"/>
      <c r="C26" s="268"/>
      <c r="D26" s="268"/>
      <c r="E26" s="268"/>
      <c r="F26" s="235">
        <v>10214</v>
      </c>
      <c r="G26" s="235" t="s">
        <v>132</v>
      </c>
      <c r="H26" s="235" t="s">
        <v>133</v>
      </c>
      <c r="I26" s="235" t="s">
        <v>39</v>
      </c>
      <c r="J26" s="236" t="s">
        <v>20</v>
      </c>
      <c r="K26" s="235">
        <v>71300</v>
      </c>
      <c r="L26" s="235" t="s">
        <v>20</v>
      </c>
      <c r="M26" s="237">
        <f t="shared" si="14"/>
        <v>0</v>
      </c>
      <c r="N26" s="237">
        <f t="shared" si="14"/>
        <v>188</v>
      </c>
      <c r="O26" s="237">
        <f t="shared" si="14"/>
        <v>182</v>
      </c>
      <c r="P26" s="237">
        <f t="shared" si="15"/>
        <v>183</v>
      </c>
      <c r="Q26" s="237">
        <f t="shared" si="16"/>
        <v>553</v>
      </c>
      <c r="R26" s="238">
        <v>3</v>
      </c>
      <c r="S26" s="9">
        <f t="shared" si="17"/>
        <v>1.1051829782922407E-2</v>
      </c>
    </row>
    <row r="27" spans="1:39" ht="21.95" customHeight="1" thickBot="1" x14ac:dyDescent="0.25">
      <c r="A27" s="266"/>
      <c r="B27" s="268"/>
      <c r="C27" s="268"/>
      <c r="D27" s="268"/>
      <c r="E27" s="268"/>
      <c r="F27" s="235">
        <v>10214</v>
      </c>
      <c r="G27" s="235" t="s">
        <v>132</v>
      </c>
      <c r="H27" s="235" t="s">
        <v>133</v>
      </c>
      <c r="I27" s="235" t="s">
        <v>39</v>
      </c>
      <c r="J27" s="236" t="s">
        <v>21</v>
      </c>
      <c r="K27" s="235">
        <v>71400</v>
      </c>
      <c r="L27" s="235" t="s">
        <v>22</v>
      </c>
      <c r="M27" s="237">
        <f t="shared" si="14"/>
        <v>0</v>
      </c>
      <c r="N27" s="237">
        <f t="shared" si="14"/>
        <v>2878</v>
      </c>
      <c r="O27" s="237">
        <f t="shared" si="14"/>
        <v>2793</v>
      </c>
      <c r="P27" s="237">
        <f t="shared" si="15"/>
        <v>2793</v>
      </c>
      <c r="Q27" s="237">
        <f t="shared" si="16"/>
        <v>8464</v>
      </c>
      <c r="R27" s="238">
        <v>5</v>
      </c>
      <c r="S27" s="9">
        <f t="shared" si="17"/>
        <v>0.16928576997853712</v>
      </c>
    </row>
    <row r="28" spans="1:39" ht="21.95" customHeight="1" thickBot="1" x14ac:dyDescent="0.25">
      <c r="A28" s="266"/>
      <c r="B28" s="268"/>
      <c r="C28" s="268"/>
      <c r="D28" s="268"/>
      <c r="E28" s="268"/>
      <c r="F28" s="235">
        <v>10214</v>
      </c>
      <c r="G28" s="235" t="s">
        <v>132</v>
      </c>
      <c r="H28" s="235" t="s">
        <v>133</v>
      </c>
      <c r="I28" s="235" t="s">
        <v>39</v>
      </c>
      <c r="J28" s="236" t="s">
        <v>23</v>
      </c>
      <c r="K28" s="235">
        <v>71600</v>
      </c>
      <c r="L28" s="235" t="s">
        <v>23</v>
      </c>
      <c r="M28" s="237">
        <f t="shared" si="14"/>
        <v>0</v>
      </c>
      <c r="N28" s="237">
        <f t="shared" si="14"/>
        <v>139</v>
      </c>
      <c r="O28" s="237">
        <f t="shared" si="14"/>
        <v>135</v>
      </c>
      <c r="P28" s="237">
        <f t="shared" si="15"/>
        <v>136</v>
      </c>
      <c r="Q28" s="237">
        <f t="shared" si="16"/>
        <v>410</v>
      </c>
      <c r="R28" s="238">
        <v>7</v>
      </c>
      <c r="S28" s="9">
        <f t="shared" si="17"/>
        <v>8.2070752783677953E-3</v>
      </c>
    </row>
    <row r="29" spans="1:39" ht="21.95" customHeight="1" thickBot="1" x14ac:dyDescent="0.25">
      <c r="A29" s="266"/>
      <c r="B29" s="268"/>
      <c r="C29" s="268"/>
      <c r="D29" s="268"/>
      <c r="E29" s="268"/>
      <c r="F29" s="235">
        <v>10214</v>
      </c>
      <c r="G29" s="235" t="s">
        <v>132</v>
      </c>
      <c r="H29" s="235" t="s">
        <v>133</v>
      </c>
      <c r="I29" s="235" t="s">
        <v>39</v>
      </c>
      <c r="J29" s="235" t="s">
        <v>24</v>
      </c>
      <c r="K29" s="235">
        <v>72500</v>
      </c>
      <c r="L29" s="235" t="s">
        <v>25</v>
      </c>
      <c r="M29" s="237">
        <f t="shared" si="14"/>
        <v>0</v>
      </c>
      <c r="N29" s="237">
        <f t="shared" si="14"/>
        <v>12</v>
      </c>
      <c r="O29" s="237">
        <f t="shared" si="14"/>
        <v>12</v>
      </c>
      <c r="P29" s="237">
        <f t="shared" si="15"/>
        <v>11</v>
      </c>
      <c r="Q29" s="237">
        <f t="shared" si="16"/>
        <v>35</v>
      </c>
      <c r="R29" s="238">
        <v>10</v>
      </c>
      <c r="S29" s="9">
        <f t="shared" si="17"/>
        <v>6.9784685471373947E-4</v>
      </c>
    </row>
    <row r="30" spans="1:39" ht="21.95" customHeight="1" thickBot="1" x14ac:dyDescent="0.25">
      <c r="A30" s="266"/>
      <c r="B30" s="268"/>
      <c r="C30" s="268"/>
      <c r="D30" s="268"/>
      <c r="E30" s="268"/>
      <c r="F30" s="235">
        <v>10214</v>
      </c>
      <c r="G30" s="235" t="s">
        <v>132</v>
      </c>
      <c r="H30" s="235" t="s">
        <v>133</v>
      </c>
      <c r="I30" s="235" t="s">
        <v>39</v>
      </c>
      <c r="J30" s="236" t="s">
        <v>26</v>
      </c>
      <c r="K30" s="235">
        <v>75700</v>
      </c>
      <c r="L30" s="235" t="s">
        <v>27</v>
      </c>
      <c r="M30" s="237">
        <f t="shared" si="14"/>
        <v>0</v>
      </c>
      <c r="N30" s="237">
        <f t="shared" si="14"/>
        <v>60</v>
      </c>
      <c r="O30" s="237">
        <f t="shared" si="14"/>
        <v>58</v>
      </c>
      <c r="P30" s="237">
        <f t="shared" si="15"/>
        <v>59</v>
      </c>
      <c r="Q30" s="237">
        <f t="shared" si="16"/>
        <v>177</v>
      </c>
      <c r="R30" s="238">
        <v>6</v>
      </c>
      <c r="S30" s="9">
        <f t="shared" si="17"/>
        <v>3.5324633912159568E-3</v>
      </c>
    </row>
    <row r="31" spans="1:39" ht="21.95" customHeight="1" thickBot="1" x14ac:dyDescent="0.25">
      <c r="A31" s="266"/>
      <c r="B31" s="268"/>
      <c r="C31" s="268"/>
      <c r="D31" s="268"/>
      <c r="E31" s="268"/>
      <c r="F31" s="235">
        <v>10214</v>
      </c>
      <c r="G31" s="235" t="s">
        <v>132</v>
      </c>
      <c r="H31" s="235" t="s">
        <v>133</v>
      </c>
      <c r="I31" s="235" t="s">
        <v>39</v>
      </c>
      <c r="J31" s="236" t="s">
        <v>28</v>
      </c>
      <c r="K31" s="235">
        <v>61200</v>
      </c>
      <c r="L31" s="235" t="s">
        <v>29</v>
      </c>
      <c r="M31" s="237">
        <f t="shared" si="14"/>
        <v>0</v>
      </c>
      <c r="N31" s="237">
        <f t="shared" si="14"/>
        <v>0</v>
      </c>
      <c r="O31" s="237">
        <f t="shared" si="14"/>
        <v>0</v>
      </c>
      <c r="P31" s="237">
        <f t="shared" si="15"/>
        <v>0</v>
      </c>
      <c r="Q31" s="237">
        <f t="shared" si="16"/>
        <v>0</v>
      </c>
      <c r="R31" s="238">
        <v>4</v>
      </c>
      <c r="S31" s="9">
        <f t="shared" si="17"/>
        <v>0</v>
      </c>
    </row>
    <row r="32" spans="1:39" ht="21.95" customHeight="1" thickBot="1" x14ac:dyDescent="0.25">
      <c r="A32" s="266"/>
      <c r="B32" s="268"/>
      <c r="C32" s="268"/>
      <c r="D32" s="268"/>
      <c r="E32" s="268"/>
      <c r="F32" s="235">
        <v>10214</v>
      </c>
      <c r="G32" s="235" t="s">
        <v>132</v>
      </c>
      <c r="H32" s="235" t="s">
        <v>133</v>
      </c>
      <c r="I32" s="235" t="s">
        <v>39</v>
      </c>
      <c r="J32" s="236" t="s">
        <v>28</v>
      </c>
      <c r="K32" s="235">
        <v>61300</v>
      </c>
      <c r="L32" s="235" t="s">
        <v>30</v>
      </c>
      <c r="M32" s="237">
        <f t="shared" si="14"/>
        <v>0</v>
      </c>
      <c r="N32" s="237">
        <f t="shared" si="14"/>
        <v>0</v>
      </c>
      <c r="O32" s="237">
        <f t="shared" si="14"/>
        <v>0</v>
      </c>
      <c r="P32" s="237">
        <f t="shared" si="15"/>
        <v>0</v>
      </c>
      <c r="Q32" s="237">
        <f t="shared" si="16"/>
        <v>0</v>
      </c>
      <c r="R32" s="238">
        <v>4</v>
      </c>
      <c r="S32" s="9">
        <f t="shared" si="17"/>
        <v>0</v>
      </c>
    </row>
    <row r="33" spans="1:39" s="2" customFormat="1" ht="21.95" customHeight="1" thickBot="1" x14ac:dyDescent="0.25">
      <c r="A33" s="266"/>
      <c r="B33" s="268"/>
      <c r="C33" s="268"/>
      <c r="D33" s="268"/>
      <c r="E33" s="268"/>
      <c r="F33" s="235">
        <v>10214</v>
      </c>
      <c r="G33" s="235" t="s">
        <v>132</v>
      </c>
      <c r="H33" s="235" t="s">
        <v>133</v>
      </c>
      <c r="I33" s="235" t="s">
        <v>39</v>
      </c>
      <c r="J33" s="236" t="s">
        <v>40</v>
      </c>
      <c r="K33" s="235">
        <v>72600</v>
      </c>
      <c r="L33" s="235" t="s">
        <v>40</v>
      </c>
      <c r="M33" s="237">
        <f>ROUND(M$1*$Q33, 0)</f>
        <v>0</v>
      </c>
      <c r="N33" s="237">
        <f t="shared" ref="N33:O33" si="18">ROUND(N$1*$Q33, 0)</f>
        <v>182727</v>
      </c>
      <c r="O33" s="237">
        <f t="shared" si="18"/>
        <v>182727</v>
      </c>
      <c r="P33" s="237">
        <f>Q33-SUM(M33:O33)</f>
        <v>91364.18</v>
      </c>
      <c r="Q33" s="237">
        <f>V4</f>
        <v>456818.18</v>
      </c>
      <c r="R33" s="238">
        <v>1</v>
      </c>
      <c r="S33" s="9">
        <f t="shared" si="17"/>
        <v>0</v>
      </c>
      <c r="U33" s="1"/>
      <c r="V33" s="1"/>
      <c r="W33" s="1"/>
      <c r="X33" s="1"/>
      <c r="Y33" s="1"/>
      <c r="Z33" s="1"/>
      <c r="AA33" s="1"/>
      <c r="AB33" s="1"/>
      <c r="AC33" s="1"/>
      <c r="AD33" s="1"/>
      <c r="AE33" s="1"/>
      <c r="AF33" s="1"/>
      <c r="AG33" s="1"/>
      <c r="AH33" s="1"/>
      <c r="AI33" s="1"/>
      <c r="AJ33" s="1"/>
      <c r="AK33" s="1"/>
      <c r="AL33" s="1"/>
      <c r="AM33" s="1"/>
    </row>
    <row r="34" spans="1:39" s="2" customFormat="1" ht="21.95" customHeight="1" thickBot="1" x14ac:dyDescent="0.25">
      <c r="A34" s="266"/>
      <c r="B34" s="268"/>
      <c r="C34" s="269" t="s">
        <v>31</v>
      </c>
      <c r="D34" s="269"/>
      <c r="E34" s="269"/>
      <c r="F34" s="269"/>
      <c r="G34" s="269"/>
      <c r="H34" s="269"/>
      <c r="I34" s="269"/>
      <c r="J34" s="269"/>
      <c r="K34" s="269"/>
      <c r="L34" s="269"/>
      <c r="M34" s="237">
        <f>SUM(M25:M33)</f>
        <v>0</v>
      </c>
      <c r="N34" s="237">
        <f t="shared" ref="N34:Q34" si="19">SUM(N25:N33)</f>
        <v>186004</v>
      </c>
      <c r="O34" s="237">
        <f t="shared" si="19"/>
        <v>185907</v>
      </c>
      <c r="P34" s="237">
        <f t="shared" si="19"/>
        <v>94546.18</v>
      </c>
      <c r="Q34" s="237">
        <f t="shared" si="19"/>
        <v>466457.18</v>
      </c>
      <c r="R34" s="238"/>
      <c r="S34" s="9"/>
      <c r="U34" s="1"/>
      <c r="V34" s="1"/>
      <c r="W34" s="1"/>
      <c r="X34" s="1"/>
      <c r="Y34" s="1"/>
      <c r="Z34" s="1"/>
      <c r="AA34" s="1"/>
      <c r="AB34" s="1"/>
      <c r="AC34" s="1"/>
      <c r="AD34" s="1"/>
      <c r="AE34" s="1"/>
      <c r="AF34" s="1"/>
      <c r="AG34" s="1"/>
      <c r="AH34" s="1"/>
      <c r="AI34" s="1"/>
      <c r="AJ34" s="1"/>
      <c r="AK34" s="1"/>
      <c r="AL34" s="1"/>
      <c r="AM34" s="1"/>
    </row>
    <row r="35" spans="1:39" s="2" customFormat="1" ht="21.95" customHeight="1" thickBot="1" x14ac:dyDescent="0.25">
      <c r="A35" s="266"/>
      <c r="B35" s="269" t="s">
        <v>41</v>
      </c>
      <c r="C35" s="269"/>
      <c r="D35" s="269"/>
      <c r="E35" s="269"/>
      <c r="F35" s="269"/>
      <c r="G35" s="269"/>
      <c r="H35" s="269"/>
      <c r="I35" s="269"/>
      <c r="J35" s="269"/>
      <c r="K35" s="269"/>
      <c r="L35" s="269"/>
      <c r="M35" s="237">
        <f>M34</f>
        <v>0</v>
      </c>
      <c r="N35" s="237">
        <f t="shared" ref="N35:Q35" si="20">N34</f>
        <v>186004</v>
      </c>
      <c r="O35" s="237">
        <f t="shared" si="20"/>
        <v>185907</v>
      </c>
      <c r="P35" s="237">
        <f t="shared" si="20"/>
        <v>94546.18</v>
      </c>
      <c r="Q35" s="237">
        <f t="shared" si="20"/>
        <v>466457.18</v>
      </c>
      <c r="R35" s="238"/>
      <c r="S35" s="9"/>
      <c r="U35" s="1"/>
      <c r="V35" s="1"/>
      <c r="W35" s="1"/>
      <c r="X35" s="1"/>
      <c r="Y35" s="1"/>
      <c r="Z35" s="1"/>
      <c r="AA35" s="1"/>
      <c r="AB35" s="1"/>
      <c r="AC35" s="1"/>
      <c r="AD35" s="1"/>
      <c r="AE35" s="1"/>
      <c r="AF35" s="1"/>
      <c r="AG35" s="1"/>
      <c r="AH35" s="1"/>
      <c r="AI35" s="1"/>
      <c r="AJ35" s="1"/>
      <c r="AK35" s="1"/>
      <c r="AL35" s="1"/>
      <c r="AM35" s="1"/>
    </row>
    <row r="36" spans="1:39" s="2" customFormat="1" ht="21.95" customHeight="1" thickBot="1" x14ac:dyDescent="0.25">
      <c r="A36" s="266"/>
      <c r="B36" s="265" t="s">
        <v>42</v>
      </c>
      <c r="C36" s="265" t="s">
        <v>17</v>
      </c>
      <c r="D36" s="265">
        <v>62000</v>
      </c>
      <c r="E36" s="265">
        <v>10003</v>
      </c>
      <c r="F36" s="235">
        <v>10214</v>
      </c>
      <c r="G36" s="235" t="s">
        <v>132</v>
      </c>
      <c r="H36" s="235" t="s">
        <v>133</v>
      </c>
      <c r="I36" s="235" t="s">
        <v>43</v>
      </c>
      <c r="J36" s="236" t="s">
        <v>19</v>
      </c>
      <c r="K36" s="235">
        <v>71200</v>
      </c>
      <c r="L36" s="235" t="s">
        <v>19</v>
      </c>
      <c r="M36" s="237">
        <f t="shared" ref="M36:O43" si="21">ROUND(M$2*$Q36,0)</f>
        <v>0</v>
      </c>
      <c r="N36" s="237">
        <f t="shared" si="21"/>
        <v>0</v>
      </c>
      <c r="O36" s="237">
        <f t="shared" si="21"/>
        <v>0</v>
      </c>
      <c r="P36" s="237">
        <f t="shared" ref="P36:P43" si="22">Q36-SUM(M36:O36)</f>
        <v>0</v>
      </c>
      <c r="Q36" s="237">
        <f t="shared" ref="Q36:Q43" si="23">ROUND($V$7*S36,0)</f>
        <v>0</v>
      </c>
      <c r="R36" s="238">
        <v>2</v>
      </c>
      <c r="S36" s="9">
        <f t="shared" ref="S36:S44" si="24">VLOOKUP(K36, rpastarratio, 4, FALSE)*VLOOKUP(K36, rpastarratio, 8, FALSE)</f>
        <v>0</v>
      </c>
      <c r="U36" s="1"/>
      <c r="V36" s="1"/>
      <c r="W36" s="1"/>
      <c r="X36" s="1"/>
      <c r="Y36" s="1"/>
      <c r="Z36" s="1"/>
      <c r="AA36" s="1"/>
      <c r="AB36" s="1"/>
      <c r="AC36" s="1"/>
      <c r="AD36" s="1"/>
      <c r="AE36" s="1"/>
      <c r="AF36" s="1"/>
      <c r="AG36" s="1"/>
      <c r="AH36" s="1"/>
      <c r="AI36" s="1"/>
      <c r="AJ36" s="1"/>
      <c r="AK36" s="1"/>
      <c r="AL36" s="1"/>
      <c r="AM36" s="1"/>
    </row>
    <row r="37" spans="1:39" s="2" customFormat="1" ht="21.95" customHeight="1" thickBot="1" x14ac:dyDescent="0.25">
      <c r="A37" s="266"/>
      <c r="B37" s="266"/>
      <c r="C37" s="266"/>
      <c r="D37" s="266"/>
      <c r="E37" s="266"/>
      <c r="F37" s="235">
        <v>10214</v>
      </c>
      <c r="G37" s="235" t="s">
        <v>132</v>
      </c>
      <c r="H37" s="235" t="s">
        <v>133</v>
      </c>
      <c r="I37" s="235" t="s">
        <v>43</v>
      </c>
      <c r="J37" s="236" t="s">
        <v>20</v>
      </c>
      <c r="K37" s="235">
        <v>71300</v>
      </c>
      <c r="L37" s="235" t="s">
        <v>20</v>
      </c>
      <c r="M37" s="237">
        <f t="shared" si="21"/>
        <v>0</v>
      </c>
      <c r="N37" s="237">
        <f t="shared" si="21"/>
        <v>4409</v>
      </c>
      <c r="O37" s="237">
        <f t="shared" si="21"/>
        <v>4279</v>
      </c>
      <c r="P37" s="237">
        <f t="shared" si="22"/>
        <v>4279</v>
      </c>
      <c r="Q37" s="237">
        <f t="shared" si="23"/>
        <v>12967</v>
      </c>
      <c r="R37" s="238">
        <v>3</v>
      </c>
      <c r="S37" s="9">
        <f t="shared" si="24"/>
        <v>1.1051829782922401E-2</v>
      </c>
      <c r="U37" s="1"/>
      <c r="V37" s="1"/>
      <c r="W37" s="1"/>
      <c r="X37" s="1"/>
      <c r="Y37" s="1"/>
      <c r="Z37" s="1"/>
      <c r="AA37" s="1"/>
      <c r="AB37" s="1"/>
      <c r="AC37" s="1"/>
      <c r="AD37" s="1"/>
      <c r="AE37" s="1"/>
      <c r="AF37" s="1"/>
      <c r="AG37" s="1"/>
      <c r="AH37" s="1"/>
      <c r="AI37" s="1"/>
      <c r="AJ37" s="1"/>
      <c r="AK37" s="1"/>
      <c r="AL37" s="1"/>
      <c r="AM37" s="1"/>
    </row>
    <row r="38" spans="1:39" s="2" customFormat="1" ht="21.95" customHeight="1" thickBot="1" x14ac:dyDescent="0.25">
      <c r="A38" s="266"/>
      <c r="B38" s="266"/>
      <c r="C38" s="266"/>
      <c r="D38" s="266"/>
      <c r="E38" s="266"/>
      <c r="F38" s="235">
        <v>10214</v>
      </c>
      <c r="G38" s="235" t="s">
        <v>132</v>
      </c>
      <c r="H38" s="235" t="s">
        <v>133</v>
      </c>
      <c r="I38" s="235" t="s">
        <v>43</v>
      </c>
      <c r="J38" s="236" t="s">
        <v>21</v>
      </c>
      <c r="K38" s="235">
        <v>71400</v>
      </c>
      <c r="L38" s="235" t="s">
        <v>22</v>
      </c>
      <c r="M38" s="237">
        <f t="shared" si="21"/>
        <v>0</v>
      </c>
      <c r="N38" s="237">
        <f t="shared" si="21"/>
        <v>67533</v>
      </c>
      <c r="O38" s="237">
        <f t="shared" si="21"/>
        <v>65547</v>
      </c>
      <c r="P38" s="237">
        <f t="shared" si="22"/>
        <v>65546</v>
      </c>
      <c r="Q38" s="237">
        <f t="shared" si="23"/>
        <v>198626</v>
      </c>
      <c r="R38" s="238">
        <v>5</v>
      </c>
      <c r="S38" s="9">
        <f t="shared" si="24"/>
        <v>0.16928576997853703</v>
      </c>
      <c r="U38" s="1"/>
      <c r="V38" s="1"/>
      <c r="W38" s="1"/>
      <c r="X38" s="1"/>
      <c r="Y38" s="1"/>
      <c r="Z38" s="1"/>
      <c r="AA38" s="1"/>
      <c r="AB38" s="1"/>
      <c r="AC38" s="1"/>
      <c r="AD38" s="1"/>
      <c r="AE38" s="1"/>
      <c r="AF38" s="1"/>
      <c r="AG38" s="1"/>
      <c r="AH38" s="1"/>
      <c r="AI38" s="1"/>
      <c r="AJ38" s="1"/>
      <c r="AK38" s="1"/>
      <c r="AL38" s="1"/>
      <c r="AM38" s="1"/>
    </row>
    <row r="39" spans="1:39" s="2" customFormat="1" ht="21.95" customHeight="1" thickBot="1" x14ac:dyDescent="0.25">
      <c r="A39" s="266"/>
      <c r="B39" s="266"/>
      <c r="C39" s="266"/>
      <c r="D39" s="266"/>
      <c r="E39" s="266"/>
      <c r="F39" s="235">
        <v>10214</v>
      </c>
      <c r="G39" s="235" t="s">
        <v>132</v>
      </c>
      <c r="H39" s="235" t="s">
        <v>133</v>
      </c>
      <c r="I39" s="235" t="s">
        <v>43</v>
      </c>
      <c r="J39" s="236" t="s">
        <v>23</v>
      </c>
      <c r="K39" s="235">
        <v>71600</v>
      </c>
      <c r="L39" s="235" t="s">
        <v>23</v>
      </c>
      <c r="M39" s="237">
        <f t="shared" si="21"/>
        <v>0</v>
      </c>
      <c r="N39" s="237">
        <f t="shared" si="21"/>
        <v>3274</v>
      </c>
      <c r="O39" s="237">
        <f t="shared" si="21"/>
        <v>3178</v>
      </c>
      <c r="P39" s="237">
        <f t="shared" si="22"/>
        <v>3178</v>
      </c>
      <c r="Q39" s="237">
        <f t="shared" si="23"/>
        <v>9630</v>
      </c>
      <c r="R39" s="238">
        <v>7</v>
      </c>
      <c r="S39" s="9">
        <f t="shared" si="24"/>
        <v>8.2070752783677901E-3</v>
      </c>
      <c r="U39" s="1"/>
      <c r="V39" s="1"/>
      <c r="W39" s="1"/>
      <c r="X39" s="1"/>
      <c r="Y39" s="1"/>
      <c r="Z39" s="1"/>
      <c r="AA39" s="1"/>
      <c r="AB39" s="1"/>
      <c r="AC39" s="1"/>
      <c r="AD39" s="1"/>
      <c r="AE39" s="1"/>
      <c r="AF39" s="1"/>
      <c r="AG39" s="1"/>
      <c r="AH39" s="1"/>
      <c r="AI39" s="1"/>
      <c r="AJ39" s="1"/>
      <c r="AK39" s="1"/>
      <c r="AL39" s="1"/>
      <c r="AM39" s="1"/>
    </row>
    <row r="40" spans="1:39" s="2" customFormat="1" ht="21.95" customHeight="1" thickBot="1" x14ac:dyDescent="0.25">
      <c r="A40" s="266"/>
      <c r="B40" s="266"/>
      <c r="C40" s="266"/>
      <c r="D40" s="266"/>
      <c r="E40" s="266"/>
      <c r="F40" s="235">
        <v>10214</v>
      </c>
      <c r="G40" s="235" t="s">
        <v>132</v>
      </c>
      <c r="H40" s="235" t="s">
        <v>133</v>
      </c>
      <c r="I40" s="235" t="s">
        <v>43</v>
      </c>
      <c r="J40" s="235" t="s">
        <v>24</v>
      </c>
      <c r="K40" s="235">
        <v>72500</v>
      </c>
      <c r="L40" s="235" t="s">
        <v>25</v>
      </c>
      <c r="M40" s="237">
        <f t="shared" si="21"/>
        <v>0</v>
      </c>
      <c r="N40" s="237">
        <f t="shared" si="21"/>
        <v>278</v>
      </c>
      <c r="O40" s="237">
        <f t="shared" si="21"/>
        <v>270</v>
      </c>
      <c r="P40" s="237">
        <f t="shared" si="22"/>
        <v>271</v>
      </c>
      <c r="Q40" s="237">
        <f t="shared" si="23"/>
        <v>819</v>
      </c>
      <c r="R40" s="238">
        <v>10</v>
      </c>
      <c r="S40" s="9">
        <f t="shared" si="24"/>
        <v>6.9784685471373903E-4</v>
      </c>
      <c r="U40" s="1"/>
      <c r="V40" s="1"/>
      <c r="W40" s="1"/>
      <c r="X40" s="1"/>
      <c r="Y40" s="1"/>
      <c r="Z40" s="1"/>
      <c r="AA40" s="1"/>
      <c r="AB40" s="1"/>
      <c r="AC40" s="1"/>
      <c r="AD40" s="1"/>
      <c r="AE40" s="1"/>
      <c r="AF40" s="1"/>
      <c r="AG40" s="1"/>
      <c r="AH40" s="1"/>
      <c r="AI40" s="1"/>
      <c r="AJ40" s="1"/>
      <c r="AK40" s="1"/>
      <c r="AL40" s="1"/>
      <c r="AM40" s="1"/>
    </row>
    <row r="41" spans="1:39" ht="21.95" customHeight="1" thickBot="1" x14ac:dyDescent="0.25">
      <c r="A41" s="266"/>
      <c r="B41" s="266"/>
      <c r="C41" s="266"/>
      <c r="D41" s="266"/>
      <c r="E41" s="266"/>
      <c r="F41" s="235">
        <v>10214</v>
      </c>
      <c r="G41" s="235" t="s">
        <v>132</v>
      </c>
      <c r="H41" s="235" t="s">
        <v>133</v>
      </c>
      <c r="I41" s="235" t="s">
        <v>43</v>
      </c>
      <c r="J41" s="236" t="s">
        <v>26</v>
      </c>
      <c r="K41" s="235">
        <v>75700</v>
      </c>
      <c r="L41" s="235" t="s">
        <v>27</v>
      </c>
      <c r="M41" s="237">
        <f t="shared" si="21"/>
        <v>0</v>
      </c>
      <c r="N41" s="237">
        <f t="shared" si="21"/>
        <v>1409</v>
      </c>
      <c r="O41" s="237">
        <f t="shared" si="21"/>
        <v>1368</v>
      </c>
      <c r="P41" s="237">
        <f t="shared" si="22"/>
        <v>1368</v>
      </c>
      <c r="Q41" s="237">
        <f t="shared" si="23"/>
        <v>4145</v>
      </c>
      <c r="R41" s="238">
        <v>6</v>
      </c>
      <c r="S41" s="9">
        <f t="shared" si="24"/>
        <v>3.532463391215955E-3</v>
      </c>
    </row>
    <row r="42" spans="1:39" ht="21.95" customHeight="1" thickBot="1" x14ac:dyDescent="0.25">
      <c r="A42" s="266"/>
      <c r="B42" s="266"/>
      <c r="C42" s="266"/>
      <c r="D42" s="266"/>
      <c r="E42" s="266"/>
      <c r="F42" s="235">
        <v>10214</v>
      </c>
      <c r="G42" s="235" t="s">
        <v>132</v>
      </c>
      <c r="H42" s="235" t="s">
        <v>133</v>
      </c>
      <c r="I42" s="235" t="s">
        <v>43</v>
      </c>
      <c r="J42" s="236" t="s">
        <v>28</v>
      </c>
      <c r="K42" s="235">
        <v>61200</v>
      </c>
      <c r="L42" s="235" t="s">
        <v>29</v>
      </c>
      <c r="M42" s="237">
        <f t="shared" si="21"/>
        <v>0</v>
      </c>
      <c r="N42" s="237">
        <f t="shared" si="21"/>
        <v>0</v>
      </c>
      <c r="O42" s="237">
        <f t="shared" si="21"/>
        <v>0</v>
      </c>
      <c r="P42" s="237">
        <f t="shared" si="22"/>
        <v>0</v>
      </c>
      <c r="Q42" s="237">
        <f t="shared" si="23"/>
        <v>0</v>
      </c>
      <c r="R42" s="238">
        <v>4</v>
      </c>
      <c r="S42" s="9">
        <f t="shared" si="24"/>
        <v>0</v>
      </c>
    </row>
    <row r="43" spans="1:39" ht="21.95" customHeight="1" thickBot="1" x14ac:dyDescent="0.25">
      <c r="A43" s="266"/>
      <c r="B43" s="266"/>
      <c r="C43" s="266"/>
      <c r="D43" s="266"/>
      <c r="E43" s="266"/>
      <c r="F43" s="235">
        <v>10214</v>
      </c>
      <c r="G43" s="235" t="s">
        <v>132</v>
      </c>
      <c r="H43" s="235" t="s">
        <v>133</v>
      </c>
      <c r="I43" s="235" t="s">
        <v>43</v>
      </c>
      <c r="J43" s="236" t="s">
        <v>28</v>
      </c>
      <c r="K43" s="235">
        <v>61300</v>
      </c>
      <c r="L43" s="235" t="s">
        <v>30</v>
      </c>
      <c r="M43" s="237">
        <f t="shared" si="21"/>
        <v>0</v>
      </c>
      <c r="N43" s="237">
        <f t="shared" si="21"/>
        <v>0</v>
      </c>
      <c r="O43" s="237">
        <f t="shared" si="21"/>
        <v>0</v>
      </c>
      <c r="P43" s="237">
        <f t="shared" si="22"/>
        <v>0</v>
      </c>
      <c r="Q43" s="237">
        <f t="shared" si="23"/>
        <v>0</v>
      </c>
      <c r="R43" s="238">
        <v>4</v>
      </c>
      <c r="S43" s="9">
        <f t="shared" si="24"/>
        <v>0</v>
      </c>
    </row>
    <row r="44" spans="1:39" ht="21.95" customHeight="1" thickBot="1" x14ac:dyDescent="0.25">
      <c r="A44" s="266"/>
      <c r="B44" s="266"/>
      <c r="C44" s="267"/>
      <c r="D44" s="267"/>
      <c r="E44" s="267"/>
      <c r="F44" s="235">
        <v>10214</v>
      </c>
      <c r="G44" s="235" t="s">
        <v>132</v>
      </c>
      <c r="H44" s="235" t="s">
        <v>133</v>
      </c>
      <c r="I44" s="235" t="s">
        <v>43</v>
      </c>
      <c r="J44" s="236" t="s">
        <v>40</v>
      </c>
      <c r="K44" s="235">
        <v>72600</v>
      </c>
      <c r="L44" s="235" t="s">
        <v>40</v>
      </c>
      <c r="M44" s="237">
        <f>ROUND(M$1*$Q44,0)</f>
        <v>0</v>
      </c>
      <c r="N44" s="237">
        <f t="shared" ref="N44:O44" si="25">ROUND(N$1*$Q44,0)</f>
        <v>1340000</v>
      </c>
      <c r="O44" s="237">
        <f t="shared" si="25"/>
        <v>1340000</v>
      </c>
      <c r="P44" s="237">
        <f>Q44-SUM(M44:O44)</f>
        <v>670000</v>
      </c>
      <c r="Q44" s="237">
        <f>ROUND(V5,0)</f>
        <v>3350000</v>
      </c>
      <c r="R44" s="238">
        <v>1</v>
      </c>
      <c r="S44" s="9">
        <f t="shared" si="24"/>
        <v>0</v>
      </c>
    </row>
    <row r="45" spans="1:39" ht="21.95" customHeight="1" thickBot="1" x14ac:dyDescent="0.25">
      <c r="A45" s="266"/>
      <c r="B45" s="266"/>
      <c r="C45" s="270" t="s">
        <v>31</v>
      </c>
      <c r="D45" s="270"/>
      <c r="E45" s="270"/>
      <c r="F45" s="270"/>
      <c r="G45" s="270"/>
      <c r="H45" s="270"/>
      <c r="I45" s="270"/>
      <c r="J45" s="270"/>
      <c r="K45" s="270"/>
      <c r="L45" s="270"/>
      <c r="M45" s="237">
        <f>SUM(M36:M44)</f>
        <v>0</v>
      </c>
      <c r="N45" s="237">
        <f t="shared" ref="N45:Q45" si="26">SUM(N36:N44)</f>
        <v>1416903</v>
      </c>
      <c r="O45" s="237">
        <f t="shared" si="26"/>
        <v>1414642</v>
      </c>
      <c r="P45" s="237">
        <f t="shared" si="26"/>
        <v>744642</v>
      </c>
      <c r="Q45" s="237">
        <f t="shared" si="26"/>
        <v>3576187</v>
      </c>
      <c r="R45" s="238"/>
      <c r="S45" s="9"/>
    </row>
    <row r="46" spans="1:39" ht="21.95" customHeight="1" thickBot="1" x14ac:dyDescent="0.25">
      <c r="A46" s="267"/>
      <c r="B46" s="270" t="s">
        <v>44</v>
      </c>
      <c r="C46" s="270"/>
      <c r="D46" s="270"/>
      <c r="E46" s="270"/>
      <c r="F46" s="270"/>
      <c r="G46" s="270"/>
      <c r="H46" s="270"/>
      <c r="I46" s="270"/>
      <c r="J46" s="270"/>
      <c r="K46" s="270"/>
      <c r="L46" s="270"/>
      <c r="M46" s="237">
        <f>M45</f>
        <v>0</v>
      </c>
      <c r="N46" s="237">
        <f t="shared" ref="N46:Q46" si="27">N45</f>
        <v>1416903</v>
      </c>
      <c r="O46" s="237">
        <f t="shared" si="27"/>
        <v>1414642</v>
      </c>
      <c r="P46" s="237">
        <f t="shared" si="27"/>
        <v>744642</v>
      </c>
      <c r="Q46" s="237">
        <f t="shared" si="27"/>
        <v>3576187</v>
      </c>
      <c r="R46" s="238"/>
      <c r="T46" s="10"/>
      <c r="AC46" s="11"/>
      <c r="AF46" s="12"/>
      <c r="AG46" s="13"/>
    </row>
    <row r="47" spans="1:39" ht="21.95" customHeight="1" thickBot="1" x14ac:dyDescent="0.25">
      <c r="A47" s="271" t="s">
        <v>45</v>
      </c>
      <c r="B47" s="272"/>
      <c r="C47" s="272"/>
      <c r="D47" s="272"/>
      <c r="E47" s="272"/>
      <c r="F47" s="272"/>
      <c r="G47" s="272"/>
      <c r="H47" s="272"/>
      <c r="I47" s="272"/>
      <c r="J47" s="272"/>
      <c r="K47" s="272"/>
      <c r="L47" s="273"/>
      <c r="M47" s="237">
        <f t="shared" ref="M47:Q47" si="28">M35+M46</f>
        <v>0</v>
      </c>
      <c r="N47" s="237">
        <f t="shared" si="28"/>
        <v>1602907</v>
      </c>
      <c r="O47" s="237">
        <f t="shared" si="28"/>
        <v>1600549</v>
      </c>
      <c r="P47" s="237">
        <f t="shared" si="28"/>
        <v>839188.17999999993</v>
      </c>
      <c r="Q47" s="237">
        <f t="shared" si="28"/>
        <v>4042644.18</v>
      </c>
      <c r="R47" s="238"/>
      <c r="U47" s="14"/>
      <c r="AC47" s="15"/>
      <c r="AM47" s="16"/>
    </row>
    <row r="48" spans="1:39" s="2" customFormat="1" ht="21.95" customHeight="1" thickBot="1" x14ac:dyDescent="0.25">
      <c r="A48" s="265" t="s">
        <v>46</v>
      </c>
      <c r="B48" s="268" t="s">
        <v>47</v>
      </c>
      <c r="C48" s="268" t="s">
        <v>17</v>
      </c>
      <c r="D48" s="268">
        <v>62000</v>
      </c>
      <c r="E48" s="268">
        <v>10003</v>
      </c>
      <c r="F48" s="235">
        <v>10214</v>
      </c>
      <c r="G48" s="235" t="s">
        <v>132</v>
      </c>
      <c r="H48" s="235" t="s">
        <v>133</v>
      </c>
      <c r="I48" s="235" t="s">
        <v>48</v>
      </c>
      <c r="J48" s="236" t="s">
        <v>19</v>
      </c>
      <c r="K48" s="235">
        <v>71200</v>
      </c>
      <c r="L48" s="235" t="s">
        <v>19</v>
      </c>
      <c r="M48" s="237">
        <f t="shared" ref="M48:O56" si="29">ROUND(M$2*$Q48,0)</f>
        <v>0</v>
      </c>
      <c r="N48" s="237">
        <f t="shared" si="29"/>
        <v>0</v>
      </c>
      <c r="O48" s="237">
        <f t="shared" si="29"/>
        <v>0</v>
      </c>
      <c r="P48" s="237">
        <f t="shared" ref="P48:P56" si="30">Q48-SUM(M48:O48)</f>
        <v>0</v>
      </c>
      <c r="Q48" s="237">
        <f t="shared" ref="Q48:Q56" si="31">ROUND($V$6*S48,0)</f>
        <v>0</v>
      </c>
      <c r="R48" s="238">
        <v>2</v>
      </c>
      <c r="S48" s="9">
        <f t="shared" ref="S48:S56" si="32">VLOOKUP(K48, rpacoreratio, 5, FALSE)*VLOOKUP(K48, rpacoreratio, 8, FALSE)</f>
        <v>0</v>
      </c>
      <c r="U48" s="1"/>
      <c r="V48" s="1"/>
      <c r="W48" s="1"/>
      <c r="X48" s="1"/>
      <c r="Y48" s="1"/>
      <c r="Z48" s="1"/>
      <c r="AA48" s="1"/>
      <c r="AB48" s="1"/>
      <c r="AC48" s="1"/>
      <c r="AD48" s="1"/>
      <c r="AE48" s="1"/>
      <c r="AF48" s="1"/>
      <c r="AG48" s="1"/>
      <c r="AH48" s="1"/>
      <c r="AI48" s="1"/>
      <c r="AJ48" s="1"/>
      <c r="AK48" s="1"/>
      <c r="AL48" s="1"/>
      <c r="AM48" s="1"/>
    </row>
    <row r="49" spans="1:39" s="2" customFormat="1" ht="21.95" customHeight="1" thickBot="1" x14ac:dyDescent="0.25">
      <c r="A49" s="266"/>
      <c r="B49" s="268"/>
      <c r="C49" s="268"/>
      <c r="D49" s="268"/>
      <c r="E49" s="268"/>
      <c r="F49" s="235">
        <v>10214</v>
      </c>
      <c r="G49" s="235" t="s">
        <v>132</v>
      </c>
      <c r="H49" s="235" t="s">
        <v>133</v>
      </c>
      <c r="I49" s="235" t="s">
        <v>48</v>
      </c>
      <c r="J49" s="236" t="s">
        <v>20</v>
      </c>
      <c r="K49" s="235">
        <v>71300</v>
      </c>
      <c r="L49" s="235" t="s">
        <v>20</v>
      </c>
      <c r="M49" s="237">
        <f t="shared" si="29"/>
        <v>0</v>
      </c>
      <c r="N49" s="237">
        <f t="shared" si="29"/>
        <v>104</v>
      </c>
      <c r="O49" s="237">
        <f t="shared" si="29"/>
        <v>101</v>
      </c>
      <c r="P49" s="237">
        <f t="shared" si="30"/>
        <v>101</v>
      </c>
      <c r="Q49" s="237">
        <f t="shared" si="31"/>
        <v>306</v>
      </c>
      <c r="R49" s="238">
        <v>3</v>
      </c>
      <c r="S49" s="9">
        <f t="shared" si="32"/>
        <v>6.1210093879457608E-3</v>
      </c>
      <c r="U49" s="1"/>
      <c r="V49" s="1"/>
      <c r="W49" s="1"/>
      <c r="X49" s="1"/>
      <c r="Y49" s="1"/>
      <c r="Z49" s="1"/>
      <c r="AA49" s="1"/>
      <c r="AB49" s="1"/>
      <c r="AC49" s="1"/>
      <c r="AD49" s="1"/>
      <c r="AE49" s="1"/>
      <c r="AF49" s="1"/>
      <c r="AG49" s="1"/>
      <c r="AH49" s="1"/>
      <c r="AI49" s="1"/>
      <c r="AJ49" s="1"/>
      <c r="AK49" s="1"/>
      <c r="AL49" s="1"/>
      <c r="AM49" s="1"/>
    </row>
    <row r="50" spans="1:39" s="2" customFormat="1" ht="21.95" customHeight="1" thickBot="1" x14ac:dyDescent="0.25">
      <c r="A50" s="266"/>
      <c r="B50" s="268"/>
      <c r="C50" s="268"/>
      <c r="D50" s="268"/>
      <c r="E50" s="268"/>
      <c r="F50" s="235">
        <v>10214</v>
      </c>
      <c r="G50" s="235" t="s">
        <v>132</v>
      </c>
      <c r="H50" s="235" t="s">
        <v>133</v>
      </c>
      <c r="I50" s="235" t="s">
        <v>48</v>
      </c>
      <c r="J50" s="236" t="s">
        <v>21</v>
      </c>
      <c r="K50" s="235">
        <v>71400</v>
      </c>
      <c r="L50" s="235" t="s">
        <v>22</v>
      </c>
      <c r="M50" s="237">
        <f t="shared" si="29"/>
        <v>0</v>
      </c>
      <c r="N50" s="237">
        <f t="shared" si="29"/>
        <v>1567</v>
      </c>
      <c r="O50" s="237">
        <f t="shared" si="29"/>
        <v>1521</v>
      </c>
      <c r="P50" s="237">
        <f t="shared" si="30"/>
        <v>1521</v>
      </c>
      <c r="Q50" s="237">
        <f t="shared" si="31"/>
        <v>4609</v>
      </c>
      <c r="R50" s="238">
        <v>5</v>
      </c>
      <c r="S50" s="9">
        <f t="shared" si="32"/>
        <v>9.2177594545789457E-2</v>
      </c>
      <c r="U50" s="1"/>
      <c r="V50" s="1"/>
      <c r="W50" s="1"/>
      <c r="X50" s="1"/>
      <c r="Y50" s="1"/>
      <c r="Z50" s="1"/>
      <c r="AA50" s="1"/>
      <c r="AB50" s="1"/>
      <c r="AC50" s="1"/>
      <c r="AD50" s="1"/>
      <c r="AE50" s="1"/>
      <c r="AF50" s="1"/>
      <c r="AG50" s="1"/>
      <c r="AH50" s="1"/>
      <c r="AI50" s="1"/>
      <c r="AJ50" s="1"/>
      <c r="AK50" s="1"/>
      <c r="AL50" s="1"/>
      <c r="AM50" s="1"/>
    </row>
    <row r="51" spans="1:39" s="2" customFormat="1" ht="21.95" customHeight="1" thickBot="1" x14ac:dyDescent="0.25">
      <c r="A51" s="266"/>
      <c r="B51" s="268"/>
      <c r="C51" s="268"/>
      <c r="D51" s="268"/>
      <c r="E51" s="268"/>
      <c r="F51" s="235">
        <v>10214</v>
      </c>
      <c r="G51" s="235" t="s">
        <v>132</v>
      </c>
      <c r="H51" s="235" t="s">
        <v>133</v>
      </c>
      <c r="I51" s="235" t="s">
        <v>48</v>
      </c>
      <c r="J51" s="236" t="s">
        <v>23</v>
      </c>
      <c r="K51" s="235">
        <v>71600</v>
      </c>
      <c r="L51" s="235" t="s">
        <v>23</v>
      </c>
      <c r="M51" s="237">
        <f t="shared" si="29"/>
        <v>0</v>
      </c>
      <c r="N51" s="237">
        <f t="shared" si="29"/>
        <v>301</v>
      </c>
      <c r="O51" s="237">
        <f t="shared" si="29"/>
        <v>292</v>
      </c>
      <c r="P51" s="237">
        <f t="shared" si="30"/>
        <v>291</v>
      </c>
      <c r="Q51" s="237">
        <f t="shared" si="31"/>
        <v>884</v>
      </c>
      <c r="R51" s="238">
        <v>7</v>
      </c>
      <c r="S51" s="9">
        <f t="shared" si="32"/>
        <v>1.768655089038422E-2</v>
      </c>
      <c r="U51" s="1"/>
      <c r="V51" s="1"/>
      <c r="W51" s="1"/>
      <c r="X51" s="1"/>
      <c r="Y51" s="1"/>
      <c r="Z51" s="1"/>
      <c r="AA51" s="1"/>
      <c r="AB51" s="1"/>
      <c r="AC51" s="1"/>
      <c r="AD51" s="1"/>
      <c r="AE51" s="1"/>
      <c r="AF51" s="1"/>
      <c r="AG51" s="1"/>
      <c r="AH51" s="1"/>
      <c r="AI51" s="1"/>
      <c r="AJ51" s="1"/>
      <c r="AK51" s="1"/>
      <c r="AL51" s="1"/>
      <c r="AM51" s="1"/>
    </row>
    <row r="52" spans="1:39" s="2" customFormat="1" ht="21.95" customHeight="1" thickBot="1" x14ac:dyDescent="0.25">
      <c r="A52" s="266"/>
      <c r="B52" s="268"/>
      <c r="C52" s="268"/>
      <c r="D52" s="268"/>
      <c r="E52" s="268"/>
      <c r="F52" s="235">
        <v>10214</v>
      </c>
      <c r="G52" s="235" t="s">
        <v>132</v>
      </c>
      <c r="H52" s="235" t="s">
        <v>133</v>
      </c>
      <c r="I52" s="235" t="s">
        <v>48</v>
      </c>
      <c r="J52" s="236" t="s">
        <v>24</v>
      </c>
      <c r="K52" s="235">
        <v>72500</v>
      </c>
      <c r="L52" s="235" t="s">
        <v>25</v>
      </c>
      <c r="M52" s="237">
        <f t="shared" si="29"/>
        <v>0</v>
      </c>
      <c r="N52" s="237">
        <f t="shared" si="29"/>
        <v>6</v>
      </c>
      <c r="O52" s="237">
        <f t="shared" si="29"/>
        <v>6</v>
      </c>
      <c r="P52" s="237">
        <f t="shared" si="30"/>
        <v>7</v>
      </c>
      <c r="Q52" s="237">
        <f t="shared" si="31"/>
        <v>19</v>
      </c>
      <c r="R52" s="238">
        <v>10</v>
      </c>
      <c r="S52" s="9">
        <f t="shared" si="32"/>
        <v>3.8649921662828888E-4</v>
      </c>
      <c r="U52" s="1"/>
      <c r="V52" s="1"/>
      <c r="W52" s="1"/>
      <c r="X52" s="1"/>
      <c r="Y52" s="1"/>
      <c r="Z52" s="1"/>
      <c r="AA52" s="1"/>
      <c r="AB52" s="1"/>
      <c r="AC52" s="1"/>
      <c r="AD52" s="1"/>
      <c r="AE52" s="1"/>
      <c r="AF52" s="1"/>
      <c r="AG52" s="1"/>
      <c r="AH52" s="1"/>
      <c r="AI52" s="1"/>
      <c r="AJ52" s="1"/>
      <c r="AK52" s="1"/>
      <c r="AL52" s="1"/>
      <c r="AM52" s="1"/>
    </row>
    <row r="53" spans="1:39" s="2" customFormat="1" ht="21.95" customHeight="1" thickBot="1" x14ac:dyDescent="0.25">
      <c r="A53" s="266"/>
      <c r="B53" s="268"/>
      <c r="C53" s="268"/>
      <c r="D53" s="268"/>
      <c r="E53" s="268"/>
      <c r="F53" s="235">
        <v>10214</v>
      </c>
      <c r="G53" s="235" t="s">
        <v>132</v>
      </c>
      <c r="H53" s="235" t="s">
        <v>133</v>
      </c>
      <c r="I53" s="235" t="s">
        <v>48</v>
      </c>
      <c r="J53" s="236" t="s">
        <v>23</v>
      </c>
      <c r="K53" s="235">
        <v>74500</v>
      </c>
      <c r="L53" s="235" t="s">
        <v>49</v>
      </c>
      <c r="M53" s="237">
        <f t="shared" si="29"/>
        <v>0</v>
      </c>
      <c r="N53" s="237">
        <f t="shared" si="29"/>
        <v>7</v>
      </c>
      <c r="O53" s="237">
        <f t="shared" si="29"/>
        <v>7</v>
      </c>
      <c r="P53" s="237">
        <f t="shared" si="30"/>
        <v>6</v>
      </c>
      <c r="Q53" s="237">
        <f t="shared" si="31"/>
        <v>20</v>
      </c>
      <c r="R53" s="238">
        <v>11</v>
      </c>
      <c r="S53" s="9">
        <f t="shared" si="32"/>
        <v>4.0236622493648098E-4</v>
      </c>
      <c r="U53" s="1"/>
      <c r="V53" s="1"/>
      <c r="W53" s="1"/>
      <c r="X53" s="1"/>
      <c r="Y53" s="1"/>
      <c r="Z53" s="1"/>
      <c r="AA53" s="1"/>
      <c r="AB53" s="1"/>
      <c r="AC53" s="1"/>
      <c r="AD53" s="1"/>
      <c r="AE53" s="1"/>
      <c r="AF53" s="1"/>
      <c r="AG53" s="1"/>
      <c r="AH53" s="1"/>
      <c r="AI53" s="1"/>
      <c r="AJ53" s="1"/>
      <c r="AK53" s="1"/>
      <c r="AL53" s="1"/>
      <c r="AM53" s="1"/>
    </row>
    <row r="54" spans="1:39" s="2" customFormat="1" ht="21.95" customHeight="1" thickBot="1" x14ac:dyDescent="0.25">
      <c r="A54" s="266"/>
      <c r="B54" s="268"/>
      <c r="C54" s="268"/>
      <c r="D54" s="268"/>
      <c r="E54" s="268"/>
      <c r="F54" s="235">
        <v>10214</v>
      </c>
      <c r="G54" s="235" t="s">
        <v>132</v>
      </c>
      <c r="H54" s="235" t="s">
        <v>133</v>
      </c>
      <c r="I54" s="235" t="s">
        <v>48</v>
      </c>
      <c r="J54" s="236" t="s">
        <v>26</v>
      </c>
      <c r="K54" s="235">
        <v>75700</v>
      </c>
      <c r="L54" s="235" t="s">
        <v>27</v>
      </c>
      <c r="M54" s="237">
        <f t="shared" si="29"/>
        <v>0</v>
      </c>
      <c r="N54" s="237">
        <f t="shared" si="29"/>
        <v>33</v>
      </c>
      <c r="O54" s="237">
        <f t="shared" si="29"/>
        <v>32</v>
      </c>
      <c r="P54" s="237">
        <f t="shared" si="30"/>
        <v>33</v>
      </c>
      <c r="Q54" s="237">
        <f t="shared" si="31"/>
        <v>98</v>
      </c>
      <c r="R54" s="238">
        <v>6</v>
      </c>
      <c r="S54" s="9">
        <f t="shared" si="32"/>
        <v>1.9564285065991694E-3</v>
      </c>
      <c r="U54" s="1"/>
      <c r="V54" s="1"/>
      <c r="W54" s="1"/>
      <c r="X54" s="1"/>
      <c r="Y54" s="1"/>
      <c r="Z54" s="1"/>
      <c r="AA54" s="1"/>
      <c r="AB54" s="1"/>
      <c r="AC54" s="1"/>
      <c r="AD54" s="1"/>
      <c r="AE54" s="1"/>
      <c r="AF54" s="1"/>
      <c r="AG54" s="1"/>
      <c r="AH54" s="1"/>
      <c r="AI54" s="1"/>
      <c r="AJ54" s="1"/>
      <c r="AK54" s="1"/>
      <c r="AL54" s="1"/>
      <c r="AM54" s="1"/>
    </row>
    <row r="55" spans="1:39" s="2" customFormat="1" ht="21.95" customHeight="1" thickBot="1" x14ac:dyDescent="0.25">
      <c r="A55" s="266"/>
      <c r="B55" s="268"/>
      <c r="C55" s="268"/>
      <c r="D55" s="268"/>
      <c r="E55" s="268"/>
      <c r="F55" s="235">
        <v>10214</v>
      </c>
      <c r="G55" s="235" t="s">
        <v>132</v>
      </c>
      <c r="H55" s="235" t="s">
        <v>133</v>
      </c>
      <c r="I55" s="235" t="s">
        <v>48</v>
      </c>
      <c r="J55" s="236" t="s">
        <v>28</v>
      </c>
      <c r="K55" s="235">
        <v>61200</v>
      </c>
      <c r="L55" s="235" t="s">
        <v>29</v>
      </c>
      <c r="M55" s="237">
        <f t="shared" si="29"/>
        <v>0</v>
      </c>
      <c r="N55" s="237">
        <f t="shared" si="29"/>
        <v>0</v>
      </c>
      <c r="O55" s="237">
        <f t="shared" si="29"/>
        <v>0</v>
      </c>
      <c r="P55" s="237">
        <f t="shared" si="30"/>
        <v>0</v>
      </c>
      <c r="Q55" s="237">
        <f t="shared" si="31"/>
        <v>0</v>
      </c>
      <c r="R55" s="238">
        <v>4</v>
      </c>
      <c r="S55" s="9">
        <f t="shared" si="32"/>
        <v>0</v>
      </c>
      <c r="U55" s="1"/>
      <c r="V55" s="1"/>
      <c r="W55" s="1"/>
      <c r="X55" s="1"/>
      <c r="Y55" s="1"/>
      <c r="Z55" s="1"/>
      <c r="AA55" s="1"/>
      <c r="AB55" s="1"/>
      <c r="AC55" s="1"/>
      <c r="AD55" s="1"/>
      <c r="AE55" s="1"/>
      <c r="AF55" s="1"/>
      <c r="AG55" s="1"/>
      <c r="AH55" s="1"/>
      <c r="AI55" s="1"/>
      <c r="AJ55" s="1"/>
      <c r="AK55" s="1"/>
      <c r="AL55" s="1"/>
      <c r="AM55" s="1"/>
    </row>
    <row r="56" spans="1:39" s="2" customFormat="1" ht="21.95" customHeight="1" thickBot="1" x14ac:dyDescent="0.25">
      <c r="A56" s="266"/>
      <c r="B56" s="268"/>
      <c r="C56" s="268"/>
      <c r="D56" s="268"/>
      <c r="E56" s="268"/>
      <c r="F56" s="235">
        <v>10214</v>
      </c>
      <c r="G56" s="235" t="s">
        <v>132</v>
      </c>
      <c r="H56" s="235" t="s">
        <v>133</v>
      </c>
      <c r="I56" s="235" t="s">
        <v>48</v>
      </c>
      <c r="J56" s="236" t="s">
        <v>28</v>
      </c>
      <c r="K56" s="235">
        <v>61300</v>
      </c>
      <c r="L56" s="235" t="s">
        <v>30</v>
      </c>
      <c r="M56" s="237">
        <f t="shared" si="29"/>
        <v>0</v>
      </c>
      <c r="N56" s="237">
        <f t="shared" si="29"/>
        <v>0</v>
      </c>
      <c r="O56" s="237">
        <f t="shared" si="29"/>
        <v>0</v>
      </c>
      <c r="P56" s="237">
        <f t="shared" si="30"/>
        <v>0</v>
      </c>
      <c r="Q56" s="237">
        <f t="shared" si="31"/>
        <v>0</v>
      </c>
      <c r="R56" s="238">
        <v>4</v>
      </c>
      <c r="S56" s="9">
        <f t="shared" si="32"/>
        <v>0</v>
      </c>
      <c r="U56" s="1"/>
      <c r="V56" s="1"/>
      <c r="W56" s="1"/>
      <c r="X56" s="1"/>
      <c r="Y56" s="1"/>
      <c r="Z56" s="1"/>
      <c r="AA56" s="1"/>
      <c r="AB56" s="1"/>
      <c r="AC56" s="1"/>
      <c r="AD56" s="1"/>
      <c r="AE56" s="1"/>
      <c r="AF56" s="1"/>
      <c r="AG56" s="1"/>
      <c r="AH56" s="1"/>
      <c r="AI56" s="1"/>
      <c r="AJ56" s="1"/>
      <c r="AK56" s="1"/>
      <c r="AL56" s="1"/>
      <c r="AM56" s="1"/>
    </row>
    <row r="57" spans="1:39" s="2" customFormat="1" ht="21.95" customHeight="1" thickBot="1" x14ac:dyDescent="0.25">
      <c r="A57" s="266"/>
      <c r="B57" s="268"/>
      <c r="C57" s="269" t="s">
        <v>31</v>
      </c>
      <c r="D57" s="269"/>
      <c r="E57" s="269"/>
      <c r="F57" s="269"/>
      <c r="G57" s="269"/>
      <c r="H57" s="269"/>
      <c r="I57" s="269"/>
      <c r="J57" s="269"/>
      <c r="K57" s="269"/>
      <c r="L57" s="269"/>
      <c r="M57" s="237">
        <f>SUM(M48:M56)</f>
        <v>0</v>
      </c>
      <c r="N57" s="237">
        <f t="shared" ref="N57:Q57" si="33">SUM(N48:N56)</f>
        <v>2018</v>
      </c>
      <c r="O57" s="237">
        <f t="shared" si="33"/>
        <v>1959</v>
      </c>
      <c r="P57" s="237">
        <f t="shared" si="33"/>
        <v>1959</v>
      </c>
      <c r="Q57" s="237">
        <f t="shared" si="33"/>
        <v>5936</v>
      </c>
      <c r="R57" s="238"/>
      <c r="S57" s="9"/>
      <c r="U57" s="1"/>
      <c r="V57" s="1"/>
      <c r="W57" s="1"/>
      <c r="X57" s="1"/>
      <c r="Y57" s="1"/>
      <c r="Z57" s="1"/>
      <c r="AA57" s="1"/>
      <c r="AB57" s="1"/>
      <c r="AC57" s="1"/>
      <c r="AD57" s="1"/>
      <c r="AE57" s="1"/>
      <c r="AF57" s="1"/>
      <c r="AG57" s="1"/>
      <c r="AH57" s="1"/>
      <c r="AI57" s="1"/>
      <c r="AJ57" s="1"/>
      <c r="AK57" s="1"/>
      <c r="AL57" s="1"/>
      <c r="AM57" s="1"/>
    </row>
    <row r="58" spans="1:39" s="2" customFormat="1" ht="21.95" customHeight="1" thickBot="1" x14ac:dyDescent="0.25">
      <c r="A58" s="266"/>
      <c r="B58" s="269" t="s">
        <v>50</v>
      </c>
      <c r="C58" s="269"/>
      <c r="D58" s="269"/>
      <c r="E58" s="269"/>
      <c r="F58" s="269"/>
      <c r="G58" s="269"/>
      <c r="H58" s="269"/>
      <c r="I58" s="269"/>
      <c r="J58" s="269"/>
      <c r="K58" s="269"/>
      <c r="L58" s="269"/>
      <c r="M58" s="237">
        <f>M57</f>
        <v>0</v>
      </c>
      <c r="N58" s="237">
        <f t="shared" ref="N58:Q58" si="34">N57</f>
        <v>2018</v>
      </c>
      <c r="O58" s="237">
        <f t="shared" si="34"/>
        <v>1959</v>
      </c>
      <c r="P58" s="237">
        <f t="shared" si="34"/>
        <v>1959</v>
      </c>
      <c r="Q58" s="237">
        <f t="shared" si="34"/>
        <v>5936</v>
      </c>
      <c r="R58" s="238"/>
      <c r="S58" s="9"/>
      <c r="U58" s="1"/>
      <c r="V58" s="1"/>
      <c r="W58" s="1"/>
      <c r="X58" s="1"/>
      <c r="Y58" s="1"/>
      <c r="Z58" s="1"/>
      <c r="AA58" s="1"/>
      <c r="AB58" s="1"/>
      <c r="AC58" s="1"/>
      <c r="AD58" s="1"/>
      <c r="AE58" s="1"/>
      <c r="AF58" s="1"/>
      <c r="AG58" s="1"/>
      <c r="AH58" s="1"/>
      <c r="AI58" s="1"/>
      <c r="AJ58" s="1"/>
      <c r="AK58" s="1"/>
      <c r="AL58" s="1"/>
      <c r="AM58" s="1"/>
    </row>
    <row r="59" spans="1:39" s="2" customFormat="1" ht="21.95" customHeight="1" thickBot="1" x14ac:dyDescent="0.25">
      <c r="A59" s="266"/>
      <c r="B59" s="265" t="s">
        <v>51</v>
      </c>
      <c r="C59" s="265" t="s">
        <v>17</v>
      </c>
      <c r="D59" s="265">
        <v>62000</v>
      </c>
      <c r="E59" s="265">
        <v>10003</v>
      </c>
      <c r="F59" s="235">
        <v>10214</v>
      </c>
      <c r="G59" s="235" t="s">
        <v>132</v>
      </c>
      <c r="H59" s="235" t="s">
        <v>133</v>
      </c>
      <c r="I59" s="235" t="s">
        <v>52</v>
      </c>
      <c r="J59" s="236" t="s">
        <v>19</v>
      </c>
      <c r="K59" s="235">
        <v>71200</v>
      </c>
      <c r="L59" s="235" t="s">
        <v>19</v>
      </c>
      <c r="M59" s="237">
        <f t="shared" ref="M59:O66" si="35">ROUND(M$2*$Q59,0)</f>
        <v>0</v>
      </c>
      <c r="N59" s="237">
        <f t="shared" si="35"/>
        <v>0</v>
      </c>
      <c r="O59" s="237">
        <f t="shared" si="35"/>
        <v>0</v>
      </c>
      <c r="P59" s="237">
        <f t="shared" ref="P59:P67" si="36">Q59-SUM(M59:O59)</f>
        <v>0</v>
      </c>
      <c r="Q59" s="237">
        <f t="shared" ref="Q59:Q67" si="37">ROUND($V$7*S59,0)</f>
        <v>0</v>
      </c>
      <c r="R59" s="238">
        <v>2</v>
      </c>
      <c r="S59" s="9">
        <f t="shared" ref="S59:S67" si="38">VLOOKUP(K59, rpastarratio, 5, FALSE)*VLOOKUP(K59, rpastarratio, 8, FALSE)</f>
        <v>0</v>
      </c>
      <c r="U59" s="1"/>
      <c r="V59" s="1"/>
      <c r="W59" s="1"/>
      <c r="X59" s="1"/>
      <c r="Y59" s="1"/>
      <c r="Z59" s="1"/>
      <c r="AA59" s="1"/>
      <c r="AB59" s="1"/>
      <c r="AC59" s="1"/>
      <c r="AD59" s="1"/>
      <c r="AE59" s="1"/>
      <c r="AF59" s="1"/>
      <c r="AG59" s="1"/>
      <c r="AH59" s="1"/>
      <c r="AI59" s="1"/>
      <c r="AJ59" s="1"/>
      <c r="AK59" s="1"/>
      <c r="AL59" s="1"/>
      <c r="AM59" s="1"/>
    </row>
    <row r="60" spans="1:39" s="2" customFormat="1" ht="21.95" customHeight="1" thickBot="1" x14ac:dyDescent="0.25">
      <c r="A60" s="266"/>
      <c r="B60" s="266"/>
      <c r="C60" s="266"/>
      <c r="D60" s="266"/>
      <c r="E60" s="266"/>
      <c r="F60" s="235">
        <v>10214</v>
      </c>
      <c r="G60" s="235" t="s">
        <v>132</v>
      </c>
      <c r="H60" s="235" t="s">
        <v>133</v>
      </c>
      <c r="I60" s="235" t="s">
        <v>52</v>
      </c>
      <c r="J60" s="236" t="s">
        <v>20</v>
      </c>
      <c r="K60" s="235">
        <v>71300</v>
      </c>
      <c r="L60" s="235" t="s">
        <v>20</v>
      </c>
      <c r="M60" s="237">
        <f t="shared" si="35"/>
        <v>0</v>
      </c>
      <c r="N60" s="237">
        <f t="shared" si="35"/>
        <v>2442</v>
      </c>
      <c r="O60" s="237">
        <f t="shared" si="35"/>
        <v>2370</v>
      </c>
      <c r="P60" s="237">
        <f t="shared" si="36"/>
        <v>2370</v>
      </c>
      <c r="Q60" s="237">
        <f t="shared" si="37"/>
        <v>7182</v>
      </c>
      <c r="R60" s="238">
        <v>3</v>
      </c>
      <c r="S60" s="9">
        <f t="shared" si="38"/>
        <v>6.1210093879457573E-3</v>
      </c>
      <c r="U60" s="1"/>
      <c r="V60" s="1"/>
      <c r="W60" s="1"/>
      <c r="X60" s="1"/>
      <c r="Y60" s="1"/>
      <c r="Z60" s="1"/>
      <c r="AA60" s="1"/>
      <c r="AB60" s="1"/>
      <c r="AC60" s="1"/>
      <c r="AD60" s="1"/>
      <c r="AE60" s="1"/>
      <c r="AF60" s="1"/>
      <c r="AG60" s="1"/>
      <c r="AH60" s="1"/>
      <c r="AI60" s="1"/>
      <c r="AJ60" s="1"/>
      <c r="AK60" s="1"/>
      <c r="AL60" s="1"/>
      <c r="AM60" s="1"/>
    </row>
    <row r="61" spans="1:39" s="2" customFormat="1" ht="21.95" customHeight="1" thickBot="1" x14ac:dyDescent="0.25">
      <c r="A61" s="266"/>
      <c r="B61" s="266"/>
      <c r="C61" s="266"/>
      <c r="D61" s="266"/>
      <c r="E61" s="266"/>
      <c r="F61" s="235">
        <v>10214</v>
      </c>
      <c r="G61" s="235" t="s">
        <v>132</v>
      </c>
      <c r="H61" s="235" t="s">
        <v>133</v>
      </c>
      <c r="I61" s="235" t="s">
        <v>52</v>
      </c>
      <c r="J61" s="236" t="s">
        <v>21</v>
      </c>
      <c r="K61" s="235">
        <v>71400</v>
      </c>
      <c r="L61" s="235" t="s">
        <v>22</v>
      </c>
      <c r="M61" s="237">
        <f t="shared" si="35"/>
        <v>0</v>
      </c>
      <c r="N61" s="237">
        <f t="shared" si="35"/>
        <v>36772</v>
      </c>
      <c r="O61" s="237">
        <f t="shared" si="35"/>
        <v>35691</v>
      </c>
      <c r="P61" s="237">
        <f t="shared" si="36"/>
        <v>35691</v>
      </c>
      <c r="Q61" s="237">
        <f t="shared" si="37"/>
        <v>108154</v>
      </c>
      <c r="R61" s="238">
        <v>5</v>
      </c>
      <c r="S61" s="9">
        <f t="shared" si="38"/>
        <v>9.2177594545789415E-2</v>
      </c>
      <c r="U61" s="1"/>
      <c r="V61" s="1"/>
      <c r="W61" s="1"/>
      <c r="X61" s="1"/>
      <c r="Y61" s="1"/>
      <c r="Z61" s="1"/>
      <c r="AA61" s="1"/>
      <c r="AB61" s="1"/>
      <c r="AC61" s="1"/>
      <c r="AD61" s="1"/>
      <c r="AE61" s="1"/>
      <c r="AF61" s="1"/>
      <c r="AG61" s="1"/>
      <c r="AH61" s="1"/>
      <c r="AI61" s="1"/>
      <c r="AJ61" s="1"/>
      <c r="AK61" s="1"/>
      <c r="AL61" s="1"/>
      <c r="AM61" s="1"/>
    </row>
    <row r="62" spans="1:39" s="2" customFormat="1" ht="21.95" customHeight="1" thickBot="1" x14ac:dyDescent="0.25">
      <c r="A62" s="266"/>
      <c r="B62" s="266"/>
      <c r="C62" s="266"/>
      <c r="D62" s="266"/>
      <c r="E62" s="266"/>
      <c r="F62" s="235">
        <v>10214</v>
      </c>
      <c r="G62" s="235" t="s">
        <v>132</v>
      </c>
      <c r="H62" s="235" t="s">
        <v>133</v>
      </c>
      <c r="I62" s="235" t="s">
        <v>52</v>
      </c>
      <c r="J62" s="236" t="s">
        <v>23</v>
      </c>
      <c r="K62" s="235">
        <v>71600</v>
      </c>
      <c r="L62" s="235" t="s">
        <v>23</v>
      </c>
      <c r="M62" s="237">
        <f t="shared" si="35"/>
        <v>0</v>
      </c>
      <c r="N62" s="237">
        <f t="shared" si="35"/>
        <v>7056</v>
      </c>
      <c r="O62" s="237">
        <f t="shared" si="35"/>
        <v>6848</v>
      </c>
      <c r="P62" s="237">
        <f t="shared" si="36"/>
        <v>6848</v>
      </c>
      <c r="Q62" s="237">
        <f t="shared" si="37"/>
        <v>20752</v>
      </c>
      <c r="R62" s="238">
        <v>7</v>
      </c>
      <c r="S62" s="9">
        <f t="shared" si="38"/>
        <v>1.768655089038421E-2</v>
      </c>
      <c r="U62" s="1"/>
      <c r="V62" s="1"/>
      <c r="W62" s="1"/>
      <c r="X62" s="1"/>
      <c r="Y62" s="1"/>
      <c r="Z62" s="1"/>
      <c r="AA62" s="1"/>
      <c r="AB62" s="1"/>
      <c r="AC62" s="1"/>
      <c r="AD62" s="1"/>
      <c r="AE62" s="1"/>
      <c r="AF62" s="1"/>
      <c r="AG62" s="1"/>
      <c r="AH62" s="1"/>
      <c r="AI62" s="1"/>
      <c r="AJ62" s="1"/>
      <c r="AK62" s="1"/>
      <c r="AL62" s="1"/>
      <c r="AM62" s="1"/>
    </row>
    <row r="63" spans="1:39" s="2" customFormat="1" ht="21.95" customHeight="1" thickBot="1" x14ac:dyDescent="0.25">
      <c r="A63" s="266"/>
      <c r="B63" s="266"/>
      <c r="C63" s="266"/>
      <c r="D63" s="266"/>
      <c r="E63" s="266"/>
      <c r="F63" s="235">
        <v>10214</v>
      </c>
      <c r="G63" s="235" t="s">
        <v>132</v>
      </c>
      <c r="H63" s="235" t="s">
        <v>133</v>
      </c>
      <c r="I63" s="235" t="s">
        <v>52</v>
      </c>
      <c r="J63" s="236" t="s">
        <v>24</v>
      </c>
      <c r="K63" s="235">
        <v>72500</v>
      </c>
      <c r="L63" s="235" t="s">
        <v>25</v>
      </c>
      <c r="M63" s="237">
        <f t="shared" si="35"/>
        <v>0</v>
      </c>
      <c r="N63" s="237">
        <f t="shared" si="35"/>
        <v>154</v>
      </c>
      <c r="O63" s="237">
        <f t="shared" si="35"/>
        <v>149</v>
      </c>
      <c r="P63" s="237">
        <f t="shared" si="36"/>
        <v>150</v>
      </c>
      <c r="Q63" s="237">
        <f t="shared" si="37"/>
        <v>453</v>
      </c>
      <c r="R63" s="238">
        <v>10</v>
      </c>
      <c r="S63" s="9">
        <f t="shared" si="38"/>
        <v>3.8649921662828871E-4</v>
      </c>
      <c r="U63" s="1"/>
      <c r="V63" s="1"/>
      <c r="W63" s="1"/>
      <c r="X63" s="1"/>
      <c r="Y63" s="1"/>
      <c r="Z63" s="1"/>
      <c r="AA63" s="1"/>
      <c r="AB63" s="1"/>
      <c r="AC63" s="1"/>
      <c r="AD63" s="1"/>
      <c r="AE63" s="1"/>
      <c r="AF63" s="1"/>
      <c r="AG63" s="1"/>
      <c r="AH63" s="1"/>
      <c r="AI63" s="1"/>
      <c r="AJ63" s="1"/>
      <c r="AK63" s="1"/>
      <c r="AL63" s="1"/>
      <c r="AM63" s="1"/>
    </row>
    <row r="64" spans="1:39" s="2" customFormat="1" ht="21.95" customHeight="1" thickBot="1" x14ac:dyDescent="0.25">
      <c r="A64" s="266"/>
      <c r="B64" s="266"/>
      <c r="C64" s="266"/>
      <c r="D64" s="266"/>
      <c r="E64" s="266"/>
      <c r="F64" s="235">
        <v>10214</v>
      </c>
      <c r="G64" s="235" t="s">
        <v>132</v>
      </c>
      <c r="H64" s="235" t="s">
        <v>133</v>
      </c>
      <c r="I64" s="235" t="s">
        <v>52</v>
      </c>
      <c r="J64" s="236" t="s">
        <v>23</v>
      </c>
      <c r="K64" s="235">
        <v>74500</v>
      </c>
      <c r="L64" s="235" t="s">
        <v>49</v>
      </c>
      <c r="M64" s="237">
        <f t="shared" si="35"/>
        <v>0</v>
      </c>
      <c r="N64" s="237">
        <f t="shared" si="35"/>
        <v>160</v>
      </c>
      <c r="O64" s="237">
        <f t="shared" si="35"/>
        <v>156</v>
      </c>
      <c r="P64" s="237">
        <f t="shared" si="36"/>
        <v>156</v>
      </c>
      <c r="Q64" s="237">
        <f t="shared" si="37"/>
        <v>472</v>
      </c>
      <c r="R64" s="238">
        <v>11</v>
      </c>
      <c r="S64" s="9">
        <f t="shared" si="38"/>
        <v>4.0236622493648077E-4</v>
      </c>
      <c r="U64" s="1"/>
      <c r="V64" s="1"/>
      <c r="W64" s="1"/>
      <c r="X64" s="1"/>
      <c r="Y64" s="1"/>
      <c r="Z64" s="1"/>
      <c r="AA64" s="1"/>
      <c r="AB64" s="1"/>
      <c r="AC64" s="1"/>
      <c r="AD64" s="1"/>
      <c r="AE64" s="1"/>
      <c r="AF64" s="1"/>
      <c r="AG64" s="1"/>
      <c r="AH64" s="1"/>
      <c r="AI64" s="1"/>
      <c r="AJ64" s="1"/>
      <c r="AK64" s="1"/>
      <c r="AL64" s="1"/>
      <c r="AM64" s="1"/>
    </row>
    <row r="65" spans="1:39" s="2" customFormat="1" ht="21.95" customHeight="1" thickBot="1" x14ac:dyDescent="0.25">
      <c r="A65" s="266"/>
      <c r="B65" s="266"/>
      <c r="C65" s="266"/>
      <c r="D65" s="266"/>
      <c r="E65" s="266"/>
      <c r="F65" s="235">
        <v>10214</v>
      </c>
      <c r="G65" s="235" t="s">
        <v>132</v>
      </c>
      <c r="H65" s="235" t="s">
        <v>133</v>
      </c>
      <c r="I65" s="235" t="s">
        <v>52</v>
      </c>
      <c r="J65" s="236" t="s">
        <v>26</v>
      </c>
      <c r="K65" s="235">
        <v>75700</v>
      </c>
      <c r="L65" s="235" t="s">
        <v>27</v>
      </c>
      <c r="M65" s="237">
        <f t="shared" si="35"/>
        <v>0</v>
      </c>
      <c r="N65" s="237">
        <f t="shared" si="35"/>
        <v>781</v>
      </c>
      <c r="O65" s="237">
        <f t="shared" si="35"/>
        <v>758</v>
      </c>
      <c r="P65" s="237">
        <f t="shared" si="36"/>
        <v>757</v>
      </c>
      <c r="Q65" s="237">
        <f t="shared" si="37"/>
        <v>2296</v>
      </c>
      <c r="R65" s="238">
        <v>6</v>
      </c>
      <c r="S65" s="9">
        <f t="shared" si="38"/>
        <v>1.9564285065991681E-3</v>
      </c>
      <c r="U65" s="1"/>
      <c r="V65" s="1"/>
      <c r="W65" s="1"/>
      <c r="X65" s="1"/>
      <c r="Y65" s="1"/>
      <c r="Z65" s="1"/>
      <c r="AA65" s="1"/>
      <c r="AB65" s="1"/>
      <c r="AC65" s="1"/>
      <c r="AD65" s="1"/>
      <c r="AE65" s="1"/>
      <c r="AF65" s="1"/>
      <c r="AG65" s="1"/>
      <c r="AH65" s="1"/>
      <c r="AI65" s="1"/>
      <c r="AJ65" s="1"/>
      <c r="AK65" s="1"/>
      <c r="AL65" s="1"/>
      <c r="AM65" s="1"/>
    </row>
    <row r="66" spans="1:39" s="2" customFormat="1" ht="21.95" customHeight="1" thickBot="1" x14ac:dyDescent="0.25">
      <c r="A66" s="266"/>
      <c r="B66" s="266"/>
      <c r="C66" s="266"/>
      <c r="D66" s="266"/>
      <c r="E66" s="266"/>
      <c r="F66" s="235">
        <v>10214</v>
      </c>
      <c r="G66" s="235" t="s">
        <v>132</v>
      </c>
      <c r="H66" s="235" t="s">
        <v>133</v>
      </c>
      <c r="I66" s="235" t="s">
        <v>52</v>
      </c>
      <c r="J66" s="236" t="s">
        <v>28</v>
      </c>
      <c r="K66" s="235">
        <v>61200</v>
      </c>
      <c r="L66" s="235" t="s">
        <v>29</v>
      </c>
      <c r="M66" s="237">
        <f t="shared" si="35"/>
        <v>0</v>
      </c>
      <c r="N66" s="237">
        <f t="shared" si="35"/>
        <v>0</v>
      </c>
      <c r="O66" s="237">
        <f t="shared" si="35"/>
        <v>0</v>
      </c>
      <c r="P66" s="237">
        <f t="shared" si="36"/>
        <v>0</v>
      </c>
      <c r="Q66" s="237">
        <f t="shared" si="37"/>
        <v>0</v>
      </c>
      <c r="R66" s="238">
        <v>4</v>
      </c>
      <c r="S66" s="9">
        <f t="shared" si="38"/>
        <v>0</v>
      </c>
      <c r="U66" s="1"/>
      <c r="V66" s="1"/>
      <c r="W66" s="1"/>
      <c r="X66" s="1"/>
      <c r="Y66" s="1"/>
      <c r="Z66" s="1"/>
      <c r="AA66" s="1"/>
      <c r="AB66" s="1"/>
      <c r="AC66" s="1"/>
      <c r="AD66" s="1"/>
      <c r="AE66" s="1"/>
      <c r="AF66" s="1"/>
      <c r="AG66" s="1"/>
      <c r="AH66" s="1"/>
      <c r="AI66" s="1"/>
      <c r="AJ66" s="1"/>
      <c r="AK66" s="1"/>
      <c r="AL66" s="1"/>
      <c r="AM66" s="1"/>
    </row>
    <row r="67" spans="1:39" s="2" customFormat="1" ht="21.95" customHeight="1" thickBot="1" x14ac:dyDescent="0.25">
      <c r="A67" s="266"/>
      <c r="B67" s="266"/>
      <c r="C67" s="267"/>
      <c r="D67" s="267"/>
      <c r="E67" s="267"/>
      <c r="F67" s="235">
        <v>10214</v>
      </c>
      <c r="G67" s="235" t="s">
        <v>132</v>
      </c>
      <c r="H67" s="235" t="s">
        <v>133</v>
      </c>
      <c r="I67" s="235" t="s">
        <v>52</v>
      </c>
      <c r="J67" s="236" t="s">
        <v>28</v>
      </c>
      <c r="K67" s="235">
        <v>61300</v>
      </c>
      <c r="L67" s="235" t="s">
        <v>30</v>
      </c>
      <c r="M67" s="237">
        <f t="shared" ref="M67:O67" si="39">M$2*$Q67</f>
        <v>0</v>
      </c>
      <c r="N67" s="237">
        <f t="shared" si="39"/>
        <v>0</v>
      </c>
      <c r="O67" s="237">
        <f t="shared" si="39"/>
        <v>0</v>
      </c>
      <c r="P67" s="237">
        <f t="shared" si="36"/>
        <v>0</v>
      </c>
      <c r="Q67" s="237">
        <f t="shared" si="37"/>
        <v>0</v>
      </c>
      <c r="R67" s="238">
        <v>4</v>
      </c>
      <c r="S67" s="9">
        <f t="shared" si="38"/>
        <v>0</v>
      </c>
      <c r="U67" s="1"/>
      <c r="V67" s="1"/>
      <c r="W67" s="1"/>
      <c r="X67" s="1"/>
      <c r="Y67" s="1"/>
      <c r="Z67" s="1"/>
      <c r="AA67" s="1"/>
      <c r="AB67" s="1"/>
      <c r="AC67" s="1"/>
      <c r="AD67" s="1"/>
      <c r="AE67" s="1"/>
      <c r="AF67" s="1"/>
      <c r="AG67" s="1"/>
      <c r="AH67" s="1"/>
      <c r="AI67" s="1"/>
      <c r="AJ67" s="1"/>
      <c r="AK67" s="1"/>
      <c r="AL67" s="1"/>
      <c r="AM67" s="1"/>
    </row>
    <row r="68" spans="1:39" s="2" customFormat="1" ht="21.95" customHeight="1" thickBot="1" x14ac:dyDescent="0.25">
      <c r="A68" s="266"/>
      <c r="B68" s="266"/>
      <c r="C68" s="270" t="s">
        <v>31</v>
      </c>
      <c r="D68" s="270"/>
      <c r="E68" s="270"/>
      <c r="F68" s="270"/>
      <c r="G68" s="270"/>
      <c r="H68" s="270"/>
      <c r="I68" s="270"/>
      <c r="J68" s="270"/>
      <c r="K68" s="270"/>
      <c r="L68" s="270"/>
      <c r="M68" s="237">
        <f>SUM(M59:M67)</f>
        <v>0</v>
      </c>
      <c r="N68" s="237">
        <f t="shared" ref="N68:Q68" si="40">SUM(N59:N67)</f>
        <v>47365</v>
      </c>
      <c r="O68" s="237">
        <f t="shared" si="40"/>
        <v>45972</v>
      </c>
      <c r="P68" s="237">
        <f t="shared" si="40"/>
        <v>45972</v>
      </c>
      <c r="Q68" s="237">
        <f t="shared" si="40"/>
        <v>139309</v>
      </c>
      <c r="R68" s="238"/>
      <c r="S68" s="9"/>
      <c r="U68" s="1"/>
      <c r="V68" s="1"/>
      <c r="W68" s="1"/>
      <c r="X68" s="1"/>
      <c r="Y68" s="1"/>
      <c r="Z68" s="1"/>
      <c r="AA68" s="1"/>
      <c r="AB68" s="1"/>
      <c r="AC68" s="1"/>
      <c r="AD68" s="1"/>
      <c r="AE68" s="1"/>
      <c r="AF68" s="1"/>
      <c r="AG68" s="1"/>
      <c r="AH68" s="1"/>
      <c r="AI68" s="1"/>
      <c r="AJ68" s="1"/>
      <c r="AK68" s="1"/>
      <c r="AL68" s="1"/>
      <c r="AM68" s="1"/>
    </row>
    <row r="69" spans="1:39" ht="21.95" customHeight="1" thickBot="1" x14ac:dyDescent="0.25">
      <c r="A69" s="267"/>
      <c r="B69" s="270" t="s">
        <v>53</v>
      </c>
      <c r="C69" s="270"/>
      <c r="D69" s="270"/>
      <c r="E69" s="270"/>
      <c r="F69" s="270"/>
      <c r="G69" s="270"/>
      <c r="H69" s="270"/>
      <c r="I69" s="270"/>
      <c r="J69" s="270"/>
      <c r="K69" s="270"/>
      <c r="L69" s="270"/>
      <c r="M69" s="237">
        <f>M68</f>
        <v>0</v>
      </c>
      <c r="N69" s="237">
        <f t="shared" ref="N69:Q69" si="41">N68</f>
        <v>47365</v>
      </c>
      <c r="O69" s="237">
        <f t="shared" si="41"/>
        <v>45972</v>
      </c>
      <c r="P69" s="237">
        <f t="shared" si="41"/>
        <v>45972</v>
      </c>
      <c r="Q69" s="237">
        <f t="shared" si="41"/>
        <v>139309</v>
      </c>
      <c r="R69" s="238"/>
      <c r="T69" s="10"/>
      <c r="AC69" s="11"/>
      <c r="AF69" s="12"/>
      <c r="AG69" s="13"/>
    </row>
    <row r="70" spans="1:39" ht="21.95" customHeight="1" thickBot="1" x14ac:dyDescent="0.25">
      <c r="A70" s="271" t="s">
        <v>54</v>
      </c>
      <c r="B70" s="272"/>
      <c r="C70" s="272"/>
      <c r="D70" s="272"/>
      <c r="E70" s="272"/>
      <c r="F70" s="272"/>
      <c r="G70" s="272"/>
      <c r="H70" s="272"/>
      <c r="I70" s="272"/>
      <c r="J70" s="272"/>
      <c r="K70" s="272"/>
      <c r="L70" s="273"/>
      <c r="M70" s="237">
        <f t="shared" ref="M70:Q70" si="42">M58+M69</f>
        <v>0</v>
      </c>
      <c r="N70" s="237">
        <f t="shared" si="42"/>
        <v>49383</v>
      </c>
      <c r="O70" s="237">
        <f t="shared" si="42"/>
        <v>47931</v>
      </c>
      <c r="P70" s="237">
        <f t="shared" si="42"/>
        <v>47931</v>
      </c>
      <c r="Q70" s="237">
        <f t="shared" si="42"/>
        <v>145245</v>
      </c>
      <c r="R70" s="238"/>
      <c r="U70" s="14"/>
      <c r="AC70" s="15"/>
      <c r="AM70" s="16"/>
    </row>
    <row r="71" spans="1:39" ht="21.95" customHeight="1" thickBot="1" x14ac:dyDescent="0.25">
      <c r="A71" s="265" t="s">
        <v>55</v>
      </c>
      <c r="B71" s="268" t="s">
        <v>56</v>
      </c>
      <c r="C71" s="268" t="s">
        <v>17</v>
      </c>
      <c r="D71" s="268">
        <v>62000</v>
      </c>
      <c r="E71" s="268">
        <v>10003</v>
      </c>
      <c r="F71" s="235">
        <v>10214</v>
      </c>
      <c r="G71" s="235" t="s">
        <v>132</v>
      </c>
      <c r="H71" s="235" t="s">
        <v>133</v>
      </c>
      <c r="I71" s="235" t="s">
        <v>57</v>
      </c>
      <c r="J71" s="236" t="s">
        <v>19</v>
      </c>
      <c r="K71" s="235">
        <v>71200</v>
      </c>
      <c r="L71" s="235" t="s">
        <v>19</v>
      </c>
      <c r="M71" s="237">
        <f t="shared" ref="M71:O79" si="43">ROUND(M$2*$Q71,0)</f>
        <v>0</v>
      </c>
      <c r="N71" s="237">
        <f t="shared" si="43"/>
        <v>0</v>
      </c>
      <c r="O71" s="237">
        <f t="shared" si="43"/>
        <v>0</v>
      </c>
      <c r="P71" s="237">
        <f t="shared" ref="P71:P79" si="44">Q71-SUM(M71:O71)</f>
        <v>0</v>
      </c>
      <c r="Q71" s="237">
        <f t="shared" ref="Q71:Q79" si="45">ROUND($V$6*S71,0)</f>
        <v>0</v>
      </c>
      <c r="R71" s="238">
        <v>2</v>
      </c>
      <c r="S71" s="9">
        <f t="shared" ref="S71:S79" si="46">VLOOKUP(K71, rpacoreratio, 6, FALSE)*VLOOKUP(K71, rpacoreratio, 8, FALSE)</f>
        <v>0</v>
      </c>
    </row>
    <row r="72" spans="1:39" ht="21.95" customHeight="1" thickBot="1" x14ac:dyDescent="0.25">
      <c r="A72" s="266"/>
      <c r="B72" s="268"/>
      <c r="C72" s="268"/>
      <c r="D72" s="268"/>
      <c r="E72" s="268"/>
      <c r="F72" s="235">
        <v>10214</v>
      </c>
      <c r="G72" s="235" t="s">
        <v>132</v>
      </c>
      <c r="H72" s="235" t="s">
        <v>133</v>
      </c>
      <c r="I72" s="235" t="s">
        <v>57</v>
      </c>
      <c r="J72" s="236" t="s">
        <v>20</v>
      </c>
      <c r="K72" s="235">
        <v>71300</v>
      </c>
      <c r="L72" s="235" t="s">
        <v>20</v>
      </c>
      <c r="M72" s="237">
        <f t="shared" si="43"/>
        <v>0</v>
      </c>
      <c r="N72" s="237">
        <f t="shared" si="43"/>
        <v>188</v>
      </c>
      <c r="O72" s="237">
        <f t="shared" si="43"/>
        <v>183</v>
      </c>
      <c r="P72" s="237">
        <f t="shared" si="44"/>
        <v>183</v>
      </c>
      <c r="Q72" s="237">
        <f t="shared" si="45"/>
        <v>554</v>
      </c>
      <c r="R72" s="238">
        <v>3</v>
      </c>
      <c r="S72" s="9">
        <f t="shared" si="46"/>
        <v>1.1084820146212829E-2</v>
      </c>
    </row>
    <row r="73" spans="1:39" ht="21.95" customHeight="1" thickBot="1" x14ac:dyDescent="0.25">
      <c r="A73" s="266"/>
      <c r="B73" s="268"/>
      <c r="C73" s="268"/>
      <c r="D73" s="268"/>
      <c r="E73" s="268"/>
      <c r="F73" s="235">
        <v>10214</v>
      </c>
      <c r="G73" s="235" t="s">
        <v>132</v>
      </c>
      <c r="H73" s="235" t="s">
        <v>133</v>
      </c>
      <c r="I73" s="235" t="s">
        <v>57</v>
      </c>
      <c r="J73" s="236" t="s">
        <v>21</v>
      </c>
      <c r="K73" s="235">
        <v>71400</v>
      </c>
      <c r="L73" s="235" t="s">
        <v>22</v>
      </c>
      <c r="M73" s="237">
        <f t="shared" si="43"/>
        <v>0</v>
      </c>
      <c r="N73" s="237">
        <f t="shared" si="43"/>
        <v>532</v>
      </c>
      <c r="O73" s="237">
        <f t="shared" si="43"/>
        <v>516</v>
      </c>
      <c r="P73" s="237">
        <f t="shared" si="44"/>
        <v>516</v>
      </c>
      <c r="Q73" s="237">
        <f t="shared" si="45"/>
        <v>1564</v>
      </c>
      <c r="R73" s="238">
        <v>5</v>
      </c>
      <c r="S73" s="9">
        <f t="shared" si="46"/>
        <v>3.1270142178718506E-2</v>
      </c>
    </row>
    <row r="74" spans="1:39" ht="21.95" customHeight="1" thickBot="1" x14ac:dyDescent="0.25">
      <c r="A74" s="266"/>
      <c r="B74" s="268"/>
      <c r="C74" s="268"/>
      <c r="D74" s="268"/>
      <c r="E74" s="268"/>
      <c r="F74" s="235">
        <v>10214</v>
      </c>
      <c r="G74" s="235" t="s">
        <v>132</v>
      </c>
      <c r="H74" s="235" t="s">
        <v>133</v>
      </c>
      <c r="I74" s="235" t="s">
        <v>57</v>
      </c>
      <c r="J74" s="236" t="s">
        <v>23</v>
      </c>
      <c r="K74" s="235">
        <v>71600</v>
      </c>
      <c r="L74" s="235" t="s">
        <v>23</v>
      </c>
      <c r="M74" s="237">
        <f t="shared" si="43"/>
        <v>0</v>
      </c>
      <c r="N74" s="237">
        <f t="shared" si="43"/>
        <v>699</v>
      </c>
      <c r="O74" s="237">
        <f t="shared" si="43"/>
        <v>679</v>
      </c>
      <c r="P74" s="237">
        <f t="shared" si="44"/>
        <v>679</v>
      </c>
      <c r="Q74" s="237">
        <f t="shared" si="45"/>
        <v>2057</v>
      </c>
      <c r="R74" s="238">
        <v>7</v>
      </c>
      <c r="S74" s="9">
        <f t="shared" si="46"/>
        <v>4.1134974061424981E-2</v>
      </c>
    </row>
    <row r="75" spans="1:39" ht="21.95" customHeight="1" thickBot="1" x14ac:dyDescent="0.25">
      <c r="A75" s="266"/>
      <c r="B75" s="268"/>
      <c r="C75" s="268"/>
      <c r="D75" s="268"/>
      <c r="E75" s="268"/>
      <c r="F75" s="235">
        <v>10214</v>
      </c>
      <c r="G75" s="235" t="s">
        <v>132</v>
      </c>
      <c r="H75" s="235" t="s">
        <v>133</v>
      </c>
      <c r="I75" s="235" t="s">
        <v>57</v>
      </c>
      <c r="J75" s="236" t="s">
        <v>58</v>
      </c>
      <c r="K75" s="235">
        <v>72100</v>
      </c>
      <c r="L75" s="235" t="s">
        <v>59</v>
      </c>
      <c r="M75" s="237">
        <f t="shared" si="43"/>
        <v>0</v>
      </c>
      <c r="N75" s="237">
        <f t="shared" si="43"/>
        <v>0</v>
      </c>
      <c r="O75" s="237">
        <f t="shared" si="43"/>
        <v>0</v>
      </c>
      <c r="P75" s="237">
        <f t="shared" si="44"/>
        <v>0</v>
      </c>
      <c r="Q75" s="237">
        <f t="shared" si="45"/>
        <v>0</v>
      </c>
      <c r="R75" s="238">
        <v>12</v>
      </c>
      <c r="S75" s="9">
        <f t="shared" si="46"/>
        <v>0</v>
      </c>
    </row>
    <row r="76" spans="1:39" ht="21.95" customHeight="1" thickBot="1" x14ac:dyDescent="0.25">
      <c r="A76" s="266"/>
      <c r="B76" s="268"/>
      <c r="C76" s="268"/>
      <c r="D76" s="268"/>
      <c r="E76" s="268"/>
      <c r="F76" s="235">
        <v>10214</v>
      </c>
      <c r="G76" s="235" t="s">
        <v>132</v>
      </c>
      <c r="H76" s="235" t="s">
        <v>133</v>
      </c>
      <c r="I76" s="235" t="s">
        <v>57</v>
      </c>
      <c r="J76" s="236" t="s">
        <v>24</v>
      </c>
      <c r="K76" s="235">
        <v>72500</v>
      </c>
      <c r="L76" s="235" t="s">
        <v>25</v>
      </c>
      <c r="M76" s="237">
        <f t="shared" si="43"/>
        <v>0</v>
      </c>
      <c r="N76" s="237">
        <f t="shared" si="43"/>
        <v>60</v>
      </c>
      <c r="O76" s="237">
        <f t="shared" si="43"/>
        <v>58</v>
      </c>
      <c r="P76" s="237">
        <f t="shared" si="44"/>
        <v>57</v>
      </c>
      <c r="Q76" s="237">
        <f t="shared" si="45"/>
        <v>175</v>
      </c>
      <c r="R76" s="238">
        <v>10</v>
      </c>
      <c r="S76" s="9">
        <f t="shared" si="46"/>
        <v>3.4996363977802436E-3</v>
      </c>
    </row>
    <row r="77" spans="1:39" ht="21.95" customHeight="1" thickBot="1" x14ac:dyDescent="0.25">
      <c r="A77" s="266"/>
      <c r="B77" s="268"/>
      <c r="C77" s="268"/>
      <c r="D77" s="268"/>
      <c r="E77" s="268"/>
      <c r="F77" s="235">
        <v>10214</v>
      </c>
      <c r="G77" s="235" t="s">
        <v>132</v>
      </c>
      <c r="H77" s="235" t="s">
        <v>133</v>
      </c>
      <c r="I77" s="235" t="s">
        <v>57</v>
      </c>
      <c r="J77" s="236" t="s">
        <v>23</v>
      </c>
      <c r="K77" s="235">
        <v>74500</v>
      </c>
      <c r="L77" s="235" t="s">
        <v>49</v>
      </c>
      <c r="M77" s="237">
        <f t="shared" si="43"/>
        <v>0</v>
      </c>
      <c r="N77" s="237">
        <f t="shared" si="43"/>
        <v>392</v>
      </c>
      <c r="O77" s="237">
        <f t="shared" si="43"/>
        <v>381</v>
      </c>
      <c r="P77" s="237">
        <f t="shared" si="44"/>
        <v>381</v>
      </c>
      <c r="Q77" s="237">
        <f t="shared" si="45"/>
        <v>1154</v>
      </c>
      <c r="R77" s="238">
        <v>11</v>
      </c>
      <c r="S77" s="9">
        <f t="shared" si="46"/>
        <v>2.3087514687527108E-2</v>
      </c>
    </row>
    <row r="78" spans="1:39" ht="21.95" customHeight="1" thickBot="1" x14ac:dyDescent="0.25">
      <c r="A78" s="266"/>
      <c r="B78" s="268"/>
      <c r="C78" s="268"/>
      <c r="D78" s="268"/>
      <c r="E78" s="268"/>
      <c r="F78" s="235">
        <v>10214</v>
      </c>
      <c r="G78" s="235" t="s">
        <v>132</v>
      </c>
      <c r="H78" s="235" t="s">
        <v>133</v>
      </c>
      <c r="I78" s="235" t="s">
        <v>57</v>
      </c>
      <c r="J78" s="236" t="s">
        <v>26</v>
      </c>
      <c r="K78" s="235">
        <v>75700</v>
      </c>
      <c r="L78" s="235" t="s">
        <v>27</v>
      </c>
      <c r="M78" s="237">
        <f t="shared" si="43"/>
        <v>0</v>
      </c>
      <c r="N78" s="237">
        <f t="shared" si="43"/>
        <v>308</v>
      </c>
      <c r="O78" s="237">
        <f t="shared" si="43"/>
        <v>299</v>
      </c>
      <c r="P78" s="237">
        <f t="shared" si="44"/>
        <v>298</v>
      </c>
      <c r="Q78" s="237">
        <f t="shared" si="45"/>
        <v>905</v>
      </c>
      <c r="R78" s="238">
        <v>6</v>
      </c>
      <c r="S78" s="9">
        <f t="shared" si="46"/>
        <v>1.810037452749574E-2</v>
      </c>
    </row>
    <row r="79" spans="1:39" ht="21.95" customHeight="1" thickBot="1" x14ac:dyDescent="0.25">
      <c r="A79" s="266"/>
      <c r="B79" s="268"/>
      <c r="C79" s="268"/>
      <c r="D79" s="268"/>
      <c r="E79" s="268"/>
      <c r="F79" s="235">
        <v>10214</v>
      </c>
      <c r="G79" s="235" t="s">
        <v>132</v>
      </c>
      <c r="H79" s="235" t="s">
        <v>133</v>
      </c>
      <c r="I79" s="235" t="s">
        <v>57</v>
      </c>
      <c r="J79" s="236" t="s">
        <v>28</v>
      </c>
      <c r="K79" s="235">
        <v>61300</v>
      </c>
      <c r="L79" s="235" t="s">
        <v>30</v>
      </c>
      <c r="M79" s="237">
        <f t="shared" si="43"/>
        <v>0</v>
      </c>
      <c r="N79" s="237">
        <f t="shared" si="43"/>
        <v>0</v>
      </c>
      <c r="O79" s="237">
        <f t="shared" si="43"/>
        <v>0</v>
      </c>
      <c r="P79" s="237">
        <f t="shared" si="44"/>
        <v>0</v>
      </c>
      <c r="Q79" s="237">
        <f t="shared" si="45"/>
        <v>0</v>
      </c>
      <c r="R79" s="238">
        <v>4</v>
      </c>
      <c r="S79" s="9">
        <f t="shared" si="46"/>
        <v>0</v>
      </c>
    </row>
    <row r="80" spans="1:39" ht="21.95" customHeight="1" thickBot="1" x14ac:dyDescent="0.25">
      <c r="A80" s="266"/>
      <c r="B80" s="268"/>
      <c r="C80" s="269" t="s">
        <v>31</v>
      </c>
      <c r="D80" s="269"/>
      <c r="E80" s="269"/>
      <c r="F80" s="269"/>
      <c r="G80" s="269"/>
      <c r="H80" s="269"/>
      <c r="I80" s="269"/>
      <c r="J80" s="269"/>
      <c r="K80" s="269"/>
      <c r="L80" s="269"/>
      <c r="M80" s="237">
        <f>SUM(M71:M79)</f>
        <v>0</v>
      </c>
      <c r="N80" s="237">
        <f t="shared" ref="N80:Q80" si="47">SUM(N71:N79)</f>
        <v>2179</v>
      </c>
      <c r="O80" s="237">
        <f t="shared" si="47"/>
        <v>2116</v>
      </c>
      <c r="P80" s="237">
        <f t="shared" si="47"/>
        <v>2114</v>
      </c>
      <c r="Q80" s="237">
        <f t="shared" si="47"/>
        <v>6409</v>
      </c>
      <c r="R80" s="238"/>
      <c r="S80" s="9"/>
    </row>
    <row r="81" spans="1:39" ht="21.95" customHeight="1" thickBot="1" x14ac:dyDescent="0.25">
      <c r="A81" s="266"/>
      <c r="B81" s="269" t="s">
        <v>60</v>
      </c>
      <c r="C81" s="269"/>
      <c r="D81" s="269"/>
      <c r="E81" s="269"/>
      <c r="F81" s="269"/>
      <c r="G81" s="269"/>
      <c r="H81" s="269"/>
      <c r="I81" s="269"/>
      <c r="J81" s="269"/>
      <c r="K81" s="269"/>
      <c r="L81" s="269"/>
      <c r="M81" s="237">
        <f>M80</f>
        <v>0</v>
      </c>
      <c r="N81" s="237">
        <f t="shared" ref="N81:Q81" si="48">N80</f>
        <v>2179</v>
      </c>
      <c r="O81" s="237">
        <f t="shared" si="48"/>
        <v>2116</v>
      </c>
      <c r="P81" s="237">
        <f t="shared" si="48"/>
        <v>2114</v>
      </c>
      <c r="Q81" s="237">
        <f t="shared" si="48"/>
        <v>6409</v>
      </c>
      <c r="R81" s="238"/>
      <c r="S81" s="9"/>
    </row>
    <row r="82" spans="1:39" ht="21.95" customHeight="1" thickBot="1" x14ac:dyDescent="0.25">
      <c r="A82" s="266"/>
      <c r="B82" s="268" t="s">
        <v>61</v>
      </c>
      <c r="C82" s="265" t="s">
        <v>17</v>
      </c>
      <c r="D82" s="265">
        <v>62000</v>
      </c>
      <c r="E82" s="265">
        <v>10003</v>
      </c>
      <c r="F82" s="235">
        <v>10214</v>
      </c>
      <c r="G82" s="235" t="s">
        <v>132</v>
      </c>
      <c r="H82" s="235" t="s">
        <v>133</v>
      </c>
      <c r="I82" s="235" t="s">
        <v>62</v>
      </c>
      <c r="J82" s="236" t="s">
        <v>19</v>
      </c>
      <c r="K82" s="235">
        <v>71200</v>
      </c>
      <c r="L82" s="235" t="s">
        <v>19</v>
      </c>
      <c r="M82" s="237">
        <f t="shared" ref="M82:O90" si="49">ROUND(M$2*$Q82,0)</f>
        <v>0</v>
      </c>
      <c r="N82" s="237">
        <f t="shared" si="49"/>
        <v>0</v>
      </c>
      <c r="O82" s="237">
        <f t="shared" si="49"/>
        <v>0</v>
      </c>
      <c r="P82" s="237">
        <f t="shared" ref="P82:P90" si="50">Q82-SUM(M82:O82)</f>
        <v>0</v>
      </c>
      <c r="Q82" s="237">
        <f t="shared" ref="Q82:Q90" si="51">ROUND($V$7*S82,0)</f>
        <v>0</v>
      </c>
      <c r="R82" s="238">
        <v>2</v>
      </c>
      <c r="S82" s="9">
        <f t="shared" ref="S82:S90" si="52">VLOOKUP(K82, rpastarratio, 6, FALSE)*VLOOKUP(K82, rpastarratio, 8, FALSE)</f>
        <v>0</v>
      </c>
    </row>
    <row r="83" spans="1:39" ht="21.95" customHeight="1" thickBot="1" x14ac:dyDescent="0.25">
      <c r="A83" s="266"/>
      <c r="B83" s="268"/>
      <c r="C83" s="266"/>
      <c r="D83" s="266"/>
      <c r="E83" s="266"/>
      <c r="F83" s="235">
        <v>10214</v>
      </c>
      <c r="G83" s="235" t="s">
        <v>132</v>
      </c>
      <c r="H83" s="235" t="s">
        <v>133</v>
      </c>
      <c r="I83" s="235" t="s">
        <v>62</v>
      </c>
      <c r="J83" s="236" t="s">
        <v>20</v>
      </c>
      <c r="K83" s="235">
        <v>71300</v>
      </c>
      <c r="L83" s="235" t="s">
        <v>20</v>
      </c>
      <c r="M83" s="237">
        <f t="shared" si="49"/>
        <v>0</v>
      </c>
      <c r="N83" s="237">
        <f t="shared" si="49"/>
        <v>4422</v>
      </c>
      <c r="O83" s="237">
        <f t="shared" si="49"/>
        <v>4292</v>
      </c>
      <c r="P83" s="237">
        <f t="shared" si="50"/>
        <v>4292</v>
      </c>
      <c r="Q83" s="237">
        <f t="shared" si="51"/>
        <v>13006</v>
      </c>
      <c r="R83" s="238">
        <v>3</v>
      </c>
      <c r="S83" s="9">
        <f t="shared" si="52"/>
        <v>1.1084820146212824E-2</v>
      </c>
    </row>
    <row r="84" spans="1:39" ht="21.95" customHeight="1" thickBot="1" x14ac:dyDescent="0.25">
      <c r="A84" s="266"/>
      <c r="B84" s="268"/>
      <c r="C84" s="266"/>
      <c r="D84" s="266"/>
      <c r="E84" s="266"/>
      <c r="F84" s="235">
        <v>10214</v>
      </c>
      <c r="G84" s="235" t="s">
        <v>132</v>
      </c>
      <c r="H84" s="235" t="s">
        <v>133</v>
      </c>
      <c r="I84" s="235" t="s">
        <v>62</v>
      </c>
      <c r="J84" s="236" t="s">
        <v>21</v>
      </c>
      <c r="K84" s="235">
        <v>71400</v>
      </c>
      <c r="L84" s="235" t="s">
        <v>22</v>
      </c>
      <c r="M84" s="237">
        <f t="shared" si="49"/>
        <v>0</v>
      </c>
      <c r="N84" s="237">
        <f t="shared" si="49"/>
        <v>12475</v>
      </c>
      <c r="O84" s="237">
        <f t="shared" si="49"/>
        <v>12108</v>
      </c>
      <c r="P84" s="237">
        <f t="shared" si="50"/>
        <v>12107</v>
      </c>
      <c r="Q84" s="237">
        <f t="shared" si="51"/>
        <v>36690</v>
      </c>
      <c r="R84" s="238">
        <v>5</v>
      </c>
      <c r="S84" s="9">
        <f t="shared" si="52"/>
        <v>3.1270142178718492E-2</v>
      </c>
    </row>
    <row r="85" spans="1:39" ht="21.95" customHeight="1" thickBot="1" x14ac:dyDescent="0.25">
      <c r="A85" s="266"/>
      <c r="B85" s="268"/>
      <c r="C85" s="266"/>
      <c r="D85" s="266"/>
      <c r="E85" s="266"/>
      <c r="F85" s="235">
        <v>10214</v>
      </c>
      <c r="G85" s="235" t="s">
        <v>132</v>
      </c>
      <c r="H85" s="235" t="s">
        <v>133</v>
      </c>
      <c r="I85" s="235" t="s">
        <v>62</v>
      </c>
      <c r="J85" s="236" t="s">
        <v>23</v>
      </c>
      <c r="K85" s="235">
        <v>71600</v>
      </c>
      <c r="L85" s="235" t="s">
        <v>23</v>
      </c>
      <c r="M85" s="237">
        <f t="shared" si="49"/>
        <v>0</v>
      </c>
      <c r="N85" s="237">
        <f t="shared" si="49"/>
        <v>16410</v>
      </c>
      <c r="O85" s="237">
        <f t="shared" si="49"/>
        <v>15927</v>
      </c>
      <c r="P85" s="237">
        <f t="shared" si="50"/>
        <v>15927</v>
      </c>
      <c r="Q85" s="237">
        <f t="shared" si="51"/>
        <v>48264</v>
      </c>
      <c r="R85" s="238">
        <v>7</v>
      </c>
      <c r="S85" s="9">
        <f t="shared" si="52"/>
        <v>4.1134974061424953E-2</v>
      </c>
    </row>
    <row r="86" spans="1:39" ht="21.95" customHeight="1" thickBot="1" x14ac:dyDescent="0.25">
      <c r="A86" s="266"/>
      <c r="B86" s="268"/>
      <c r="C86" s="266"/>
      <c r="D86" s="266"/>
      <c r="E86" s="266"/>
      <c r="F86" s="235">
        <v>10214</v>
      </c>
      <c r="G86" s="235" t="s">
        <v>132</v>
      </c>
      <c r="H86" s="235" t="s">
        <v>133</v>
      </c>
      <c r="I86" s="235" t="s">
        <v>62</v>
      </c>
      <c r="J86" s="236" t="s">
        <v>58</v>
      </c>
      <c r="K86" s="235">
        <v>72100</v>
      </c>
      <c r="L86" s="235" t="s">
        <v>59</v>
      </c>
      <c r="M86" s="237">
        <f t="shared" si="49"/>
        <v>0</v>
      </c>
      <c r="N86" s="237">
        <f t="shared" si="49"/>
        <v>0</v>
      </c>
      <c r="O86" s="237">
        <f t="shared" si="49"/>
        <v>0</v>
      </c>
      <c r="P86" s="237">
        <f t="shared" si="50"/>
        <v>0</v>
      </c>
      <c r="Q86" s="237">
        <f t="shared" si="51"/>
        <v>0</v>
      </c>
      <c r="R86" s="238">
        <v>12</v>
      </c>
      <c r="S86" s="9">
        <f t="shared" si="52"/>
        <v>0</v>
      </c>
    </row>
    <row r="87" spans="1:39" ht="21.95" customHeight="1" thickBot="1" x14ac:dyDescent="0.25">
      <c r="A87" s="266"/>
      <c r="B87" s="268"/>
      <c r="C87" s="266"/>
      <c r="D87" s="266"/>
      <c r="E87" s="266"/>
      <c r="F87" s="235">
        <v>10214</v>
      </c>
      <c r="G87" s="235" t="s">
        <v>132</v>
      </c>
      <c r="H87" s="235" t="s">
        <v>133</v>
      </c>
      <c r="I87" s="235" t="s">
        <v>62</v>
      </c>
      <c r="J87" s="236" t="s">
        <v>24</v>
      </c>
      <c r="K87" s="235">
        <v>72500</v>
      </c>
      <c r="L87" s="235" t="s">
        <v>25</v>
      </c>
      <c r="M87" s="237">
        <f t="shared" si="49"/>
        <v>0</v>
      </c>
      <c r="N87" s="237">
        <f t="shared" si="49"/>
        <v>1396</v>
      </c>
      <c r="O87" s="237">
        <f t="shared" si="49"/>
        <v>1355</v>
      </c>
      <c r="P87" s="237">
        <f t="shared" si="50"/>
        <v>1355</v>
      </c>
      <c r="Q87" s="237">
        <f t="shared" si="51"/>
        <v>4106</v>
      </c>
      <c r="R87" s="238">
        <v>10</v>
      </c>
      <c r="S87" s="9">
        <f t="shared" si="52"/>
        <v>3.4996363977802419E-3</v>
      </c>
    </row>
    <row r="88" spans="1:39" ht="21.95" customHeight="1" thickBot="1" x14ac:dyDescent="0.25">
      <c r="A88" s="266"/>
      <c r="B88" s="268"/>
      <c r="C88" s="266"/>
      <c r="D88" s="266"/>
      <c r="E88" s="266"/>
      <c r="F88" s="235">
        <v>10214</v>
      </c>
      <c r="G88" s="235" t="s">
        <v>132</v>
      </c>
      <c r="H88" s="235" t="s">
        <v>133</v>
      </c>
      <c r="I88" s="235" t="s">
        <v>62</v>
      </c>
      <c r="J88" s="236" t="s">
        <v>23</v>
      </c>
      <c r="K88" s="235">
        <v>74500</v>
      </c>
      <c r="L88" s="235" t="s">
        <v>49</v>
      </c>
      <c r="M88" s="237">
        <f t="shared" si="49"/>
        <v>0</v>
      </c>
      <c r="N88" s="237">
        <f t="shared" si="49"/>
        <v>9210</v>
      </c>
      <c r="O88" s="237">
        <f t="shared" si="49"/>
        <v>8939</v>
      </c>
      <c r="P88" s="237">
        <f t="shared" si="50"/>
        <v>8940</v>
      </c>
      <c r="Q88" s="237">
        <f t="shared" si="51"/>
        <v>27089</v>
      </c>
      <c r="R88" s="238">
        <v>11</v>
      </c>
      <c r="S88" s="9">
        <f t="shared" si="52"/>
        <v>2.3087514687527094E-2</v>
      </c>
    </row>
    <row r="89" spans="1:39" ht="21.95" customHeight="1" thickBot="1" x14ac:dyDescent="0.25">
      <c r="A89" s="266"/>
      <c r="B89" s="268"/>
      <c r="C89" s="266"/>
      <c r="D89" s="266"/>
      <c r="E89" s="266"/>
      <c r="F89" s="235">
        <v>10214</v>
      </c>
      <c r="G89" s="235" t="s">
        <v>132</v>
      </c>
      <c r="H89" s="235" t="s">
        <v>133</v>
      </c>
      <c r="I89" s="235" t="s">
        <v>62</v>
      </c>
      <c r="J89" s="236" t="s">
        <v>26</v>
      </c>
      <c r="K89" s="235">
        <v>75700</v>
      </c>
      <c r="L89" s="235" t="s">
        <v>27</v>
      </c>
      <c r="M89" s="237">
        <f t="shared" si="49"/>
        <v>0</v>
      </c>
      <c r="N89" s="237">
        <f t="shared" si="49"/>
        <v>7221</v>
      </c>
      <c r="O89" s="237">
        <f t="shared" si="49"/>
        <v>7008</v>
      </c>
      <c r="P89" s="237">
        <f t="shared" si="50"/>
        <v>7008</v>
      </c>
      <c r="Q89" s="237">
        <f t="shared" si="51"/>
        <v>21237</v>
      </c>
      <c r="R89" s="238">
        <v>6</v>
      </c>
      <c r="S89" s="9">
        <f t="shared" si="52"/>
        <v>1.8100374527495727E-2</v>
      </c>
    </row>
    <row r="90" spans="1:39" ht="21.95" customHeight="1" thickBot="1" x14ac:dyDescent="0.25">
      <c r="A90" s="266"/>
      <c r="B90" s="268"/>
      <c r="C90" s="267"/>
      <c r="D90" s="267"/>
      <c r="E90" s="267"/>
      <c r="F90" s="235">
        <v>10214</v>
      </c>
      <c r="G90" s="235" t="s">
        <v>132</v>
      </c>
      <c r="H90" s="235" t="s">
        <v>133</v>
      </c>
      <c r="I90" s="235" t="s">
        <v>62</v>
      </c>
      <c r="J90" s="236" t="s">
        <v>28</v>
      </c>
      <c r="K90" s="235">
        <v>61300</v>
      </c>
      <c r="L90" s="235" t="s">
        <v>30</v>
      </c>
      <c r="M90" s="237">
        <f t="shared" si="49"/>
        <v>0</v>
      </c>
      <c r="N90" s="237">
        <f t="shared" si="49"/>
        <v>0</v>
      </c>
      <c r="O90" s="237">
        <f t="shared" si="49"/>
        <v>0</v>
      </c>
      <c r="P90" s="237">
        <f t="shared" si="50"/>
        <v>0</v>
      </c>
      <c r="Q90" s="237">
        <f t="shared" si="51"/>
        <v>0</v>
      </c>
      <c r="R90" s="238">
        <v>4</v>
      </c>
      <c r="S90" s="9">
        <f t="shared" si="52"/>
        <v>0</v>
      </c>
    </row>
    <row r="91" spans="1:39" ht="21.95" customHeight="1" thickBot="1" x14ac:dyDescent="0.25">
      <c r="A91" s="266"/>
      <c r="B91" s="268"/>
      <c r="C91" s="270" t="s">
        <v>31</v>
      </c>
      <c r="D91" s="270"/>
      <c r="E91" s="270"/>
      <c r="F91" s="270"/>
      <c r="G91" s="270"/>
      <c r="H91" s="270"/>
      <c r="I91" s="270"/>
      <c r="J91" s="270"/>
      <c r="K91" s="270"/>
      <c r="L91" s="270"/>
      <c r="M91" s="237">
        <f>SUM(M82:M90)</f>
        <v>0</v>
      </c>
      <c r="N91" s="237">
        <f t="shared" ref="N91:Q91" si="53">SUM(N82:N90)</f>
        <v>51134</v>
      </c>
      <c r="O91" s="237">
        <f t="shared" si="53"/>
        <v>49629</v>
      </c>
      <c r="P91" s="237">
        <f t="shared" si="53"/>
        <v>49629</v>
      </c>
      <c r="Q91" s="237">
        <f t="shared" si="53"/>
        <v>150392</v>
      </c>
      <c r="R91" s="238"/>
      <c r="T91" s="17"/>
      <c r="AC91" s="11"/>
      <c r="AE91" s="15"/>
      <c r="AF91" s="12"/>
      <c r="AG91" s="13"/>
    </row>
    <row r="92" spans="1:39" ht="21.95" customHeight="1" thickBot="1" x14ac:dyDescent="0.25">
      <c r="A92" s="267"/>
      <c r="B92" s="270" t="s">
        <v>63</v>
      </c>
      <c r="C92" s="270"/>
      <c r="D92" s="270"/>
      <c r="E92" s="270"/>
      <c r="F92" s="270"/>
      <c r="G92" s="270"/>
      <c r="H92" s="270"/>
      <c r="I92" s="270"/>
      <c r="J92" s="270"/>
      <c r="K92" s="270"/>
      <c r="L92" s="270"/>
      <c r="M92" s="237">
        <f>M91</f>
        <v>0</v>
      </c>
      <c r="N92" s="237">
        <f t="shared" ref="N92:Q92" si="54">N91</f>
        <v>51134</v>
      </c>
      <c r="O92" s="237">
        <f t="shared" si="54"/>
        <v>49629</v>
      </c>
      <c r="P92" s="237">
        <f t="shared" si="54"/>
        <v>49629</v>
      </c>
      <c r="Q92" s="237">
        <f t="shared" si="54"/>
        <v>150392</v>
      </c>
      <c r="R92" s="238"/>
      <c r="T92" s="10"/>
      <c r="AC92" s="11"/>
      <c r="AF92" s="12"/>
      <c r="AG92" s="13"/>
    </row>
    <row r="93" spans="1:39" ht="21.95" customHeight="1" thickBot="1" x14ac:dyDescent="0.25">
      <c r="A93" s="271" t="s">
        <v>64</v>
      </c>
      <c r="B93" s="272"/>
      <c r="C93" s="272"/>
      <c r="D93" s="272"/>
      <c r="E93" s="272"/>
      <c r="F93" s="272"/>
      <c r="G93" s="272"/>
      <c r="H93" s="272"/>
      <c r="I93" s="272"/>
      <c r="J93" s="272"/>
      <c r="K93" s="272"/>
      <c r="L93" s="273"/>
      <c r="M93" s="237">
        <f>M81+M92</f>
        <v>0</v>
      </c>
      <c r="N93" s="237">
        <f t="shared" ref="N93:Q93" si="55">N81+N92</f>
        <v>53313</v>
      </c>
      <c r="O93" s="237">
        <f t="shared" si="55"/>
        <v>51745</v>
      </c>
      <c r="P93" s="237">
        <f t="shared" si="55"/>
        <v>51743</v>
      </c>
      <c r="Q93" s="237">
        <f t="shared" si="55"/>
        <v>156801</v>
      </c>
      <c r="R93" s="238"/>
      <c r="U93" s="14"/>
      <c r="AC93" s="15"/>
      <c r="AM93" s="16"/>
    </row>
    <row r="94" spans="1:39" ht="21.95" customHeight="1" thickBot="1" x14ac:dyDescent="0.25">
      <c r="A94" s="265" t="s">
        <v>65</v>
      </c>
      <c r="B94" s="268" t="s">
        <v>66</v>
      </c>
      <c r="C94" s="268" t="s">
        <v>17</v>
      </c>
      <c r="D94" s="268">
        <v>62000</v>
      </c>
      <c r="E94" s="268">
        <v>10003</v>
      </c>
      <c r="F94" s="235">
        <v>10214</v>
      </c>
      <c r="G94" s="235" t="s">
        <v>132</v>
      </c>
      <c r="H94" s="235" t="s">
        <v>133</v>
      </c>
      <c r="I94" s="235" t="s">
        <v>66</v>
      </c>
      <c r="J94" s="236" t="s">
        <v>21</v>
      </c>
      <c r="K94" s="235">
        <v>71400</v>
      </c>
      <c r="L94" s="235" t="s">
        <v>22</v>
      </c>
      <c r="M94" s="237">
        <f t="shared" ref="M94:O108" si="56">ROUND(M$2*$Q94,0)</f>
        <v>0</v>
      </c>
      <c r="N94" s="237">
        <f t="shared" si="56"/>
        <v>3323</v>
      </c>
      <c r="O94" s="237">
        <f t="shared" si="56"/>
        <v>3225</v>
      </c>
      <c r="P94" s="237">
        <f t="shared" ref="P94:P108" si="57">Q94-SUM(M94:O94)</f>
        <v>3225</v>
      </c>
      <c r="Q94" s="237">
        <f t="shared" ref="Q94:Q104" si="58">ROUND($V$6*S94,0)</f>
        <v>9773</v>
      </c>
      <c r="R94" s="238">
        <v>5</v>
      </c>
      <c r="S94" s="9">
        <f t="shared" ref="S94:S108" si="59">VLOOKUP(K94, rpacoreratio, 7, FALSE)*VLOOKUP(K94, rpacoreratio, 8, FALSE)</f>
        <v>0.19546413010552866</v>
      </c>
    </row>
    <row r="95" spans="1:39" ht="21.95" customHeight="1" thickBot="1" x14ac:dyDescent="0.25">
      <c r="A95" s="266"/>
      <c r="B95" s="268"/>
      <c r="C95" s="268"/>
      <c r="D95" s="268"/>
      <c r="E95" s="268"/>
      <c r="F95" s="235">
        <v>10214</v>
      </c>
      <c r="G95" s="235" t="s">
        <v>132</v>
      </c>
      <c r="H95" s="235" t="s">
        <v>133</v>
      </c>
      <c r="I95" s="235" t="s">
        <v>66</v>
      </c>
      <c r="J95" s="236" t="s">
        <v>23</v>
      </c>
      <c r="K95" s="235">
        <v>71600</v>
      </c>
      <c r="L95" s="235" t="s">
        <v>23</v>
      </c>
      <c r="M95" s="237">
        <f t="shared" si="56"/>
        <v>0</v>
      </c>
      <c r="N95" s="237">
        <f t="shared" si="56"/>
        <v>324</v>
      </c>
      <c r="O95" s="237">
        <f t="shared" si="56"/>
        <v>315</v>
      </c>
      <c r="P95" s="237">
        <f t="shared" si="57"/>
        <v>315</v>
      </c>
      <c r="Q95" s="237">
        <f t="shared" si="58"/>
        <v>954</v>
      </c>
      <c r="R95" s="238">
        <v>7</v>
      </c>
      <c r="S95" s="9">
        <f t="shared" si="59"/>
        <v>1.9088921632889836E-2</v>
      </c>
    </row>
    <row r="96" spans="1:39" ht="21.95" customHeight="1" thickBot="1" x14ac:dyDescent="0.25">
      <c r="A96" s="266"/>
      <c r="B96" s="268"/>
      <c r="C96" s="268"/>
      <c r="D96" s="268"/>
      <c r="E96" s="268"/>
      <c r="F96" s="235">
        <v>10214</v>
      </c>
      <c r="G96" s="235" t="s">
        <v>132</v>
      </c>
      <c r="H96" s="235" t="s">
        <v>133</v>
      </c>
      <c r="I96" s="235" t="s">
        <v>66</v>
      </c>
      <c r="J96" s="236" t="s">
        <v>58</v>
      </c>
      <c r="K96" s="235">
        <v>72200</v>
      </c>
      <c r="L96" s="235" t="s">
        <v>67</v>
      </c>
      <c r="M96" s="237">
        <f t="shared" si="56"/>
        <v>0</v>
      </c>
      <c r="N96" s="237">
        <f t="shared" si="56"/>
        <v>23</v>
      </c>
      <c r="O96" s="237">
        <f t="shared" si="56"/>
        <v>23</v>
      </c>
      <c r="P96" s="237">
        <f t="shared" si="57"/>
        <v>23</v>
      </c>
      <c r="Q96" s="237">
        <f t="shared" si="58"/>
        <v>69</v>
      </c>
      <c r="R96" s="238">
        <v>13</v>
      </c>
      <c r="S96" s="9">
        <f t="shared" si="59"/>
        <v>1.3809950556502937E-3</v>
      </c>
    </row>
    <row r="97" spans="1:39" ht="21.95" customHeight="1" thickBot="1" x14ac:dyDescent="0.25">
      <c r="A97" s="266"/>
      <c r="B97" s="268"/>
      <c r="C97" s="268"/>
      <c r="D97" s="268"/>
      <c r="E97" s="268"/>
      <c r="F97" s="235">
        <v>10214</v>
      </c>
      <c r="G97" s="235" t="s">
        <v>132</v>
      </c>
      <c r="H97" s="235" t="s">
        <v>133</v>
      </c>
      <c r="I97" s="235" t="s">
        <v>66</v>
      </c>
      <c r="J97" s="236" t="s">
        <v>58</v>
      </c>
      <c r="K97" s="235">
        <v>72300</v>
      </c>
      <c r="L97" s="235" t="s">
        <v>68</v>
      </c>
      <c r="M97" s="237">
        <f t="shared" si="56"/>
        <v>0</v>
      </c>
      <c r="N97" s="237">
        <f t="shared" si="56"/>
        <v>0</v>
      </c>
      <c r="O97" s="237">
        <f t="shared" si="56"/>
        <v>0</v>
      </c>
      <c r="P97" s="237">
        <f t="shared" si="57"/>
        <v>0</v>
      </c>
      <c r="Q97" s="237">
        <f t="shared" si="58"/>
        <v>0</v>
      </c>
      <c r="R97" s="238">
        <v>14</v>
      </c>
      <c r="S97" s="9">
        <f t="shared" si="59"/>
        <v>0</v>
      </c>
    </row>
    <row r="98" spans="1:39" ht="21.95" customHeight="1" thickBot="1" x14ac:dyDescent="0.25">
      <c r="A98" s="266"/>
      <c r="B98" s="268"/>
      <c r="C98" s="268"/>
      <c r="D98" s="268"/>
      <c r="E98" s="268"/>
      <c r="F98" s="235">
        <v>10214</v>
      </c>
      <c r="G98" s="235" t="s">
        <v>132</v>
      </c>
      <c r="H98" s="235" t="s">
        <v>133</v>
      </c>
      <c r="I98" s="235" t="s">
        <v>66</v>
      </c>
      <c r="J98" s="236" t="s">
        <v>58</v>
      </c>
      <c r="K98" s="235">
        <v>72400</v>
      </c>
      <c r="L98" s="235" t="s">
        <v>69</v>
      </c>
      <c r="M98" s="237">
        <f t="shared" si="56"/>
        <v>0</v>
      </c>
      <c r="N98" s="237">
        <f t="shared" si="56"/>
        <v>167</v>
      </c>
      <c r="O98" s="237">
        <f t="shared" si="56"/>
        <v>162</v>
      </c>
      <c r="P98" s="237">
        <f t="shared" si="57"/>
        <v>162</v>
      </c>
      <c r="Q98" s="237">
        <f t="shared" si="58"/>
        <v>491</v>
      </c>
      <c r="R98" s="238">
        <v>15</v>
      </c>
      <c r="S98" s="9">
        <f t="shared" si="59"/>
        <v>9.8297058690645835E-3</v>
      </c>
    </row>
    <row r="99" spans="1:39" ht="21.95" customHeight="1" thickBot="1" x14ac:dyDescent="0.25">
      <c r="A99" s="266"/>
      <c r="B99" s="268"/>
      <c r="C99" s="268"/>
      <c r="D99" s="268"/>
      <c r="E99" s="268"/>
      <c r="F99" s="235">
        <v>10214</v>
      </c>
      <c r="G99" s="235" t="s">
        <v>132</v>
      </c>
      <c r="H99" s="235" t="s">
        <v>133</v>
      </c>
      <c r="I99" s="235" t="s">
        <v>66</v>
      </c>
      <c r="J99" s="236" t="s">
        <v>24</v>
      </c>
      <c r="K99" s="235">
        <v>72500</v>
      </c>
      <c r="L99" s="235" t="s">
        <v>25</v>
      </c>
      <c r="M99" s="237">
        <f t="shared" si="56"/>
        <v>0</v>
      </c>
      <c r="N99" s="237">
        <f t="shared" si="56"/>
        <v>152</v>
      </c>
      <c r="O99" s="237">
        <f t="shared" si="56"/>
        <v>148</v>
      </c>
      <c r="P99" s="237">
        <f t="shared" si="57"/>
        <v>147</v>
      </c>
      <c r="Q99" s="237">
        <f t="shared" si="58"/>
        <v>447</v>
      </c>
      <c r="R99" s="238">
        <v>10</v>
      </c>
      <c r="S99" s="9">
        <f t="shared" si="59"/>
        <v>8.9354246977183076E-3</v>
      </c>
    </row>
    <row r="100" spans="1:39" ht="21.95" customHeight="1" thickBot="1" x14ac:dyDescent="0.25">
      <c r="A100" s="266"/>
      <c r="B100" s="268"/>
      <c r="C100" s="268"/>
      <c r="D100" s="268"/>
      <c r="E100" s="268"/>
      <c r="F100" s="235">
        <v>10214</v>
      </c>
      <c r="G100" s="235" t="s">
        <v>132</v>
      </c>
      <c r="H100" s="235" t="s">
        <v>133</v>
      </c>
      <c r="I100" s="235" t="s">
        <v>66</v>
      </c>
      <c r="J100" s="236" t="s">
        <v>58</v>
      </c>
      <c r="K100" s="235">
        <v>72800</v>
      </c>
      <c r="L100" s="235" t="s">
        <v>70</v>
      </c>
      <c r="M100" s="237">
        <f t="shared" si="56"/>
        <v>0</v>
      </c>
      <c r="N100" s="237">
        <f t="shared" si="56"/>
        <v>106</v>
      </c>
      <c r="O100" s="237">
        <f t="shared" si="56"/>
        <v>103</v>
      </c>
      <c r="P100" s="237">
        <f t="shared" si="57"/>
        <v>104</v>
      </c>
      <c r="Q100" s="237">
        <f t="shared" si="58"/>
        <v>313</v>
      </c>
      <c r="R100" s="238">
        <v>16</v>
      </c>
      <c r="S100" s="9">
        <f t="shared" si="59"/>
        <v>6.2690135248252626E-3</v>
      </c>
    </row>
    <row r="101" spans="1:39" ht="21.95" customHeight="1" thickBot="1" x14ac:dyDescent="0.25">
      <c r="A101" s="266"/>
      <c r="B101" s="268"/>
      <c r="C101" s="268"/>
      <c r="D101" s="268"/>
      <c r="E101" s="268"/>
      <c r="F101" s="235">
        <v>10214</v>
      </c>
      <c r="G101" s="235" t="s">
        <v>132</v>
      </c>
      <c r="H101" s="235" t="s">
        <v>133</v>
      </c>
      <c r="I101" s="235" t="s">
        <v>66</v>
      </c>
      <c r="J101" s="236" t="s">
        <v>71</v>
      </c>
      <c r="K101" s="235">
        <v>73100</v>
      </c>
      <c r="L101" s="235" t="s">
        <v>72</v>
      </c>
      <c r="M101" s="237">
        <f t="shared" si="56"/>
        <v>0</v>
      </c>
      <c r="N101" s="237">
        <f t="shared" si="56"/>
        <v>1372</v>
      </c>
      <c r="O101" s="237">
        <f t="shared" si="56"/>
        <v>1332</v>
      </c>
      <c r="P101" s="237">
        <f t="shared" si="57"/>
        <v>1332</v>
      </c>
      <c r="Q101" s="237">
        <f t="shared" si="58"/>
        <v>4036</v>
      </c>
      <c r="R101" s="238">
        <v>8</v>
      </c>
      <c r="S101" s="9">
        <f t="shared" si="59"/>
        <v>8.0719428593636136E-2</v>
      </c>
    </row>
    <row r="102" spans="1:39" ht="21.95" customHeight="1" thickBot="1" x14ac:dyDescent="0.25">
      <c r="A102" s="266"/>
      <c r="B102" s="268"/>
      <c r="C102" s="268"/>
      <c r="D102" s="268"/>
      <c r="E102" s="268"/>
      <c r="F102" s="235">
        <v>10214</v>
      </c>
      <c r="G102" s="235" t="s">
        <v>132</v>
      </c>
      <c r="H102" s="235" t="s">
        <v>133</v>
      </c>
      <c r="I102" s="235" t="s">
        <v>66</v>
      </c>
      <c r="J102" s="236" t="s">
        <v>58</v>
      </c>
      <c r="K102" s="235">
        <v>73400</v>
      </c>
      <c r="L102" s="235" t="s">
        <v>73</v>
      </c>
      <c r="M102" s="237">
        <f t="shared" si="56"/>
        <v>0</v>
      </c>
      <c r="N102" s="237">
        <f t="shared" si="56"/>
        <v>81</v>
      </c>
      <c r="O102" s="237">
        <f t="shared" si="56"/>
        <v>78</v>
      </c>
      <c r="P102" s="237">
        <f t="shared" si="57"/>
        <v>78</v>
      </c>
      <c r="Q102" s="237">
        <f t="shared" si="58"/>
        <v>237</v>
      </c>
      <c r="R102" s="238">
        <v>17</v>
      </c>
      <c r="S102" s="9">
        <f t="shared" si="59"/>
        <v>4.7455922829596296E-3</v>
      </c>
    </row>
    <row r="103" spans="1:39" ht="21.95" customHeight="1" thickBot="1" x14ac:dyDescent="0.25">
      <c r="A103" s="266"/>
      <c r="B103" s="268"/>
      <c r="C103" s="268"/>
      <c r="D103" s="268"/>
      <c r="E103" s="268"/>
      <c r="F103" s="235">
        <v>10214</v>
      </c>
      <c r="G103" s="235" t="s">
        <v>132</v>
      </c>
      <c r="H103" s="235" t="s">
        <v>133</v>
      </c>
      <c r="I103" s="235" t="s">
        <v>66</v>
      </c>
      <c r="J103" s="236" t="s">
        <v>74</v>
      </c>
      <c r="K103" s="235">
        <v>74100</v>
      </c>
      <c r="L103" s="235" t="s">
        <v>75</v>
      </c>
      <c r="M103" s="237">
        <f t="shared" si="56"/>
        <v>0</v>
      </c>
      <c r="N103" s="237">
        <f t="shared" si="56"/>
        <v>218</v>
      </c>
      <c r="O103" s="237">
        <f t="shared" si="56"/>
        <v>211</v>
      </c>
      <c r="P103" s="237">
        <f t="shared" si="57"/>
        <v>211</v>
      </c>
      <c r="Q103" s="237">
        <f t="shared" si="58"/>
        <v>640</v>
      </c>
      <c r="R103" s="238">
        <v>9</v>
      </c>
      <c r="S103" s="9">
        <f t="shared" si="59"/>
        <v>1.279755251095744E-2</v>
      </c>
    </row>
    <row r="104" spans="1:39" ht="21.95" customHeight="1" thickBot="1" x14ac:dyDescent="0.25">
      <c r="A104" s="266"/>
      <c r="B104" s="268"/>
      <c r="C104" s="268"/>
      <c r="D104" s="268"/>
      <c r="E104" s="268"/>
      <c r="F104" s="235">
        <v>10214</v>
      </c>
      <c r="G104" s="235" t="s">
        <v>132</v>
      </c>
      <c r="H104" s="235" t="s">
        <v>133</v>
      </c>
      <c r="I104" s="235" t="s">
        <v>66</v>
      </c>
      <c r="J104" s="236" t="s">
        <v>58</v>
      </c>
      <c r="K104" s="235">
        <v>74200</v>
      </c>
      <c r="L104" s="235" t="s">
        <v>76</v>
      </c>
      <c r="M104" s="237">
        <f t="shared" si="56"/>
        <v>0</v>
      </c>
      <c r="N104" s="237">
        <f t="shared" si="56"/>
        <v>76</v>
      </c>
      <c r="O104" s="237">
        <f t="shared" si="56"/>
        <v>74</v>
      </c>
      <c r="P104" s="237">
        <f t="shared" si="57"/>
        <v>73</v>
      </c>
      <c r="Q104" s="237">
        <f t="shared" si="58"/>
        <v>223</v>
      </c>
      <c r="R104" s="238">
        <v>18</v>
      </c>
      <c r="S104" s="9">
        <f t="shared" si="59"/>
        <v>4.4532398282170031E-3</v>
      </c>
    </row>
    <row r="105" spans="1:39" ht="21.95" customHeight="1" thickBot="1" x14ac:dyDescent="0.25">
      <c r="A105" s="266"/>
      <c r="B105" s="268"/>
      <c r="C105" s="268"/>
      <c r="D105" s="268"/>
      <c r="E105" s="268"/>
      <c r="F105" s="235">
        <v>10214</v>
      </c>
      <c r="G105" s="235" t="s">
        <v>132</v>
      </c>
      <c r="H105" s="235" t="s">
        <v>133</v>
      </c>
      <c r="I105" s="235" t="s">
        <v>66</v>
      </c>
      <c r="J105" s="236" t="s">
        <v>23</v>
      </c>
      <c r="K105" s="235">
        <v>74500</v>
      </c>
      <c r="L105" s="235" t="s">
        <v>49</v>
      </c>
      <c r="M105" s="237">
        <f t="shared" si="56"/>
        <v>0</v>
      </c>
      <c r="N105" s="237">
        <f t="shared" si="56"/>
        <v>96</v>
      </c>
      <c r="O105" s="237">
        <f t="shared" si="56"/>
        <v>93</v>
      </c>
      <c r="P105" s="237">
        <f t="shared" si="57"/>
        <v>92</v>
      </c>
      <c r="Q105" s="237">
        <f>V6-SUM(Q12,Q25:Q32,Q57,Q80, Q94:Q104)</f>
        <v>281</v>
      </c>
      <c r="R105" s="238">
        <v>11</v>
      </c>
      <c r="S105" s="9">
        <f t="shared" si="59"/>
        <v>5.5771968870457524E-3</v>
      </c>
    </row>
    <row r="106" spans="1:39" ht="21.95" customHeight="1" thickBot="1" x14ac:dyDescent="0.25">
      <c r="A106" s="266"/>
      <c r="B106" s="268"/>
      <c r="C106" s="268"/>
      <c r="D106" s="268"/>
      <c r="E106" s="268"/>
      <c r="F106" s="235">
        <v>10214</v>
      </c>
      <c r="G106" s="235" t="s">
        <v>132</v>
      </c>
      <c r="H106" s="235" t="s">
        <v>133</v>
      </c>
      <c r="I106" s="235" t="s">
        <v>66</v>
      </c>
      <c r="J106" s="236" t="s">
        <v>23</v>
      </c>
      <c r="K106" s="235">
        <v>74700</v>
      </c>
      <c r="L106" s="235" t="s">
        <v>77</v>
      </c>
      <c r="M106" s="237">
        <f t="shared" si="56"/>
        <v>0</v>
      </c>
      <c r="N106" s="237">
        <f t="shared" si="56"/>
        <v>0</v>
      </c>
      <c r="O106" s="237">
        <f t="shared" si="56"/>
        <v>0</v>
      </c>
      <c r="P106" s="237">
        <f t="shared" si="57"/>
        <v>0</v>
      </c>
      <c r="Q106" s="237">
        <f t="shared" ref="Q106:Q108" si="60">$V$6*S106</f>
        <v>0</v>
      </c>
      <c r="R106" s="238">
        <v>19</v>
      </c>
      <c r="S106" s="9">
        <f t="shared" si="59"/>
        <v>0</v>
      </c>
    </row>
    <row r="107" spans="1:39" ht="21.95" customHeight="1" thickBot="1" x14ac:dyDescent="0.25">
      <c r="A107" s="266"/>
      <c r="B107" s="268"/>
      <c r="C107" s="268"/>
      <c r="D107" s="268"/>
      <c r="E107" s="268"/>
      <c r="F107" s="235">
        <v>10214</v>
      </c>
      <c r="G107" s="235" t="s">
        <v>132</v>
      </c>
      <c r="H107" s="235" t="s">
        <v>133</v>
      </c>
      <c r="I107" s="235" t="s">
        <v>66</v>
      </c>
      <c r="J107" s="236" t="s">
        <v>28</v>
      </c>
      <c r="K107" s="235">
        <v>61200</v>
      </c>
      <c r="L107" s="235" t="s">
        <v>29</v>
      </c>
      <c r="M107" s="237">
        <f t="shared" si="56"/>
        <v>0</v>
      </c>
      <c r="N107" s="237">
        <f t="shared" si="56"/>
        <v>0</v>
      </c>
      <c r="O107" s="237">
        <f t="shared" si="56"/>
        <v>0</v>
      </c>
      <c r="P107" s="237">
        <f t="shared" si="57"/>
        <v>0</v>
      </c>
      <c r="Q107" s="237">
        <f t="shared" si="60"/>
        <v>0</v>
      </c>
      <c r="R107" s="238">
        <v>4</v>
      </c>
      <c r="S107" s="9">
        <f t="shared" si="59"/>
        <v>0</v>
      </c>
    </row>
    <row r="108" spans="1:39" s="2" customFormat="1" ht="21.95" customHeight="1" thickBot="1" x14ac:dyDescent="0.25">
      <c r="A108" s="266"/>
      <c r="B108" s="268"/>
      <c r="C108" s="268"/>
      <c r="D108" s="268"/>
      <c r="E108" s="268"/>
      <c r="F108" s="235">
        <v>10214</v>
      </c>
      <c r="G108" s="235" t="s">
        <v>132</v>
      </c>
      <c r="H108" s="235" t="s">
        <v>133</v>
      </c>
      <c r="I108" s="235" t="s">
        <v>66</v>
      </c>
      <c r="J108" s="236" t="s">
        <v>28</v>
      </c>
      <c r="K108" s="235">
        <v>61300</v>
      </c>
      <c r="L108" s="235" t="s">
        <v>30</v>
      </c>
      <c r="M108" s="237">
        <f t="shared" si="56"/>
        <v>0</v>
      </c>
      <c r="N108" s="237">
        <f t="shared" si="56"/>
        <v>0</v>
      </c>
      <c r="O108" s="237">
        <f t="shared" si="56"/>
        <v>0</v>
      </c>
      <c r="P108" s="237">
        <f t="shared" si="57"/>
        <v>0</v>
      </c>
      <c r="Q108" s="237">
        <f t="shared" si="60"/>
        <v>0</v>
      </c>
      <c r="R108" s="238">
        <v>4</v>
      </c>
      <c r="S108" s="9">
        <f t="shared" si="59"/>
        <v>0</v>
      </c>
      <c r="U108" s="1"/>
      <c r="V108" s="1"/>
      <c r="W108" s="1"/>
      <c r="X108" s="1"/>
      <c r="Y108" s="1"/>
      <c r="Z108" s="1"/>
      <c r="AA108" s="1"/>
      <c r="AB108" s="1"/>
      <c r="AC108" s="1"/>
      <c r="AD108" s="1"/>
      <c r="AE108" s="1"/>
      <c r="AF108" s="1"/>
      <c r="AG108" s="1"/>
      <c r="AH108" s="1"/>
      <c r="AI108" s="1"/>
      <c r="AJ108" s="1"/>
      <c r="AK108" s="1"/>
      <c r="AL108" s="1"/>
      <c r="AM108" s="1"/>
    </row>
    <row r="109" spans="1:39" s="2" customFormat="1" ht="21.95" customHeight="1" thickBot="1" x14ac:dyDescent="0.25">
      <c r="A109" s="266"/>
      <c r="B109" s="268"/>
      <c r="C109" s="269" t="s">
        <v>31</v>
      </c>
      <c r="D109" s="269"/>
      <c r="E109" s="269"/>
      <c r="F109" s="269"/>
      <c r="G109" s="269"/>
      <c r="H109" s="269"/>
      <c r="I109" s="269"/>
      <c r="J109" s="269"/>
      <c r="K109" s="269"/>
      <c r="L109" s="269"/>
      <c r="M109" s="237">
        <f>SUM(M94:M108)</f>
        <v>0</v>
      </c>
      <c r="N109" s="237">
        <f t="shared" ref="N109:Q109" si="61">SUM(N94:N108)</f>
        <v>5938</v>
      </c>
      <c r="O109" s="237">
        <f t="shared" si="61"/>
        <v>5764</v>
      </c>
      <c r="P109" s="237">
        <f t="shared" si="61"/>
        <v>5762</v>
      </c>
      <c r="Q109" s="237">
        <f t="shared" si="61"/>
        <v>17464</v>
      </c>
      <c r="R109" s="238"/>
      <c r="S109" s="9"/>
      <c r="U109" s="1"/>
      <c r="V109" s="1"/>
      <c r="W109" s="1"/>
      <c r="X109" s="1"/>
      <c r="Y109" s="1"/>
      <c r="Z109" s="1"/>
      <c r="AA109" s="1"/>
      <c r="AB109" s="1"/>
      <c r="AC109" s="1"/>
      <c r="AD109" s="1"/>
      <c r="AE109" s="1"/>
      <c r="AF109" s="1"/>
      <c r="AG109" s="1"/>
      <c r="AH109" s="1"/>
      <c r="AI109" s="1"/>
      <c r="AJ109" s="1"/>
      <c r="AK109" s="1"/>
      <c r="AL109" s="1"/>
      <c r="AM109" s="1"/>
    </row>
    <row r="110" spans="1:39" s="2" customFormat="1" ht="21.95" customHeight="1" thickBot="1" x14ac:dyDescent="0.25">
      <c r="A110" s="266"/>
      <c r="B110" s="269" t="s">
        <v>78</v>
      </c>
      <c r="C110" s="269"/>
      <c r="D110" s="269"/>
      <c r="E110" s="269"/>
      <c r="F110" s="269"/>
      <c r="G110" s="269"/>
      <c r="H110" s="269"/>
      <c r="I110" s="269"/>
      <c r="J110" s="269"/>
      <c r="K110" s="269"/>
      <c r="L110" s="269"/>
      <c r="M110" s="237">
        <f>M109</f>
        <v>0</v>
      </c>
      <c r="N110" s="237">
        <f t="shared" ref="N110:Q110" si="62">N109</f>
        <v>5938</v>
      </c>
      <c r="O110" s="237">
        <f t="shared" si="62"/>
        <v>5764</v>
      </c>
      <c r="P110" s="237">
        <f t="shared" si="62"/>
        <v>5762</v>
      </c>
      <c r="Q110" s="237">
        <f t="shared" si="62"/>
        <v>17464</v>
      </c>
      <c r="R110" s="238"/>
      <c r="S110" s="9"/>
      <c r="U110" s="1"/>
      <c r="V110" s="1"/>
      <c r="W110" s="1"/>
      <c r="X110" s="1"/>
      <c r="Y110" s="1"/>
      <c r="Z110" s="1"/>
      <c r="AA110" s="1"/>
      <c r="AB110" s="1"/>
      <c r="AC110" s="1"/>
      <c r="AD110" s="1"/>
      <c r="AE110" s="1"/>
      <c r="AF110" s="1"/>
      <c r="AG110" s="1"/>
      <c r="AH110" s="1"/>
      <c r="AI110" s="1"/>
      <c r="AJ110" s="1"/>
      <c r="AK110" s="1"/>
      <c r="AL110" s="1"/>
      <c r="AM110" s="1"/>
    </row>
    <row r="111" spans="1:39" s="2" customFormat="1" ht="21.95" customHeight="1" thickBot="1" x14ac:dyDescent="0.25">
      <c r="A111" s="266"/>
      <c r="B111" s="265" t="s">
        <v>79</v>
      </c>
      <c r="C111" s="265" t="s">
        <v>17</v>
      </c>
      <c r="D111" s="265">
        <v>62000</v>
      </c>
      <c r="E111" s="265">
        <v>10003</v>
      </c>
      <c r="F111" s="235">
        <v>10214</v>
      </c>
      <c r="G111" s="235" t="s">
        <v>132</v>
      </c>
      <c r="H111" s="235" t="s">
        <v>133</v>
      </c>
      <c r="I111" s="235" t="s">
        <v>79</v>
      </c>
      <c r="J111" s="236" t="s">
        <v>21</v>
      </c>
      <c r="K111" s="235">
        <v>71400</v>
      </c>
      <c r="L111" s="235" t="s">
        <v>22</v>
      </c>
      <c r="M111" s="237">
        <f t="shared" ref="M111:O125" si="63">ROUND(M$2*$Q111,0)</f>
        <v>0</v>
      </c>
      <c r="N111" s="237">
        <f t="shared" si="63"/>
        <v>77976</v>
      </c>
      <c r="O111" s="237">
        <f t="shared" si="63"/>
        <v>75683</v>
      </c>
      <c r="P111" s="237">
        <f t="shared" ref="P111:P125" si="64">Q111-SUM(M111:O111)</f>
        <v>75682</v>
      </c>
      <c r="Q111" s="237">
        <f t="shared" ref="Q111:Q121" si="65">ROUND($V$7*S111,0)</f>
        <v>229341</v>
      </c>
      <c r="R111" s="238">
        <v>5</v>
      </c>
      <c r="S111" s="9">
        <f t="shared" ref="S111:S125" si="66">VLOOKUP(K111, rpastarratio, 7, FALSE)*VLOOKUP(K111, rpastarratio, 8, FALSE)</f>
        <v>0.1954641301055286</v>
      </c>
      <c r="U111" s="1"/>
      <c r="V111" s="1"/>
      <c r="W111" s="1"/>
      <c r="X111" s="1"/>
      <c r="Y111" s="1"/>
      <c r="Z111" s="1"/>
      <c r="AA111" s="1"/>
      <c r="AB111" s="1"/>
      <c r="AC111" s="1"/>
      <c r="AD111" s="1"/>
      <c r="AE111" s="1"/>
      <c r="AF111" s="1"/>
      <c r="AG111" s="1"/>
      <c r="AH111" s="1"/>
      <c r="AI111" s="1"/>
      <c r="AJ111" s="1"/>
      <c r="AK111" s="1"/>
      <c r="AL111" s="1"/>
      <c r="AM111" s="1"/>
    </row>
    <row r="112" spans="1:39" s="2" customFormat="1" ht="21.95" customHeight="1" thickBot="1" x14ac:dyDescent="0.25">
      <c r="A112" s="266"/>
      <c r="B112" s="266"/>
      <c r="C112" s="266"/>
      <c r="D112" s="266"/>
      <c r="E112" s="266"/>
      <c r="F112" s="235">
        <v>10214</v>
      </c>
      <c r="G112" s="235" t="s">
        <v>132</v>
      </c>
      <c r="H112" s="235" t="s">
        <v>133</v>
      </c>
      <c r="I112" s="235" t="s">
        <v>79</v>
      </c>
      <c r="J112" s="236" t="s">
        <v>23</v>
      </c>
      <c r="K112" s="235">
        <v>71600</v>
      </c>
      <c r="L112" s="235" t="s">
        <v>23</v>
      </c>
      <c r="M112" s="237">
        <f t="shared" si="63"/>
        <v>0</v>
      </c>
      <c r="N112" s="237">
        <f t="shared" si="63"/>
        <v>7615</v>
      </c>
      <c r="O112" s="237">
        <f t="shared" si="63"/>
        <v>7391</v>
      </c>
      <c r="P112" s="237">
        <f t="shared" si="64"/>
        <v>7391</v>
      </c>
      <c r="Q112" s="237">
        <f t="shared" si="65"/>
        <v>22397</v>
      </c>
      <c r="R112" s="238">
        <v>7</v>
      </c>
      <c r="S112" s="9">
        <f t="shared" si="66"/>
        <v>1.9088921632889829E-2</v>
      </c>
      <c r="U112" s="1"/>
      <c r="V112" s="1"/>
      <c r="W112" s="1"/>
      <c r="X112" s="1"/>
      <c r="Y112" s="1"/>
      <c r="Z112" s="1"/>
      <c r="AA112" s="1"/>
      <c r="AB112" s="1"/>
      <c r="AC112" s="1"/>
      <c r="AD112" s="1"/>
      <c r="AE112" s="1"/>
      <c r="AF112" s="1"/>
      <c r="AG112" s="1"/>
      <c r="AH112" s="1"/>
      <c r="AI112" s="1"/>
      <c r="AJ112" s="1"/>
      <c r="AK112" s="1"/>
      <c r="AL112" s="1"/>
      <c r="AM112" s="1"/>
    </row>
    <row r="113" spans="1:39" s="2" customFormat="1" ht="21.95" customHeight="1" thickBot="1" x14ac:dyDescent="0.25">
      <c r="A113" s="266"/>
      <c r="B113" s="266"/>
      <c r="C113" s="266"/>
      <c r="D113" s="266"/>
      <c r="E113" s="266"/>
      <c r="F113" s="235">
        <v>10214</v>
      </c>
      <c r="G113" s="235" t="s">
        <v>132</v>
      </c>
      <c r="H113" s="235" t="s">
        <v>133</v>
      </c>
      <c r="I113" s="235" t="s">
        <v>79</v>
      </c>
      <c r="J113" s="236" t="s">
        <v>58</v>
      </c>
      <c r="K113" s="235">
        <v>72200</v>
      </c>
      <c r="L113" s="235" t="s">
        <v>67</v>
      </c>
      <c r="M113" s="237">
        <f t="shared" si="63"/>
        <v>0</v>
      </c>
      <c r="N113" s="237">
        <f t="shared" si="63"/>
        <v>551</v>
      </c>
      <c r="O113" s="237">
        <f t="shared" si="63"/>
        <v>535</v>
      </c>
      <c r="P113" s="237">
        <f t="shared" si="64"/>
        <v>534</v>
      </c>
      <c r="Q113" s="237">
        <f t="shared" si="65"/>
        <v>1620</v>
      </c>
      <c r="R113" s="238">
        <v>13</v>
      </c>
      <c r="S113" s="9">
        <f t="shared" si="66"/>
        <v>1.3809950556502931E-3</v>
      </c>
      <c r="U113" s="1"/>
      <c r="V113" s="1"/>
      <c r="W113" s="1"/>
      <c r="X113" s="1"/>
      <c r="Y113" s="1"/>
      <c r="Z113" s="1"/>
      <c r="AA113" s="1"/>
      <c r="AB113" s="1"/>
      <c r="AC113" s="1"/>
      <c r="AD113" s="1"/>
      <c r="AE113" s="1"/>
      <c r="AF113" s="1"/>
      <c r="AG113" s="1"/>
      <c r="AH113" s="1"/>
      <c r="AI113" s="1"/>
      <c r="AJ113" s="1"/>
      <c r="AK113" s="1"/>
      <c r="AL113" s="1"/>
      <c r="AM113" s="1"/>
    </row>
    <row r="114" spans="1:39" s="2" customFormat="1" ht="21.95" customHeight="1" thickBot="1" x14ac:dyDescent="0.25">
      <c r="A114" s="266"/>
      <c r="B114" s="266"/>
      <c r="C114" s="266"/>
      <c r="D114" s="266"/>
      <c r="E114" s="266"/>
      <c r="F114" s="235">
        <v>10214</v>
      </c>
      <c r="G114" s="235" t="s">
        <v>132</v>
      </c>
      <c r="H114" s="235" t="s">
        <v>133</v>
      </c>
      <c r="I114" s="235" t="s">
        <v>79</v>
      </c>
      <c r="J114" s="236" t="s">
        <v>58</v>
      </c>
      <c r="K114" s="235">
        <v>72300</v>
      </c>
      <c r="L114" s="235" t="s">
        <v>68</v>
      </c>
      <c r="M114" s="237">
        <f t="shared" si="63"/>
        <v>0</v>
      </c>
      <c r="N114" s="237">
        <f t="shared" si="63"/>
        <v>0</v>
      </c>
      <c r="O114" s="237">
        <f t="shared" si="63"/>
        <v>0</v>
      </c>
      <c r="P114" s="237">
        <f t="shared" si="64"/>
        <v>0</v>
      </c>
      <c r="Q114" s="237">
        <f t="shared" si="65"/>
        <v>0</v>
      </c>
      <c r="R114" s="238">
        <v>14</v>
      </c>
      <c r="S114" s="9">
        <f t="shared" si="66"/>
        <v>0</v>
      </c>
      <c r="U114" s="1"/>
      <c r="V114" s="1"/>
      <c r="W114" s="1"/>
      <c r="X114" s="1"/>
      <c r="Y114" s="1"/>
      <c r="Z114" s="1"/>
      <c r="AA114" s="1"/>
      <c r="AB114" s="1"/>
      <c r="AC114" s="1"/>
      <c r="AD114" s="1"/>
      <c r="AE114" s="1"/>
      <c r="AF114" s="1"/>
      <c r="AG114" s="1"/>
      <c r="AH114" s="1"/>
      <c r="AI114" s="1"/>
      <c r="AJ114" s="1"/>
      <c r="AK114" s="1"/>
      <c r="AL114" s="1"/>
      <c r="AM114" s="1"/>
    </row>
    <row r="115" spans="1:39" s="2" customFormat="1" ht="21.95" customHeight="1" thickBot="1" x14ac:dyDescent="0.25">
      <c r="A115" s="266"/>
      <c r="B115" s="266"/>
      <c r="C115" s="266"/>
      <c r="D115" s="266"/>
      <c r="E115" s="266"/>
      <c r="F115" s="235">
        <v>10214</v>
      </c>
      <c r="G115" s="235" t="s">
        <v>132</v>
      </c>
      <c r="H115" s="235" t="s">
        <v>133</v>
      </c>
      <c r="I115" s="235" t="s">
        <v>79</v>
      </c>
      <c r="J115" s="236" t="s">
        <v>58</v>
      </c>
      <c r="K115" s="235">
        <v>72400</v>
      </c>
      <c r="L115" s="235" t="s">
        <v>69</v>
      </c>
      <c r="M115" s="237">
        <f t="shared" si="63"/>
        <v>0</v>
      </c>
      <c r="N115" s="237">
        <f t="shared" si="63"/>
        <v>3921</v>
      </c>
      <c r="O115" s="237">
        <f t="shared" si="63"/>
        <v>3806</v>
      </c>
      <c r="P115" s="237">
        <f t="shared" si="64"/>
        <v>3806</v>
      </c>
      <c r="Q115" s="237">
        <f t="shared" si="65"/>
        <v>11533</v>
      </c>
      <c r="R115" s="238">
        <v>15</v>
      </c>
      <c r="S115" s="9">
        <f t="shared" si="66"/>
        <v>9.8297058690645783E-3</v>
      </c>
      <c r="U115" s="1"/>
      <c r="V115" s="1"/>
      <c r="W115" s="1"/>
      <c r="X115" s="1"/>
      <c r="Y115" s="1"/>
      <c r="Z115" s="1"/>
      <c r="AA115" s="1"/>
      <c r="AB115" s="1"/>
      <c r="AC115" s="1"/>
      <c r="AD115" s="1"/>
      <c r="AE115" s="1"/>
      <c r="AF115" s="1"/>
      <c r="AG115" s="1"/>
      <c r="AH115" s="1"/>
      <c r="AI115" s="1"/>
      <c r="AJ115" s="1"/>
      <c r="AK115" s="1"/>
      <c r="AL115" s="1"/>
      <c r="AM115" s="1"/>
    </row>
    <row r="116" spans="1:39" s="2" customFormat="1" ht="21.95" customHeight="1" thickBot="1" x14ac:dyDescent="0.25">
      <c r="A116" s="266"/>
      <c r="B116" s="266"/>
      <c r="C116" s="266"/>
      <c r="D116" s="266"/>
      <c r="E116" s="266"/>
      <c r="F116" s="235">
        <v>10214</v>
      </c>
      <c r="G116" s="235" t="s">
        <v>132</v>
      </c>
      <c r="H116" s="235" t="s">
        <v>133</v>
      </c>
      <c r="I116" s="235" t="s">
        <v>79</v>
      </c>
      <c r="J116" s="236" t="s">
        <v>24</v>
      </c>
      <c r="K116" s="235">
        <v>72500</v>
      </c>
      <c r="L116" s="235" t="s">
        <v>25</v>
      </c>
      <c r="M116" s="237">
        <f t="shared" si="63"/>
        <v>0</v>
      </c>
      <c r="N116" s="237">
        <f t="shared" si="63"/>
        <v>3565</v>
      </c>
      <c r="O116" s="237">
        <f t="shared" si="63"/>
        <v>3460</v>
      </c>
      <c r="P116" s="237">
        <f t="shared" si="64"/>
        <v>3459</v>
      </c>
      <c r="Q116" s="237">
        <f t="shared" si="65"/>
        <v>10484</v>
      </c>
      <c r="R116" s="238">
        <v>10</v>
      </c>
      <c r="S116" s="9">
        <f t="shared" si="66"/>
        <v>8.9354246977183041E-3</v>
      </c>
      <c r="U116" s="1"/>
      <c r="V116" s="1"/>
      <c r="W116" s="1"/>
      <c r="X116" s="1"/>
      <c r="Y116" s="1"/>
      <c r="Z116" s="1"/>
      <c r="AA116" s="1"/>
      <c r="AB116" s="1"/>
      <c r="AC116" s="1"/>
      <c r="AD116" s="1"/>
      <c r="AE116" s="1"/>
      <c r="AF116" s="1"/>
      <c r="AG116" s="1"/>
      <c r="AH116" s="1"/>
      <c r="AI116" s="1"/>
      <c r="AJ116" s="1"/>
      <c r="AK116" s="1"/>
      <c r="AL116" s="1"/>
      <c r="AM116" s="1"/>
    </row>
    <row r="117" spans="1:39" s="2" customFormat="1" ht="21.95" customHeight="1" thickBot="1" x14ac:dyDescent="0.25">
      <c r="A117" s="266"/>
      <c r="B117" s="266"/>
      <c r="C117" s="266"/>
      <c r="D117" s="266"/>
      <c r="E117" s="266"/>
      <c r="F117" s="235">
        <v>10214</v>
      </c>
      <c r="G117" s="235" t="s">
        <v>132</v>
      </c>
      <c r="H117" s="235" t="s">
        <v>133</v>
      </c>
      <c r="I117" s="235" t="s">
        <v>79</v>
      </c>
      <c r="J117" s="236" t="s">
        <v>58</v>
      </c>
      <c r="K117" s="235">
        <v>72800</v>
      </c>
      <c r="L117" s="235" t="s">
        <v>70</v>
      </c>
      <c r="M117" s="237">
        <f t="shared" si="63"/>
        <v>0</v>
      </c>
      <c r="N117" s="237">
        <f t="shared" si="63"/>
        <v>2501</v>
      </c>
      <c r="O117" s="237">
        <f t="shared" si="63"/>
        <v>2427</v>
      </c>
      <c r="P117" s="237">
        <f t="shared" si="64"/>
        <v>2428</v>
      </c>
      <c r="Q117" s="237">
        <f t="shared" si="65"/>
        <v>7356</v>
      </c>
      <c r="R117" s="238">
        <v>16</v>
      </c>
      <c r="S117" s="9">
        <f t="shared" si="66"/>
        <v>6.2690135248252591E-3</v>
      </c>
      <c r="U117" s="1"/>
      <c r="V117" s="1"/>
      <c r="W117" s="1"/>
      <c r="X117" s="1"/>
      <c r="Y117" s="1"/>
      <c r="Z117" s="1"/>
      <c r="AA117" s="1"/>
      <c r="AB117" s="1"/>
      <c r="AC117" s="1"/>
      <c r="AD117" s="1"/>
      <c r="AE117" s="1"/>
      <c r="AF117" s="1"/>
      <c r="AG117" s="1"/>
      <c r="AH117" s="1"/>
      <c r="AI117" s="1"/>
      <c r="AJ117" s="1"/>
      <c r="AK117" s="1"/>
      <c r="AL117" s="1"/>
      <c r="AM117" s="1"/>
    </row>
    <row r="118" spans="1:39" s="2" customFormat="1" ht="21.95" customHeight="1" thickBot="1" x14ac:dyDescent="0.25">
      <c r="A118" s="266"/>
      <c r="B118" s="266"/>
      <c r="C118" s="266"/>
      <c r="D118" s="266"/>
      <c r="E118" s="266"/>
      <c r="F118" s="235">
        <v>10214</v>
      </c>
      <c r="G118" s="235" t="s">
        <v>132</v>
      </c>
      <c r="H118" s="235" t="s">
        <v>133</v>
      </c>
      <c r="I118" s="235" t="s">
        <v>79</v>
      </c>
      <c r="J118" s="236" t="s">
        <v>71</v>
      </c>
      <c r="K118" s="235">
        <v>73100</v>
      </c>
      <c r="L118" s="235" t="s">
        <v>72</v>
      </c>
      <c r="M118" s="237">
        <f t="shared" si="63"/>
        <v>0</v>
      </c>
      <c r="N118" s="237">
        <f t="shared" si="63"/>
        <v>32201</v>
      </c>
      <c r="O118" s="237">
        <f t="shared" si="63"/>
        <v>31254</v>
      </c>
      <c r="P118" s="237">
        <f t="shared" si="64"/>
        <v>31254</v>
      </c>
      <c r="Q118" s="237">
        <f t="shared" si="65"/>
        <v>94709</v>
      </c>
      <c r="R118" s="238">
        <v>8</v>
      </c>
      <c r="S118" s="9">
        <f t="shared" si="66"/>
        <v>8.0719428593636094E-2</v>
      </c>
      <c r="U118" s="1"/>
      <c r="V118" s="1"/>
      <c r="W118" s="1"/>
      <c r="X118" s="1"/>
      <c r="Y118" s="1"/>
      <c r="Z118" s="1"/>
      <c r="AA118" s="1"/>
      <c r="AB118" s="1"/>
      <c r="AC118" s="1"/>
      <c r="AD118" s="1"/>
      <c r="AE118" s="1"/>
      <c r="AF118" s="1"/>
      <c r="AG118" s="1"/>
      <c r="AH118" s="1"/>
      <c r="AI118" s="1"/>
      <c r="AJ118" s="1"/>
      <c r="AK118" s="1"/>
      <c r="AL118" s="1"/>
      <c r="AM118" s="1"/>
    </row>
    <row r="119" spans="1:39" s="2" customFormat="1" ht="21.95" customHeight="1" thickBot="1" x14ac:dyDescent="0.25">
      <c r="A119" s="266"/>
      <c r="B119" s="266"/>
      <c r="C119" s="266"/>
      <c r="D119" s="266"/>
      <c r="E119" s="266"/>
      <c r="F119" s="235">
        <v>10214</v>
      </c>
      <c r="G119" s="235" t="s">
        <v>132</v>
      </c>
      <c r="H119" s="235" t="s">
        <v>133</v>
      </c>
      <c r="I119" s="235" t="s">
        <v>79</v>
      </c>
      <c r="J119" s="236" t="s">
        <v>58</v>
      </c>
      <c r="K119" s="235">
        <v>73400</v>
      </c>
      <c r="L119" s="235" t="s">
        <v>73</v>
      </c>
      <c r="M119" s="237">
        <f t="shared" si="63"/>
        <v>0</v>
      </c>
      <c r="N119" s="237">
        <f t="shared" si="63"/>
        <v>1893</v>
      </c>
      <c r="O119" s="237">
        <f t="shared" si="63"/>
        <v>1837</v>
      </c>
      <c r="P119" s="237">
        <f t="shared" si="64"/>
        <v>1838</v>
      </c>
      <c r="Q119" s="237">
        <f t="shared" si="65"/>
        <v>5568</v>
      </c>
      <c r="R119" s="238">
        <v>17</v>
      </c>
      <c r="S119" s="9">
        <f t="shared" si="66"/>
        <v>4.7455922829596269E-3</v>
      </c>
      <c r="U119" s="1"/>
      <c r="V119" s="1"/>
      <c r="W119" s="1"/>
      <c r="X119" s="1"/>
      <c r="Y119" s="1"/>
      <c r="Z119" s="1"/>
      <c r="AA119" s="1"/>
      <c r="AB119" s="1"/>
      <c r="AC119" s="1"/>
      <c r="AD119" s="1"/>
      <c r="AE119" s="1"/>
      <c r="AF119" s="1"/>
      <c r="AG119" s="1"/>
      <c r="AH119" s="1"/>
      <c r="AI119" s="1"/>
      <c r="AJ119" s="1"/>
      <c r="AK119" s="1"/>
      <c r="AL119" s="1"/>
      <c r="AM119" s="1"/>
    </row>
    <row r="120" spans="1:39" s="2" customFormat="1" ht="21.95" customHeight="1" thickBot="1" x14ac:dyDescent="0.25">
      <c r="A120" s="266"/>
      <c r="B120" s="266"/>
      <c r="C120" s="266"/>
      <c r="D120" s="266"/>
      <c r="E120" s="266"/>
      <c r="F120" s="235">
        <v>10214</v>
      </c>
      <c r="G120" s="235" t="s">
        <v>132</v>
      </c>
      <c r="H120" s="235" t="s">
        <v>133</v>
      </c>
      <c r="I120" s="235" t="s">
        <v>79</v>
      </c>
      <c r="J120" s="236" t="s">
        <v>74</v>
      </c>
      <c r="K120" s="235">
        <v>74100</v>
      </c>
      <c r="L120" s="235" t="s">
        <v>75</v>
      </c>
      <c r="M120" s="237">
        <f t="shared" si="63"/>
        <v>0</v>
      </c>
      <c r="N120" s="237">
        <f t="shared" si="63"/>
        <v>5105</v>
      </c>
      <c r="O120" s="237">
        <f t="shared" si="63"/>
        <v>4955</v>
      </c>
      <c r="P120" s="237">
        <f t="shared" si="64"/>
        <v>4956</v>
      </c>
      <c r="Q120" s="237">
        <f t="shared" si="65"/>
        <v>15016</v>
      </c>
      <c r="R120" s="238">
        <v>9</v>
      </c>
      <c r="S120" s="9">
        <f t="shared" si="66"/>
        <v>1.2797552510957431E-2</v>
      </c>
      <c r="U120" s="1"/>
      <c r="V120" s="1"/>
      <c r="W120" s="1"/>
      <c r="X120" s="1"/>
      <c r="Y120" s="1"/>
      <c r="Z120" s="1"/>
      <c r="AA120" s="1"/>
      <c r="AB120" s="1"/>
      <c r="AC120" s="1"/>
      <c r="AD120" s="1"/>
      <c r="AE120" s="1"/>
      <c r="AF120" s="1"/>
      <c r="AG120" s="1"/>
      <c r="AH120" s="1"/>
      <c r="AI120" s="1"/>
      <c r="AJ120" s="1"/>
      <c r="AK120" s="1"/>
      <c r="AL120" s="1"/>
      <c r="AM120" s="1"/>
    </row>
    <row r="121" spans="1:39" s="2" customFormat="1" ht="21.95" customHeight="1" thickBot="1" x14ac:dyDescent="0.25">
      <c r="A121" s="266"/>
      <c r="B121" s="266"/>
      <c r="C121" s="266"/>
      <c r="D121" s="266"/>
      <c r="E121" s="266"/>
      <c r="F121" s="235">
        <v>10214</v>
      </c>
      <c r="G121" s="235" t="s">
        <v>132</v>
      </c>
      <c r="H121" s="235" t="s">
        <v>133</v>
      </c>
      <c r="I121" s="235" t="s">
        <v>79</v>
      </c>
      <c r="J121" s="236" t="s">
        <v>58</v>
      </c>
      <c r="K121" s="235">
        <v>74200</v>
      </c>
      <c r="L121" s="235" t="s">
        <v>76</v>
      </c>
      <c r="M121" s="237">
        <f t="shared" si="63"/>
        <v>0</v>
      </c>
      <c r="N121" s="237">
        <f t="shared" si="63"/>
        <v>1777</v>
      </c>
      <c r="O121" s="237">
        <f t="shared" si="63"/>
        <v>1724</v>
      </c>
      <c r="P121" s="237">
        <f t="shared" si="64"/>
        <v>1724</v>
      </c>
      <c r="Q121" s="237">
        <f t="shared" si="65"/>
        <v>5225</v>
      </c>
      <c r="R121" s="238">
        <v>18</v>
      </c>
      <c r="S121" s="9">
        <f t="shared" si="66"/>
        <v>4.4532398282170005E-3</v>
      </c>
      <c r="U121" s="1"/>
      <c r="V121" s="1"/>
      <c r="W121" s="1"/>
      <c r="X121" s="1"/>
      <c r="Y121" s="1"/>
      <c r="Z121" s="1"/>
      <c r="AA121" s="1"/>
      <c r="AB121" s="1"/>
      <c r="AC121" s="1"/>
      <c r="AD121" s="1"/>
      <c r="AE121" s="1"/>
      <c r="AF121" s="1"/>
      <c r="AG121" s="1"/>
      <c r="AH121" s="1"/>
      <c r="AI121" s="1"/>
      <c r="AJ121" s="1"/>
      <c r="AK121" s="1"/>
      <c r="AL121" s="1"/>
      <c r="AM121" s="1"/>
    </row>
    <row r="122" spans="1:39" s="2" customFormat="1" ht="21.95" customHeight="1" thickBot="1" x14ac:dyDescent="0.25">
      <c r="A122" s="266"/>
      <c r="B122" s="266"/>
      <c r="C122" s="266"/>
      <c r="D122" s="266"/>
      <c r="E122" s="266"/>
      <c r="F122" s="235">
        <v>10214</v>
      </c>
      <c r="G122" s="235" t="s">
        <v>132</v>
      </c>
      <c r="H122" s="235" t="s">
        <v>133</v>
      </c>
      <c r="I122" s="235" t="s">
        <v>79</v>
      </c>
      <c r="J122" s="236" t="s">
        <v>23</v>
      </c>
      <c r="K122" s="235">
        <v>74500</v>
      </c>
      <c r="L122" s="235" t="s">
        <v>49</v>
      </c>
      <c r="M122" s="237">
        <f t="shared" si="63"/>
        <v>0</v>
      </c>
      <c r="N122" s="237">
        <f t="shared" si="63"/>
        <v>2225</v>
      </c>
      <c r="O122" s="237">
        <f t="shared" si="63"/>
        <v>2160</v>
      </c>
      <c r="P122" s="237">
        <f t="shared" si="64"/>
        <v>2160</v>
      </c>
      <c r="Q122" s="237">
        <f>V7-SUM(Q22,Q36:Q43,Q68,Q91,Q111:Q121)</f>
        <v>6545</v>
      </c>
      <c r="R122" s="238">
        <v>11</v>
      </c>
      <c r="S122" s="9">
        <f t="shared" si="66"/>
        <v>5.5771968870457498E-3</v>
      </c>
      <c r="U122" s="1"/>
      <c r="V122" s="1"/>
      <c r="W122" s="1"/>
      <c r="X122" s="1"/>
      <c r="Y122" s="1"/>
      <c r="Z122" s="1"/>
      <c r="AA122" s="1"/>
      <c r="AB122" s="1"/>
      <c r="AC122" s="1"/>
      <c r="AD122" s="1"/>
      <c r="AE122" s="1"/>
      <c r="AF122" s="1"/>
      <c r="AG122" s="1"/>
      <c r="AH122" s="1"/>
      <c r="AI122" s="1"/>
      <c r="AJ122" s="1"/>
      <c r="AK122" s="1"/>
      <c r="AL122" s="1"/>
      <c r="AM122" s="1"/>
    </row>
    <row r="123" spans="1:39" s="2" customFormat="1" ht="21.95" customHeight="1" thickBot="1" x14ac:dyDescent="0.25">
      <c r="A123" s="266"/>
      <c r="B123" s="266"/>
      <c r="C123" s="266"/>
      <c r="D123" s="266"/>
      <c r="E123" s="266"/>
      <c r="F123" s="235">
        <v>10214</v>
      </c>
      <c r="G123" s="235" t="s">
        <v>132</v>
      </c>
      <c r="H123" s="235" t="s">
        <v>133</v>
      </c>
      <c r="I123" s="235" t="s">
        <v>79</v>
      </c>
      <c r="J123" s="236" t="s">
        <v>23</v>
      </c>
      <c r="K123" s="235">
        <v>74700</v>
      </c>
      <c r="L123" s="235" t="s">
        <v>77</v>
      </c>
      <c r="M123" s="237">
        <f t="shared" si="63"/>
        <v>0</v>
      </c>
      <c r="N123" s="237">
        <f t="shared" si="63"/>
        <v>0</v>
      </c>
      <c r="O123" s="237">
        <f t="shared" si="63"/>
        <v>0</v>
      </c>
      <c r="P123" s="237">
        <f t="shared" si="64"/>
        <v>0</v>
      </c>
      <c r="Q123" s="237">
        <f t="shared" ref="Q123:Q125" si="67">$V$7*S123</f>
        <v>0</v>
      </c>
      <c r="R123" s="238">
        <v>19</v>
      </c>
      <c r="S123" s="9">
        <f t="shared" si="66"/>
        <v>0</v>
      </c>
      <c r="U123" s="1"/>
      <c r="V123" s="1"/>
      <c r="W123" s="1"/>
      <c r="X123" s="1"/>
      <c r="Y123" s="1"/>
      <c r="Z123" s="1"/>
      <c r="AA123" s="1"/>
      <c r="AB123" s="1"/>
      <c r="AC123" s="1"/>
      <c r="AD123" s="1"/>
      <c r="AE123" s="1"/>
      <c r="AF123" s="1"/>
      <c r="AG123" s="1"/>
      <c r="AH123" s="1"/>
      <c r="AI123" s="1"/>
      <c r="AJ123" s="1"/>
      <c r="AK123" s="1"/>
      <c r="AL123" s="1"/>
      <c r="AM123" s="1"/>
    </row>
    <row r="124" spans="1:39" s="2" customFormat="1" ht="21.95" customHeight="1" thickBot="1" x14ac:dyDescent="0.25">
      <c r="A124" s="266"/>
      <c r="B124" s="266"/>
      <c r="C124" s="266"/>
      <c r="D124" s="266"/>
      <c r="E124" s="266"/>
      <c r="F124" s="235">
        <v>10214</v>
      </c>
      <c r="G124" s="235" t="s">
        <v>132</v>
      </c>
      <c r="H124" s="235" t="s">
        <v>133</v>
      </c>
      <c r="I124" s="235" t="s">
        <v>79</v>
      </c>
      <c r="J124" s="236" t="s">
        <v>28</v>
      </c>
      <c r="K124" s="235">
        <v>61200</v>
      </c>
      <c r="L124" s="235" t="s">
        <v>29</v>
      </c>
      <c r="M124" s="237">
        <f t="shared" si="63"/>
        <v>0</v>
      </c>
      <c r="N124" s="237">
        <f t="shared" si="63"/>
        <v>0</v>
      </c>
      <c r="O124" s="237">
        <f t="shared" si="63"/>
        <v>0</v>
      </c>
      <c r="P124" s="237">
        <f t="shared" si="64"/>
        <v>0</v>
      </c>
      <c r="Q124" s="237">
        <f t="shared" si="67"/>
        <v>0</v>
      </c>
      <c r="R124" s="238">
        <v>4</v>
      </c>
      <c r="S124" s="9">
        <f t="shared" si="66"/>
        <v>0</v>
      </c>
      <c r="U124" s="1"/>
      <c r="V124" s="1"/>
      <c r="W124" s="1"/>
      <c r="X124" s="1"/>
      <c r="Y124" s="1"/>
      <c r="Z124" s="1"/>
      <c r="AA124" s="1"/>
      <c r="AB124" s="1"/>
      <c r="AC124" s="1"/>
      <c r="AD124" s="1"/>
      <c r="AE124" s="1"/>
      <c r="AF124" s="1"/>
      <c r="AG124" s="1"/>
      <c r="AH124" s="1"/>
      <c r="AI124" s="1"/>
      <c r="AJ124" s="1"/>
      <c r="AK124" s="1"/>
      <c r="AL124" s="1"/>
      <c r="AM124" s="1"/>
    </row>
    <row r="125" spans="1:39" s="2" customFormat="1" ht="21.95" customHeight="1" thickBot="1" x14ac:dyDescent="0.25">
      <c r="A125" s="266"/>
      <c r="B125" s="266"/>
      <c r="C125" s="267"/>
      <c r="D125" s="267"/>
      <c r="E125" s="267"/>
      <c r="F125" s="235">
        <v>10214</v>
      </c>
      <c r="G125" s="235" t="s">
        <v>132</v>
      </c>
      <c r="H125" s="235" t="s">
        <v>133</v>
      </c>
      <c r="I125" s="235" t="s">
        <v>79</v>
      </c>
      <c r="J125" s="236" t="s">
        <v>28</v>
      </c>
      <c r="K125" s="235">
        <v>61300</v>
      </c>
      <c r="L125" s="235" t="s">
        <v>30</v>
      </c>
      <c r="M125" s="237">
        <f t="shared" si="63"/>
        <v>0</v>
      </c>
      <c r="N125" s="237">
        <f t="shared" si="63"/>
        <v>0</v>
      </c>
      <c r="O125" s="237">
        <f t="shared" si="63"/>
        <v>0</v>
      </c>
      <c r="P125" s="237">
        <f t="shared" si="64"/>
        <v>0</v>
      </c>
      <c r="Q125" s="237">
        <f t="shared" si="67"/>
        <v>0</v>
      </c>
      <c r="R125" s="238">
        <v>4</v>
      </c>
      <c r="S125" s="9">
        <f t="shared" si="66"/>
        <v>0</v>
      </c>
      <c r="U125" s="1"/>
      <c r="V125" s="1"/>
      <c r="W125" s="1"/>
      <c r="X125" s="1"/>
      <c r="Y125" s="1"/>
      <c r="Z125" s="1"/>
      <c r="AA125" s="1"/>
      <c r="AB125" s="1"/>
      <c r="AC125" s="1"/>
      <c r="AD125" s="1"/>
      <c r="AE125" s="1"/>
      <c r="AF125" s="1"/>
      <c r="AG125" s="1"/>
      <c r="AH125" s="1"/>
      <c r="AI125" s="1"/>
      <c r="AJ125" s="1"/>
      <c r="AK125" s="1"/>
      <c r="AL125" s="1"/>
      <c r="AM125" s="1"/>
    </row>
    <row r="126" spans="1:39" s="2" customFormat="1" ht="21.95" customHeight="1" thickBot="1" x14ac:dyDescent="0.25">
      <c r="A126" s="266"/>
      <c r="B126" s="266"/>
      <c r="C126" s="270" t="s">
        <v>31</v>
      </c>
      <c r="D126" s="270"/>
      <c r="E126" s="270"/>
      <c r="F126" s="270"/>
      <c r="G126" s="270"/>
      <c r="H126" s="270"/>
      <c r="I126" s="270"/>
      <c r="J126" s="270"/>
      <c r="K126" s="270"/>
      <c r="L126" s="270"/>
      <c r="M126" s="237">
        <f>SUM(M111:M125)</f>
        <v>0</v>
      </c>
      <c r="N126" s="237">
        <f t="shared" ref="N126:Q126" si="68">SUM(N111:N125)</f>
        <v>139330</v>
      </c>
      <c r="O126" s="237">
        <f t="shared" si="68"/>
        <v>135232</v>
      </c>
      <c r="P126" s="237">
        <f t="shared" si="68"/>
        <v>135232</v>
      </c>
      <c r="Q126" s="237">
        <f t="shared" si="68"/>
        <v>409794</v>
      </c>
      <c r="R126" s="238"/>
      <c r="S126" s="9"/>
      <c r="U126" s="1"/>
      <c r="V126" s="1"/>
      <c r="W126" s="1"/>
      <c r="X126" s="1"/>
      <c r="Y126" s="1"/>
      <c r="Z126" s="1"/>
      <c r="AA126" s="1"/>
      <c r="AB126" s="1"/>
      <c r="AC126" s="1"/>
      <c r="AD126" s="1"/>
      <c r="AE126" s="1"/>
      <c r="AF126" s="1"/>
      <c r="AG126" s="1"/>
      <c r="AH126" s="1"/>
      <c r="AI126" s="1"/>
      <c r="AJ126" s="1"/>
      <c r="AK126" s="1"/>
      <c r="AL126" s="1"/>
      <c r="AM126" s="1"/>
    </row>
    <row r="127" spans="1:39" ht="21.95" customHeight="1" thickBot="1" x14ac:dyDescent="0.25">
      <c r="A127" s="267"/>
      <c r="B127" s="270" t="s">
        <v>80</v>
      </c>
      <c r="C127" s="270"/>
      <c r="D127" s="270"/>
      <c r="E127" s="270"/>
      <c r="F127" s="270"/>
      <c r="G127" s="270"/>
      <c r="H127" s="270"/>
      <c r="I127" s="270"/>
      <c r="J127" s="270"/>
      <c r="K127" s="270"/>
      <c r="L127" s="270"/>
      <c r="M127" s="237">
        <f>M126</f>
        <v>0</v>
      </c>
      <c r="N127" s="237">
        <f t="shared" ref="N127:Q127" si="69">N126</f>
        <v>139330</v>
      </c>
      <c r="O127" s="237">
        <f t="shared" si="69"/>
        <v>135232</v>
      </c>
      <c r="P127" s="237">
        <f t="shared" si="69"/>
        <v>135232</v>
      </c>
      <c r="Q127" s="237">
        <f t="shared" si="69"/>
        <v>409794</v>
      </c>
      <c r="R127" s="238"/>
      <c r="T127" s="10"/>
      <c r="AC127" s="11"/>
      <c r="AF127" s="12"/>
      <c r="AG127" s="13"/>
    </row>
    <row r="128" spans="1:39" ht="21.95" customHeight="1" thickBot="1" x14ac:dyDescent="0.25">
      <c r="A128" s="271" t="s">
        <v>81</v>
      </c>
      <c r="B128" s="272"/>
      <c r="C128" s="272"/>
      <c r="D128" s="272"/>
      <c r="E128" s="272"/>
      <c r="F128" s="272"/>
      <c r="G128" s="272"/>
      <c r="H128" s="272"/>
      <c r="I128" s="272"/>
      <c r="J128" s="272"/>
      <c r="K128" s="272"/>
      <c r="L128" s="273"/>
      <c r="M128" s="237">
        <f t="shared" ref="M128:Q128" si="70">M110+M127</f>
        <v>0</v>
      </c>
      <c r="N128" s="237">
        <f t="shared" si="70"/>
        <v>145268</v>
      </c>
      <c r="O128" s="237">
        <f t="shared" si="70"/>
        <v>140996</v>
      </c>
      <c r="P128" s="237">
        <f t="shared" si="70"/>
        <v>140994</v>
      </c>
      <c r="Q128" s="237">
        <f t="shared" si="70"/>
        <v>427258</v>
      </c>
      <c r="R128" s="238"/>
      <c r="U128" s="14"/>
      <c r="AC128" s="15"/>
      <c r="AM128" s="16"/>
    </row>
    <row r="129" spans="1:39" ht="21.95" customHeight="1" thickBot="1" x14ac:dyDescent="0.25">
      <c r="A129" s="271" t="s">
        <v>82</v>
      </c>
      <c r="B129" s="272"/>
      <c r="C129" s="272"/>
      <c r="D129" s="272"/>
      <c r="E129" s="272"/>
      <c r="F129" s="272"/>
      <c r="G129" s="272"/>
      <c r="H129" s="272"/>
      <c r="I129" s="272"/>
      <c r="J129" s="272"/>
      <c r="K129" s="272"/>
      <c r="L129" s="273"/>
      <c r="M129" s="237">
        <f t="shared" ref="M129:P129" si="71">M24+M47+M70+M93+M128</f>
        <v>0</v>
      </c>
      <c r="N129" s="237">
        <f t="shared" si="71"/>
        <v>1938655</v>
      </c>
      <c r="O129" s="237">
        <f t="shared" si="71"/>
        <v>1926424</v>
      </c>
      <c r="P129" s="237">
        <f t="shared" si="71"/>
        <v>1165056.18</v>
      </c>
      <c r="Q129" s="242">
        <f>SUM(M129:P129)</f>
        <v>5030135.18</v>
      </c>
      <c r="R129" s="243"/>
      <c r="S129" s="14"/>
      <c r="T129" s="18"/>
      <c r="U129" s="19"/>
    </row>
    <row r="131" spans="1:39" ht="12.6" hidden="1" customHeight="1" x14ac:dyDescent="0.2"/>
    <row r="132" spans="1:39" ht="12.6" hidden="1" customHeight="1" x14ac:dyDescent="0.2">
      <c r="A132" s="1" t="s">
        <v>7</v>
      </c>
      <c r="B132" s="1" t="s">
        <v>110</v>
      </c>
    </row>
    <row r="133" spans="1:39" ht="12.6" hidden="1" customHeight="1" x14ac:dyDescent="0.2">
      <c r="J133" s="1" t="s">
        <v>23</v>
      </c>
    </row>
    <row r="134" spans="1:39" ht="12.6" hidden="1" customHeight="1" x14ac:dyDescent="0.2">
      <c r="A134" s="22" t="s">
        <v>111</v>
      </c>
      <c r="B134" s="22" t="s">
        <v>112</v>
      </c>
      <c r="C134" s="23"/>
      <c r="E134" s="24" t="s">
        <v>113</v>
      </c>
      <c r="F134" s="24"/>
      <c r="G134" s="24"/>
      <c r="H134" s="24"/>
      <c r="I134" s="24"/>
      <c r="J134" s="24">
        <v>2</v>
      </c>
    </row>
    <row r="135" spans="1:39" ht="12.6" hidden="1" customHeight="1" x14ac:dyDescent="0.2">
      <c r="A135" s="22" t="s">
        <v>49</v>
      </c>
      <c r="B135" s="22">
        <v>814869</v>
      </c>
      <c r="C135" s="23"/>
      <c r="E135" s="24" t="s">
        <v>114</v>
      </c>
      <c r="F135" s="24"/>
      <c r="G135" s="24"/>
      <c r="H135" s="24"/>
      <c r="I135" s="24"/>
      <c r="J135" s="24">
        <v>-5</v>
      </c>
    </row>
    <row r="136" spans="1:39" ht="12.6" hidden="1" customHeight="1" x14ac:dyDescent="0.2">
      <c r="A136" s="22" t="s">
        <v>77</v>
      </c>
      <c r="B136" s="22">
        <v>47589</v>
      </c>
      <c r="C136" s="23"/>
      <c r="E136" s="24" t="s">
        <v>115</v>
      </c>
      <c r="F136" s="24"/>
      <c r="G136" s="24"/>
      <c r="H136" s="24"/>
      <c r="I136" s="24"/>
      <c r="J136" s="24">
        <v>-3</v>
      </c>
    </row>
    <row r="137" spans="1:39" ht="12.6" hidden="1" customHeight="1" x14ac:dyDescent="0.2">
      <c r="A137" s="22" t="s">
        <v>23</v>
      </c>
      <c r="B137" s="22">
        <v>2731487.162</v>
      </c>
      <c r="C137" s="23"/>
      <c r="E137" s="24" t="s">
        <v>116</v>
      </c>
      <c r="F137" s="24"/>
      <c r="G137" s="24"/>
      <c r="H137" s="24"/>
      <c r="I137" s="24"/>
      <c r="J137" s="24">
        <v>0</v>
      </c>
    </row>
    <row r="138" spans="1:39" ht="12.6" hidden="1" customHeight="1" x14ac:dyDescent="0.2">
      <c r="A138" s="22" t="s">
        <v>117</v>
      </c>
      <c r="B138" s="22">
        <v>3593945.162</v>
      </c>
      <c r="C138" s="23"/>
      <c r="E138" s="24" t="s">
        <v>118</v>
      </c>
      <c r="F138" s="24"/>
      <c r="G138" s="24"/>
      <c r="H138" s="24"/>
      <c r="I138" s="24"/>
      <c r="J138" s="24">
        <v>-3</v>
      </c>
    </row>
    <row r="139" spans="1:39" ht="12.95" hidden="1" customHeight="1" x14ac:dyDescent="0.2">
      <c r="A139" s="23"/>
      <c r="B139" s="23"/>
      <c r="C139" s="23"/>
      <c r="E139" s="24" t="s">
        <v>119</v>
      </c>
      <c r="F139" s="24"/>
      <c r="G139" s="24"/>
      <c r="H139" s="24"/>
      <c r="I139" s="24"/>
      <c r="J139" s="24">
        <v>-9</v>
      </c>
    </row>
    <row r="140" spans="1:39" s="2" customFormat="1" x14ac:dyDescent="0.2">
      <c r="A140" s="23"/>
      <c r="B140" s="23"/>
      <c r="C140" s="23"/>
      <c r="D140" s="1"/>
      <c r="E140" s="1"/>
      <c r="F140" s="1"/>
      <c r="G140" s="1"/>
      <c r="H140" s="1"/>
      <c r="I140" s="1"/>
      <c r="J140" s="1"/>
      <c r="K140" s="1"/>
      <c r="L140" s="1"/>
      <c r="M140" s="1"/>
      <c r="N140" s="1"/>
      <c r="O140" s="1"/>
      <c r="P140" s="1"/>
      <c r="Q140" s="15"/>
      <c r="R140" s="15"/>
      <c r="S140" s="25"/>
      <c r="U140" s="1"/>
      <c r="V140" s="1"/>
      <c r="W140" s="1"/>
      <c r="X140" s="1"/>
      <c r="Y140" s="1"/>
      <c r="Z140" s="1"/>
      <c r="AA140" s="1"/>
      <c r="AB140" s="1"/>
      <c r="AC140" s="1"/>
      <c r="AD140" s="1"/>
      <c r="AE140" s="1"/>
      <c r="AF140" s="1"/>
      <c r="AG140" s="1"/>
      <c r="AH140" s="1"/>
      <c r="AI140" s="1"/>
      <c r="AJ140" s="1"/>
      <c r="AK140" s="1"/>
      <c r="AL140" s="1"/>
      <c r="AM140" s="1"/>
    </row>
    <row r="141" spans="1:39" s="2" customFormat="1" x14ac:dyDescent="0.2">
      <c r="A141" s="26" t="s">
        <v>83</v>
      </c>
      <c r="B141" s="1"/>
      <c r="C141" s="1"/>
      <c r="D141" s="1"/>
      <c r="E141" s="1"/>
      <c r="F141" s="1"/>
      <c r="G141" s="1"/>
      <c r="H141" s="1"/>
      <c r="I141" s="1"/>
      <c r="J141" s="1"/>
      <c r="K141" s="1"/>
      <c r="L141" s="1"/>
      <c r="M141" s="1"/>
      <c r="N141" s="1"/>
      <c r="O141" s="1"/>
      <c r="P141" s="1"/>
      <c r="Q141" s="15"/>
      <c r="R141" s="15"/>
      <c r="S141" s="1"/>
      <c r="U141" s="1"/>
      <c r="V141" s="1"/>
      <c r="W141" s="1"/>
      <c r="X141" s="1"/>
      <c r="Y141" s="1"/>
      <c r="Z141" s="1"/>
      <c r="AA141" s="1"/>
      <c r="AB141" s="1"/>
      <c r="AC141" s="1"/>
      <c r="AD141" s="1"/>
      <c r="AE141" s="1"/>
      <c r="AF141" s="1"/>
      <c r="AG141" s="1"/>
      <c r="AH141" s="1"/>
      <c r="AI141" s="1"/>
      <c r="AJ141" s="1"/>
      <c r="AK141" s="1"/>
      <c r="AL141" s="1"/>
      <c r="AM141" s="1"/>
    </row>
    <row r="142" spans="1:39" s="2" customFormat="1" x14ac:dyDescent="0.2">
      <c r="A142" s="26" t="s">
        <v>85</v>
      </c>
      <c r="B142" s="1"/>
      <c r="C142" s="1"/>
      <c r="D142" s="1"/>
      <c r="E142" s="1"/>
      <c r="F142" s="1"/>
      <c r="G142" s="1"/>
      <c r="H142" s="1"/>
      <c r="I142" s="1"/>
      <c r="J142" s="1"/>
      <c r="K142" s="1"/>
      <c r="L142" s="1"/>
      <c r="M142" s="1"/>
      <c r="N142" s="1"/>
      <c r="O142" s="1"/>
      <c r="P142" s="1"/>
      <c r="Q142" s="15"/>
      <c r="R142" s="15"/>
      <c r="S142" s="1"/>
      <c r="U142" s="1"/>
      <c r="V142" s="1"/>
      <c r="W142" s="1"/>
      <c r="X142" s="1"/>
      <c r="Y142" s="1"/>
      <c r="Z142" s="1"/>
      <c r="AA142" s="1"/>
      <c r="AB142" s="1"/>
      <c r="AC142" s="1"/>
      <c r="AD142" s="1"/>
      <c r="AE142" s="1"/>
      <c r="AF142" s="1"/>
      <c r="AG142" s="1"/>
      <c r="AH142" s="1"/>
      <c r="AI142" s="1"/>
      <c r="AJ142" s="1"/>
      <c r="AK142" s="1"/>
      <c r="AL142" s="1"/>
      <c r="AM142" s="1"/>
    </row>
    <row r="143" spans="1:39" s="2" customFormat="1" x14ac:dyDescent="0.2">
      <c r="A143" s="27" t="s">
        <v>87</v>
      </c>
      <c r="B143" s="1"/>
      <c r="C143" s="1"/>
      <c r="D143" s="1"/>
      <c r="E143" s="1"/>
      <c r="F143" s="1"/>
      <c r="G143" s="1"/>
      <c r="H143" s="1"/>
      <c r="I143" s="1"/>
      <c r="J143" s="1"/>
      <c r="K143" s="1"/>
      <c r="L143" s="1"/>
      <c r="M143" s="1"/>
      <c r="N143" s="1"/>
      <c r="O143" s="1"/>
      <c r="P143" s="1"/>
      <c r="Q143" s="1"/>
      <c r="R143" s="1"/>
      <c r="S143" s="1"/>
      <c r="U143" s="1"/>
      <c r="V143" s="1"/>
      <c r="W143" s="1"/>
      <c r="X143" s="1"/>
      <c r="Y143" s="1"/>
      <c r="Z143" s="1"/>
      <c r="AA143" s="1"/>
      <c r="AB143" s="1"/>
      <c r="AC143" s="1"/>
      <c r="AD143" s="1"/>
      <c r="AE143" s="1"/>
      <c r="AF143" s="1"/>
      <c r="AG143" s="1"/>
      <c r="AH143" s="1"/>
      <c r="AI143" s="1"/>
      <c r="AJ143" s="1"/>
      <c r="AK143" s="1"/>
      <c r="AL143" s="1"/>
      <c r="AM143" s="1"/>
    </row>
    <row r="144" spans="1:39" s="2" customFormat="1" x14ac:dyDescent="0.2">
      <c r="A144" s="27" t="s">
        <v>88</v>
      </c>
      <c r="B144" s="1"/>
      <c r="C144" s="1"/>
      <c r="D144" s="1"/>
      <c r="E144" s="1"/>
      <c r="F144" s="1"/>
      <c r="G144" s="1"/>
      <c r="H144" s="1"/>
      <c r="I144" s="1"/>
      <c r="J144" s="1"/>
      <c r="K144" s="1"/>
      <c r="L144" s="1"/>
      <c r="M144" s="1"/>
      <c r="N144" s="1"/>
      <c r="O144" s="1"/>
      <c r="P144" s="1"/>
      <c r="Q144" s="1"/>
      <c r="R144" s="1"/>
      <c r="S144" s="1"/>
      <c r="U144" s="1"/>
      <c r="V144" s="1"/>
      <c r="W144" s="1"/>
      <c r="X144" s="1"/>
      <c r="Y144" s="1"/>
      <c r="Z144" s="1"/>
      <c r="AA144" s="1"/>
      <c r="AB144" s="1"/>
      <c r="AC144" s="1"/>
      <c r="AD144" s="1"/>
      <c r="AE144" s="1"/>
      <c r="AF144" s="1"/>
      <c r="AG144" s="1"/>
      <c r="AH144" s="1"/>
      <c r="AI144" s="1"/>
      <c r="AJ144" s="1"/>
      <c r="AK144" s="1"/>
      <c r="AL144" s="1"/>
      <c r="AM144" s="1"/>
    </row>
    <row r="145" spans="1:39" s="2" customFormat="1" x14ac:dyDescent="0.2">
      <c r="A145" s="27" t="s">
        <v>89</v>
      </c>
      <c r="B145" s="1"/>
      <c r="C145" s="1"/>
      <c r="D145" s="1"/>
      <c r="E145" s="1"/>
      <c r="F145" s="1"/>
      <c r="G145" s="1"/>
      <c r="H145" s="1"/>
      <c r="I145" s="1"/>
      <c r="J145" s="1"/>
      <c r="K145" s="1"/>
      <c r="L145" s="1"/>
      <c r="M145" s="1"/>
      <c r="N145" s="1"/>
      <c r="O145" s="1"/>
      <c r="P145" s="1"/>
      <c r="Q145" s="1"/>
      <c r="R145" s="1"/>
      <c r="S145" s="1"/>
      <c r="U145" s="1"/>
      <c r="V145" s="1"/>
      <c r="W145" s="1"/>
      <c r="X145" s="1"/>
      <c r="Y145" s="1"/>
      <c r="Z145" s="1"/>
      <c r="AA145" s="1"/>
      <c r="AB145" s="1"/>
      <c r="AC145" s="1"/>
      <c r="AD145" s="1"/>
      <c r="AE145" s="1"/>
      <c r="AF145" s="1"/>
      <c r="AG145" s="1"/>
      <c r="AH145" s="1"/>
      <c r="AI145" s="1"/>
      <c r="AJ145" s="1"/>
      <c r="AK145" s="1"/>
      <c r="AL145" s="1"/>
      <c r="AM145" s="1"/>
    </row>
    <row r="146" spans="1:39" s="2" customFormat="1" x14ac:dyDescent="0.2">
      <c r="A146" s="27" t="s">
        <v>90</v>
      </c>
      <c r="B146" s="1"/>
      <c r="C146" s="1"/>
      <c r="D146" s="1"/>
      <c r="E146" s="1"/>
      <c r="F146" s="1"/>
      <c r="G146" s="1"/>
      <c r="H146" s="1"/>
      <c r="I146" s="1"/>
      <c r="J146" s="1"/>
      <c r="K146" s="1"/>
      <c r="L146" s="1"/>
      <c r="M146" s="1"/>
      <c r="N146" s="1"/>
      <c r="O146" s="1"/>
      <c r="P146" s="1"/>
      <c r="Q146" s="1"/>
      <c r="R146" s="1"/>
      <c r="S146" s="1"/>
      <c r="U146" s="1"/>
      <c r="V146" s="1"/>
      <c r="W146" s="1"/>
      <c r="X146" s="1"/>
      <c r="Y146" s="1"/>
      <c r="Z146" s="1"/>
      <c r="AA146" s="1"/>
      <c r="AB146" s="1"/>
      <c r="AC146" s="1"/>
      <c r="AD146" s="1"/>
      <c r="AE146" s="1"/>
      <c r="AF146" s="1"/>
      <c r="AG146" s="1"/>
      <c r="AH146" s="1"/>
      <c r="AI146" s="1"/>
      <c r="AJ146" s="1"/>
      <c r="AK146" s="1"/>
      <c r="AL146" s="1"/>
      <c r="AM146" s="1"/>
    </row>
    <row r="147" spans="1:39" s="2" customFormat="1" x14ac:dyDescent="0.2">
      <c r="A147" s="27" t="s">
        <v>91</v>
      </c>
      <c r="B147" s="1"/>
      <c r="C147" s="1"/>
      <c r="D147" s="1"/>
      <c r="E147" s="1"/>
      <c r="F147" s="1"/>
      <c r="G147" s="1"/>
      <c r="H147" s="1"/>
      <c r="I147" s="1"/>
      <c r="J147" s="1"/>
      <c r="K147" s="1"/>
      <c r="L147" s="1"/>
      <c r="M147" s="1"/>
      <c r="N147" s="1"/>
      <c r="O147" s="1"/>
      <c r="P147" s="1"/>
      <c r="Q147" s="1"/>
      <c r="R147" s="1"/>
      <c r="S147" s="1"/>
      <c r="U147" s="1"/>
      <c r="V147" s="1"/>
      <c r="W147" s="1"/>
      <c r="X147" s="1"/>
      <c r="Y147" s="1"/>
      <c r="Z147" s="1"/>
      <c r="AA147" s="1"/>
      <c r="AB147" s="1"/>
      <c r="AC147" s="1"/>
      <c r="AD147" s="1"/>
      <c r="AE147" s="1"/>
      <c r="AF147" s="1"/>
      <c r="AG147" s="1"/>
      <c r="AH147" s="1"/>
      <c r="AI147" s="1"/>
      <c r="AJ147" s="1"/>
      <c r="AK147" s="1"/>
      <c r="AL147" s="1"/>
      <c r="AM147" s="1"/>
    </row>
    <row r="148" spans="1:39" s="2" customFormat="1" x14ac:dyDescent="0.2">
      <c r="A148" s="27" t="s">
        <v>92</v>
      </c>
      <c r="B148" s="1"/>
      <c r="C148" s="1"/>
      <c r="D148" s="1"/>
      <c r="E148" s="1"/>
      <c r="F148" s="1"/>
      <c r="G148" s="1"/>
      <c r="H148" s="1"/>
      <c r="I148" s="1"/>
      <c r="J148" s="1"/>
      <c r="K148" s="1"/>
      <c r="L148" s="1"/>
      <c r="M148" s="1"/>
      <c r="N148" s="1"/>
      <c r="O148" s="1"/>
      <c r="P148" s="1"/>
      <c r="Q148" s="1"/>
      <c r="R148" s="1"/>
      <c r="S148" s="1"/>
      <c r="U148" s="1"/>
      <c r="V148" s="1"/>
      <c r="W148" s="1"/>
      <c r="X148" s="1"/>
      <c r="Y148" s="1"/>
      <c r="Z148" s="1"/>
      <c r="AA148" s="1"/>
      <c r="AB148" s="1"/>
      <c r="AC148" s="1"/>
      <c r="AD148" s="1"/>
      <c r="AE148" s="1"/>
      <c r="AF148" s="1"/>
      <c r="AG148" s="1"/>
      <c r="AH148" s="1"/>
      <c r="AI148" s="1"/>
      <c r="AJ148" s="1"/>
      <c r="AK148" s="1"/>
      <c r="AL148" s="1"/>
      <c r="AM148" s="1"/>
    </row>
    <row r="149" spans="1:39" s="2" customFormat="1" x14ac:dyDescent="0.2">
      <c r="A149" s="27" t="s">
        <v>93</v>
      </c>
      <c r="B149" s="1"/>
      <c r="C149" s="1"/>
      <c r="D149" s="1"/>
      <c r="E149" s="1"/>
      <c r="F149" s="1"/>
      <c r="G149" s="1"/>
      <c r="H149" s="1"/>
      <c r="I149" s="1"/>
      <c r="J149" s="1"/>
      <c r="K149" s="1"/>
      <c r="L149" s="1"/>
      <c r="M149" s="1"/>
      <c r="N149" s="1"/>
      <c r="O149" s="1"/>
      <c r="P149" s="1"/>
      <c r="Q149" s="1"/>
      <c r="R149" s="1"/>
      <c r="S149" s="1"/>
      <c r="U149" s="1"/>
      <c r="V149" s="1"/>
      <c r="W149" s="1"/>
      <c r="X149" s="1"/>
      <c r="Y149" s="1"/>
      <c r="Z149" s="1"/>
      <c r="AA149" s="1"/>
      <c r="AB149" s="1"/>
      <c r="AC149" s="1"/>
      <c r="AD149" s="1"/>
      <c r="AE149" s="1"/>
      <c r="AF149" s="1"/>
      <c r="AG149" s="1"/>
      <c r="AH149" s="1"/>
      <c r="AI149" s="1"/>
      <c r="AJ149" s="1"/>
      <c r="AK149" s="1"/>
      <c r="AL149" s="1"/>
      <c r="AM149" s="1"/>
    </row>
    <row r="150" spans="1:39" s="2" customFormat="1" x14ac:dyDescent="0.2">
      <c r="A150" s="27" t="s">
        <v>94</v>
      </c>
      <c r="B150" s="1"/>
      <c r="C150" s="1"/>
      <c r="D150" s="1"/>
      <c r="E150" s="1"/>
      <c r="F150" s="1"/>
      <c r="G150" s="1"/>
      <c r="H150" s="1"/>
      <c r="I150" s="1"/>
      <c r="J150" s="1"/>
      <c r="K150" s="1"/>
      <c r="L150" s="1"/>
      <c r="M150" s="1"/>
      <c r="N150" s="1"/>
      <c r="O150" s="1"/>
      <c r="P150" s="1"/>
      <c r="Q150" s="1"/>
      <c r="R150" s="1"/>
      <c r="S150" s="1"/>
      <c r="U150" s="1"/>
      <c r="V150" s="1"/>
      <c r="W150" s="1"/>
      <c r="X150" s="1"/>
      <c r="Y150" s="1"/>
      <c r="Z150" s="1"/>
      <c r="AA150" s="1"/>
      <c r="AB150" s="1"/>
      <c r="AC150" s="1"/>
      <c r="AD150" s="1"/>
      <c r="AE150" s="1"/>
      <c r="AF150" s="1"/>
      <c r="AG150" s="1"/>
      <c r="AH150" s="1"/>
      <c r="AI150" s="1"/>
      <c r="AJ150" s="1"/>
      <c r="AK150" s="1"/>
      <c r="AL150" s="1"/>
      <c r="AM150" s="1"/>
    </row>
    <row r="151" spans="1:39" s="2" customFormat="1" x14ac:dyDescent="0.2">
      <c r="A151" s="27" t="s">
        <v>95</v>
      </c>
      <c r="B151" s="1"/>
      <c r="C151" s="1"/>
      <c r="D151" s="1"/>
      <c r="E151" s="1"/>
      <c r="F151" s="1"/>
      <c r="G151" s="1"/>
      <c r="H151" s="1"/>
      <c r="I151" s="1"/>
      <c r="J151" s="1"/>
      <c r="K151" s="1"/>
      <c r="L151" s="1"/>
      <c r="M151" s="1"/>
      <c r="N151" s="1"/>
      <c r="O151" s="1"/>
      <c r="P151" s="1"/>
      <c r="Q151" s="1"/>
      <c r="R151" s="1"/>
      <c r="S151" s="1"/>
      <c r="U151" s="1"/>
      <c r="V151" s="1"/>
      <c r="W151" s="1"/>
      <c r="X151" s="1"/>
      <c r="Y151" s="1"/>
      <c r="Z151" s="1"/>
      <c r="AA151" s="1"/>
      <c r="AB151" s="1"/>
      <c r="AC151" s="1"/>
      <c r="AD151" s="1"/>
      <c r="AE151" s="1"/>
      <c r="AF151" s="1"/>
      <c r="AG151" s="1"/>
      <c r="AH151" s="1"/>
      <c r="AI151" s="1"/>
      <c r="AJ151" s="1"/>
      <c r="AK151" s="1"/>
      <c r="AL151" s="1"/>
      <c r="AM151" s="1"/>
    </row>
    <row r="152" spans="1:39" s="2" customFormat="1" x14ac:dyDescent="0.2">
      <c r="A152" s="27" t="s">
        <v>96</v>
      </c>
      <c r="B152" s="1"/>
      <c r="C152" s="1"/>
      <c r="D152" s="1"/>
      <c r="E152" s="1"/>
      <c r="F152" s="1"/>
      <c r="G152" s="1"/>
      <c r="H152" s="1"/>
      <c r="I152" s="1"/>
      <c r="J152" s="1"/>
      <c r="K152" s="1"/>
      <c r="L152" s="1"/>
      <c r="M152" s="1"/>
      <c r="N152" s="1"/>
      <c r="O152" s="1"/>
      <c r="P152" s="1"/>
      <c r="Q152" s="1"/>
      <c r="R152" s="1"/>
      <c r="S152" s="1"/>
      <c r="U152" s="1"/>
      <c r="V152" s="1"/>
      <c r="W152" s="1"/>
      <c r="X152" s="1"/>
      <c r="Y152" s="1"/>
      <c r="Z152" s="1"/>
      <c r="AA152" s="1"/>
      <c r="AB152" s="1"/>
      <c r="AC152" s="1"/>
      <c r="AD152" s="1"/>
      <c r="AE152" s="1"/>
      <c r="AF152" s="1"/>
      <c r="AG152" s="1"/>
      <c r="AH152" s="1"/>
      <c r="AI152" s="1"/>
      <c r="AJ152" s="1"/>
      <c r="AK152" s="1"/>
      <c r="AL152" s="1"/>
      <c r="AM152" s="1"/>
    </row>
    <row r="153" spans="1:39" s="2" customFormat="1" x14ac:dyDescent="0.2">
      <c r="A153" s="27" t="s">
        <v>97</v>
      </c>
      <c r="B153" s="1"/>
      <c r="C153" s="1"/>
      <c r="D153" s="1"/>
      <c r="E153" s="1"/>
      <c r="F153" s="1"/>
      <c r="G153" s="1"/>
      <c r="H153" s="1"/>
      <c r="I153" s="1"/>
      <c r="J153" s="1"/>
      <c r="K153" s="1"/>
      <c r="L153" s="1"/>
      <c r="M153" s="1"/>
      <c r="N153" s="1"/>
      <c r="O153" s="1"/>
      <c r="P153" s="1"/>
      <c r="Q153" s="1"/>
      <c r="R153" s="1"/>
      <c r="S153" s="1"/>
      <c r="U153" s="1"/>
      <c r="V153" s="1"/>
      <c r="W153" s="1"/>
      <c r="X153" s="1"/>
      <c r="Y153" s="1"/>
      <c r="Z153" s="1"/>
      <c r="AA153" s="1"/>
      <c r="AB153" s="1"/>
      <c r="AC153" s="1"/>
      <c r="AD153" s="1"/>
      <c r="AE153" s="1"/>
      <c r="AF153" s="1"/>
      <c r="AG153" s="1"/>
      <c r="AH153" s="1"/>
      <c r="AI153" s="1"/>
      <c r="AJ153" s="1"/>
      <c r="AK153" s="1"/>
      <c r="AL153" s="1"/>
      <c r="AM153" s="1"/>
    </row>
    <row r="154" spans="1:39" s="2" customFormat="1" x14ac:dyDescent="0.2">
      <c r="A154" s="27" t="s">
        <v>98</v>
      </c>
      <c r="B154" s="1"/>
      <c r="C154" s="1"/>
      <c r="D154" s="1"/>
      <c r="E154" s="1"/>
      <c r="F154" s="1"/>
      <c r="G154" s="1"/>
      <c r="H154" s="1"/>
      <c r="I154" s="1"/>
      <c r="J154" s="1"/>
      <c r="K154" s="1"/>
      <c r="L154" s="1"/>
      <c r="M154" s="1"/>
      <c r="N154" s="1"/>
      <c r="O154" s="1"/>
      <c r="P154" s="1"/>
      <c r="Q154" s="1"/>
      <c r="R154" s="1"/>
      <c r="S154" s="1"/>
      <c r="U154" s="1"/>
      <c r="V154" s="1"/>
      <c r="W154" s="1"/>
      <c r="X154" s="1"/>
      <c r="Y154" s="1"/>
      <c r="Z154" s="1"/>
      <c r="AA154" s="1"/>
      <c r="AB154" s="1"/>
      <c r="AC154" s="1"/>
      <c r="AD154" s="1"/>
      <c r="AE154" s="1"/>
      <c r="AF154" s="1"/>
      <c r="AG154" s="1"/>
      <c r="AH154" s="1"/>
      <c r="AI154" s="1"/>
      <c r="AJ154" s="1"/>
      <c r="AK154" s="1"/>
      <c r="AL154" s="1"/>
      <c r="AM154" s="1"/>
    </row>
    <row r="155" spans="1:39" s="2" customFormat="1" x14ac:dyDescent="0.2">
      <c r="A155" s="27" t="s">
        <v>99</v>
      </c>
      <c r="B155" s="1"/>
      <c r="C155" s="1"/>
      <c r="D155" s="1"/>
      <c r="E155" s="1"/>
      <c r="F155" s="1"/>
      <c r="G155" s="1"/>
      <c r="H155" s="1"/>
      <c r="I155" s="1"/>
      <c r="J155" s="1"/>
      <c r="K155" s="1"/>
      <c r="L155" s="1"/>
      <c r="M155" s="1"/>
      <c r="N155" s="1"/>
      <c r="O155" s="1"/>
      <c r="P155" s="1"/>
      <c r="Q155" s="1"/>
      <c r="R155" s="1"/>
      <c r="S155" s="1"/>
      <c r="U155" s="1"/>
      <c r="V155" s="1"/>
      <c r="W155" s="1"/>
      <c r="X155" s="1"/>
      <c r="Y155" s="1"/>
      <c r="Z155" s="1"/>
      <c r="AA155" s="1"/>
      <c r="AB155" s="1"/>
      <c r="AC155" s="1"/>
      <c r="AD155" s="1"/>
      <c r="AE155" s="1"/>
      <c r="AF155" s="1"/>
      <c r="AG155" s="1"/>
      <c r="AH155" s="1"/>
      <c r="AI155" s="1"/>
      <c r="AJ155" s="1"/>
      <c r="AK155" s="1"/>
      <c r="AL155" s="1"/>
      <c r="AM155" s="1"/>
    </row>
    <row r="156" spans="1:39" x14ac:dyDescent="0.2">
      <c r="A156" s="27" t="s">
        <v>100</v>
      </c>
    </row>
    <row r="157" spans="1:39" x14ac:dyDescent="0.2">
      <c r="A157" s="27" t="s">
        <v>101</v>
      </c>
    </row>
    <row r="158" spans="1:39" x14ac:dyDescent="0.2">
      <c r="A158" s="27" t="s">
        <v>102</v>
      </c>
    </row>
    <row r="159" spans="1:39" x14ac:dyDescent="0.2">
      <c r="A159" s="27" t="s">
        <v>103</v>
      </c>
    </row>
    <row r="160" spans="1:39" x14ac:dyDescent="0.2">
      <c r="A160" s="27" t="s">
        <v>104</v>
      </c>
    </row>
    <row r="161" spans="1:1" x14ac:dyDescent="0.2">
      <c r="A161" s="27" t="s">
        <v>105</v>
      </c>
    </row>
  </sheetData>
  <sheetProtection formatCells="0" formatColumns="0" formatRows="0" insertColumns="0" insertRows="0" insertHyperlinks="0" deleteColumns="0" deleteRows="0" sort="0" autoFilter="0" pivotTables="0"/>
  <mergeCells count="72">
    <mergeCell ref="A128:L128"/>
    <mergeCell ref="A129:L129"/>
    <mergeCell ref="B110:L110"/>
    <mergeCell ref="B111:B126"/>
    <mergeCell ref="C111:C125"/>
    <mergeCell ref="D111:D125"/>
    <mergeCell ref="E111:E125"/>
    <mergeCell ref="C126:L126"/>
    <mergeCell ref="B92:L92"/>
    <mergeCell ref="A93:L93"/>
    <mergeCell ref="A94:A127"/>
    <mergeCell ref="B94:B109"/>
    <mergeCell ref="C94:C108"/>
    <mergeCell ref="D94:D108"/>
    <mergeCell ref="E94:E108"/>
    <mergeCell ref="C109:L109"/>
    <mergeCell ref="A71:A92"/>
    <mergeCell ref="B71:B80"/>
    <mergeCell ref="C71:C79"/>
    <mergeCell ref="D71:D79"/>
    <mergeCell ref="E71:E79"/>
    <mergeCell ref="C80:L80"/>
    <mergeCell ref="B127:L127"/>
    <mergeCell ref="B81:L81"/>
    <mergeCell ref="A70:L70"/>
    <mergeCell ref="E82:E90"/>
    <mergeCell ref="B82:B91"/>
    <mergeCell ref="C82:C90"/>
    <mergeCell ref="D82:D90"/>
    <mergeCell ref="C91:L91"/>
    <mergeCell ref="B46:L46"/>
    <mergeCell ref="A47:L47"/>
    <mergeCell ref="A48:A69"/>
    <mergeCell ref="B48:B57"/>
    <mergeCell ref="C48:C56"/>
    <mergeCell ref="D48:D56"/>
    <mergeCell ref="E48:E56"/>
    <mergeCell ref="C57:L57"/>
    <mergeCell ref="B58:L58"/>
    <mergeCell ref="B59:B68"/>
    <mergeCell ref="A25:A46"/>
    <mergeCell ref="E59:E67"/>
    <mergeCell ref="C68:L68"/>
    <mergeCell ref="B69:L69"/>
    <mergeCell ref="C59:C67"/>
    <mergeCell ref="D59:D67"/>
    <mergeCell ref="A24:L24"/>
    <mergeCell ref="C34:L34"/>
    <mergeCell ref="B35:L35"/>
    <mergeCell ref="B36:B45"/>
    <mergeCell ref="C36:C44"/>
    <mergeCell ref="D36:D44"/>
    <mergeCell ref="E36:E44"/>
    <mergeCell ref="C45:L45"/>
    <mergeCell ref="B25:B34"/>
    <mergeCell ref="C25:C33"/>
    <mergeCell ref="D25:D33"/>
    <mergeCell ref="E25:E33"/>
    <mergeCell ref="U3:V3"/>
    <mergeCell ref="A4:A23"/>
    <mergeCell ref="B4:B12"/>
    <mergeCell ref="C4:C11"/>
    <mergeCell ref="D4:D11"/>
    <mergeCell ref="E4:E11"/>
    <mergeCell ref="C12:L12"/>
    <mergeCell ref="B13:L13"/>
    <mergeCell ref="B14:B22"/>
    <mergeCell ref="C14:C21"/>
    <mergeCell ref="D14:D21"/>
    <mergeCell ref="E14:E21"/>
    <mergeCell ref="C22:L22"/>
    <mergeCell ref="B23:L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A2ECE-3C30-46F9-A832-E2D9DB6CE408}">
  <sheetPr>
    <tabColor theme="6" tint="0.79998168889431442"/>
  </sheetPr>
  <dimension ref="A1:AM161"/>
  <sheetViews>
    <sheetView topLeftCell="D120" zoomScale="70" zoomScaleNormal="70" workbookViewId="0">
      <selection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9" width="9.5703125" style="1" customWidth="1"/>
    <col min="10" max="10" width="8.7109375" style="1"/>
    <col min="11" max="11" width="18.28515625" style="1" customWidth="1"/>
    <col min="12" max="12" width="9.5703125" style="1" customWidth="1"/>
    <col min="13" max="13" width="11.85546875" style="1" customWidth="1"/>
    <col min="14" max="17" width="12.5703125" style="1" bestFit="1" customWidth="1"/>
    <col min="18" max="18" width="11.85546875" style="1" bestFit="1" customWidth="1"/>
    <col min="19" max="19" width="6.5703125" style="1" bestFit="1" customWidth="1"/>
    <col min="20" max="20" width="9.140625" style="2" customWidth="1"/>
    <col min="21" max="21" width="14.7109375" style="1" bestFit="1" customWidth="1"/>
    <col min="22" max="22" width="14.28515625" style="1" bestFit="1" customWidth="1"/>
    <col min="23" max="23" width="9.85546875" style="1" bestFit="1" customWidth="1"/>
    <col min="24" max="24" width="14.28515625" style="1" bestFit="1" customWidth="1"/>
    <col min="25" max="25" width="13.85546875" style="1" customWidth="1"/>
    <col min="26" max="26" width="14.7109375" style="1" bestFit="1" customWidth="1"/>
    <col min="27" max="27" width="9.85546875" style="1" customWidth="1"/>
    <col min="28" max="28" width="12.28515625" style="1" customWidth="1"/>
    <col min="29" max="29" width="15.28515625" style="1" bestFit="1" customWidth="1"/>
    <col min="30" max="31" width="14.28515625" style="1" bestFit="1" customWidth="1"/>
    <col min="32" max="32" width="12.5703125" style="1" bestFit="1" customWidth="1"/>
    <col min="33" max="33" width="11.5703125" style="1" bestFit="1" customWidth="1"/>
    <col min="34" max="38" width="14.28515625" style="1" bestFit="1" customWidth="1"/>
    <col min="39" max="39" width="8.7109375" style="1" customWidth="1"/>
    <col min="40" max="40" width="12.5703125" style="1" bestFit="1" customWidth="1"/>
    <col min="41" max="16384" width="8.7109375" style="1"/>
  </cols>
  <sheetData>
    <row r="1" spans="1:39" x14ac:dyDescent="0.2">
      <c r="L1" s="209" t="s">
        <v>106</v>
      </c>
      <c r="M1" s="210">
        <v>0</v>
      </c>
      <c r="N1" s="210">
        <v>0.4</v>
      </c>
      <c r="O1" s="210">
        <v>0.4</v>
      </c>
      <c r="P1" s="210">
        <v>0.2</v>
      </c>
      <c r="Q1" s="210">
        <f>SUM(M1:P1)</f>
        <v>1</v>
      </c>
    </row>
    <row r="2" spans="1:39" ht="12.75" thickBot="1" x14ac:dyDescent="0.25">
      <c r="L2" s="209" t="s">
        <v>107</v>
      </c>
      <c r="M2" s="211">
        <v>0</v>
      </c>
      <c r="N2" s="211">
        <v>0.34</v>
      </c>
      <c r="O2" s="211">
        <v>0.33</v>
      </c>
      <c r="P2" s="211">
        <v>0.33</v>
      </c>
      <c r="Q2" s="210">
        <f>SUM(M2:P2)</f>
        <v>1</v>
      </c>
    </row>
    <row r="3" spans="1:39" s="5" customFormat="1" ht="52.5" customHeight="1" thickBot="1" x14ac:dyDescent="0.25">
      <c r="A3" s="232" t="s">
        <v>0</v>
      </c>
      <c r="B3" s="232" t="s">
        <v>1</v>
      </c>
      <c r="C3" s="232" t="s">
        <v>2</v>
      </c>
      <c r="D3" s="232" t="s">
        <v>3</v>
      </c>
      <c r="E3" s="232" t="s">
        <v>4</v>
      </c>
      <c r="F3" s="232" t="s">
        <v>121</v>
      </c>
      <c r="G3" s="232" t="s">
        <v>122</v>
      </c>
      <c r="H3" s="232" t="s">
        <v>123</v>
      </c>
      <c r="I3" s="232" t="s">
        <v>5</v>
      </c>
      <c r="J3" s="232" t="s">
        <v>6</v>
      </c>
      <c r="K3" s="232" t="s">
        <v>7</v>
      </c>
      <c r="L3" s="232" t="s">
        <v>8</v>
      </c>
      <c r="M3" s="232" t="s">
        <v>9</v>
      </c>
      <c r="N3" s="232" t="s">
        <v>10</v>
      </c>
      <c r="O3" s="232" t="s">
        <v>11</v>
      </c>
      <c r="P3" s="232" t="s">
        <v>12</v>
      </c>
      <c r="Q3" s="233" t="s">
        <v>13</v>
      </c>
      <c r="R3" s="232" t="s">
        <v>14</v>
      </c>
      <c r="S3" s="5" t="s">
        <v>124</v>
      </c>
      <c r="T3" s="212"/>
      <c r="U3" s="264" t="s">
        <v>125</v>
      </c>
      <c r="V3" s="264"/>
    </row>
    <row r="4" spans="1:39" ht="21.95" customHeight="1" thickBot="1" x14ac:dyDescent="0.3">
      <c r="A4" s="265" t="s">
        <v>15</v>
      </c>
      <c r="B4" s="268" t="s">
        <v>16</v>
      </c>
      <c r="C4" s="268" t="s">
        <v>17</v>
      </c>
      <c r="D4" s="268">
        <v>62000</v>
      </c>
      <c r="E4" s="268">
        <v>10003</v>
      </c>
      <c r="F4" s="235">
        <v>10242</v>
      </c>
      <c r="G4" s="235" t="s">
        <v>134</v>
      </c>
      <c r="H4" s="235" t="s">
        <v>135</v>
      </c>
      <c r="I4" s="235" t="s">
        <v>18</v>
      </c>
      <c r="J4" s="236" t="s">
        <v>19</v>
      </c>
      <c r="K4" s="235">
        <v>71200</v>
      </c>
      <c r="L4" s="235" t="s">
        <v>19</v>
      </c>
      <c r="M4" s="237">
        <f>ROUND(M$2*$Q4,0)</f>
        <v>0</v>
      </c>
      <c r="N4" s="237">
        <f t="shared" ref="N4:O11" si="0">ROUND(N$2*$Q4,0)</f>
        <v>0</v>
      </c>
      <c r="O4" s="237">
        <f t="shared" si="0"/>
        <v>0</v>
      </c>
      <c r="P4" s="237">
        <f>Q4-SUM(M4:O4)</f>
        <v>0</v>
      </c>
      <c r="Q4" s="237">
        <f>ROUND($V$6*S4,0)</f>
        <v>0</v>
      </c>
      <c r="R4" s="238">
        <v>2</v>
      </c>
      <c r="S4" s="9">
        <f t="shared" ref="S4:S11" si="1">VLOOKUP(K4, rpacoreratio, 3, FALSE)*VLOOKUP(K4, rpacoreratio, 8, FALSE)</f>
        <v>0</v>
      </c>
      <c r="U4" s="239" t="s">
        <v>128</v>
      </c>
      <c r="V4" s="240">
        <f>[3]RPA_Kris!D3</f>
        <v>456818.18</v>
      </c>
    </row>
    <row r="5" spans="1:39" ht="21.95" customHeight="1" thickBot="1" x14ac:dyDescent="0.3">
      <c r="A5" s="266"/>
      <c r="B5" s="268"/>
      <c r="C5" s="268"/>
      <c r="D5" s="268"/>
      <c r="E5" s="268"/>
      <c r="F5" s="235">
        <v>10242</v>
      </c>
      <c r="G5" s="235" t="s">
        <v>134</v>
      </c>
      <c r="H5" s="235" t="s">
        <v>135</v>
      </c>
      <c r="I5" s="235" t="s">
        <v>18</v>
      </c>
      <c r="J5" s="236" t="s">
        <v>20</v>
      </c>
      <c r="K5" s="235">
        <v>71300</v>
      </c>
      <c r="L5" s="235" t="s">
        <v>20</v>
      </c>
      <c r="M5" s="237">
        <f t="shared" ref="M5:M11" si="2">ROUND(M$2*$Q5,0)</f>
        <v>0</v>
      </c>
      <c r="N5" s="237">
        <f t="shared" si="0"/>
        <v>195</v>
      </c>
      <c r="O5" s="237">
        <f t="shared" si="0"/>
        <v>189</v>
      </c>
      <c r="P5" s="237">
        <f t="shared" ref="P5:P11" si="3">Q5-SUM(M5:O5)</f>
        <v>190</v>
      </c>
      <c r="Q5" s="237">
        <f t="shared" ref="Q5:Q11" si="4">ROUND($V$6*S5,0)</f>
        <v>574</v>
      </c>
      <c r="R5" s="238">
        <v>3</v>
      </c>
      <c r="S5" s="9">
        <f t="shared" si="1"/>
        <v>1.1484623528952263E-2</v>
      </c>
      <c r="U5" s="239" t="s">
        <v>129</v>
      </c>
      <c r="V5" s="240">
        <f>[3]RPA_Kris!D4</f>
        <v>3350000</v>
      </c>
    </row>
    <row r="6" spans="1:39" ht="21.95" customHeight="1" thickBot="1" x14ac:dyDescent="0.3">
      <c r="A6" s="266"/>
      <c r="B6" s="268"/>
      <c r="C6" s="268"/>
      <c r="D6" s="268"/>
      <c r="E6" s="268"/>
      <c r="F6" s="235">
        <v>10242</v>
      </c>
      <c r="G6" s="235" t="s">
        <v>134</v>
      </c>
      <c r="H6" s="235" t="s">
        <v>135</v>
      </c>
      <c r="I6" s="235" t="s">
        <v>18</v>
      </c>
      <c r="J6" s="236" t="s">
        <v>21</v>
      </c>
      <c r="K6" s="235">
        <v>71400</v>
      </c>
      <c r="L6" s="235" t="s">
        <v>22</v>
      </c>
      <c r="M6" s="237">
        <f t="shared" si="2"/>
        <v>0</v>
      </c>
      <c r="N6" s="237">
        <f t="shared" si="0"/>
        <v>2999</v>
      </c>
      <c r="O6" s="237">
        <f t="shared" si="0"/>
        <v>2911</v>
      </c>
      <c r="P6" s="237">
        <f t="shared" si="3"/>
        <v>2910</v>
      </c>
      <c r="Q6" s="237">
        <f t="shared" si="4"/>
        <v>8820</v>
      </c>
      <c r="R6" s="238">
        <v>5</v>
      </c>
      <c r="S6" s="9">
        <f t="shared" si="1"/>
        <v>0.17640953291668729</v>
      </c>
      <c r="U6" s="239" t="s">
        <v>130</v>
      </c>
      <c r="V6" s="240">
        <f>[3]RPA_Kris!D5</f>
        <v>50000</v>
      </c>
    </row>
    <row r="7" spans="1:39" ht="21.95" customHeight="1" thickBot="1" x14ac:dyDescent="0.3">
      <c r="A7" s="266"/>
      <c r="B7" s="268"/>
      <c r="C7" s="268"/>
      <c r="D7" s="268"/>
      <c r="E7" s="268"/>
      <c r="F7" s="235">
        <v>10242</v>
      </c>
      <c r="G7" s="235" t="s">
        <v>134</v>
      </c>
      <c r="H7" s="235" t="s">
        <v>135</v>
      </c>
      <c r="I7" s="235" t="s">
        <v>18</v>
      </c>
      <c r="J7" s="236" t="s">
        <v>23</v>
      </c>
      <c r="K7" s="235">
        <v>71600</v>
      </c>
      <c r="L7" s="235" t="s">
        <v>23</v>
      </c>
      <c r="M7" s="237">
        <f t="shared" si="2"/>
        <v>0</v>
      </c>
      <c r="N7" s="237">
        <f t="shared" si="0"/>
        <v>319</v>
      </c>
      <c r="O7" s="237">
        <f t="shared" si="0"/>
        <v>310</v>
      </c>
      <c r="P7" s="237">
        <f t="shared" si="3"/>
        <v>309</v>
      </c>
      <c r="Q7" s="237">
        <f t="shared" si="4"/>
        <v>938</v>
      </c>
      <c r="R7" s="238">
        <v>7</v>
      </c>
      <c r="S7" s="9">
        <f t="shared" si="1"/>
        <v>1.8765823245845751E-2</v>
      </c>
      <c r="U7" s="239" t="s">
        <v>131</v>
      </c>
      <c r="V7" s="240">
        <f>[3]RPA_Kris!D6</f>
        <v>1173317</v>
      </c>
    </row>
    <row r="8" spans="1:39" ht="21.95" customHeight="1" thickBot="1" x14ac:dyDescent="0.3">
      <c r="A8" s="266"/>
      <c r="B8" s="268"/>
      <c r="C8" s="268"/>
      <c r="D8" s="268"/>
      <c r="E8" s="268"/>
      <c r="F8" s="235">
        <v>10242</v>
      </c>
      <c r="G8" s="235" t="s">
        <v>134</v>
      </c>
      <c r="H8" s="235" t="s">
        <v>135</v>
      </c>
      <c r="I8" s="235" t="s">
        <v>18</v>
      </c>
      <c r="J8" s="236" t="s">
        <v>24</v>
      </c>
      <c r="K8" s="235">
        <v>72500</v>
      </c>
      <c r="L8" s="235" t="s">
        <v>25</v>
      </c>
      <c r="M8" s="237">
        <f t="shared" si="2"/>
        <v>0</v>
      </c>
      <c r="N8" s="237">
        <f t="shared" si="0"/>
        <v>12</v>
      </c>
      <c r="O8" s="237">
        <f t="shared" si="0"/>
        <v>12</v>
      </c>
      <c r="P8" s="237">
        <f t="shared" si="3"/>
        <v>12</v>
      </c>
      <c r="Q8" s="237">
        <f t="shared" si="4"/>
        <v>36</v>
      </c>
      <c r="R8" s="238">
        <v>10</v>
      </c>
      <c r="S8" s="9">
        <f t="shared" si="1"/>
        <v>7.2509589748529012E-4</v>
      </c>
      <c r="V8" s="241">
        <f>SUM(V4:V7)</f>
        <v>5030135.18</v>
      </c>
    </row>
    <row r="9" spans="1:39" ht="21.95" customHeight="1" thickBot="1" x14ac:dyDescent="0.25">
      <c r="A9" s="266"/>
      <c r="B9" s="268"/>
      <c r="C9" s="268"/>
      <c r="D9" s="268"/>
      <c r="E9" s="268"/>
      <c r="F9" s="235">
        <v>10242</v>
      </c>
      <c r="G9" s="235" t="s">
        <v>134</v>
      </c>
      <c r="H9" s="235" t="s">
        <v>135</v>
      </c>
      <c r="I9" s="235" t="s">
        <v>18</v>
      </c>
      <c r="J9" s="236" t="s">
        <v>26</v>
      </c>
      <c r="K9" s="235">
        <v>75700</v>
      </c>
      <c r="L9" s="235" t="s">
        <v>27</v>
      </c>
      <c r="M9" s="237">
        <f t="shared" si="2"/>
        <v>0</v>
      </c>
      <c r="N9" s="237">
        <f t="shared" si="0"/>
        <v>63</v>
      </c>
      <c r="O9" s="237">
        <f t="shared" si="0"/>
        <v>61</v>
      </c>
      <c r="P9" s="237">
        <f t="shared" si="3"/>
        <v>60</v>
      </c>
      <c r="Q9" s="237">
        <f t="shared" si="4"/>
        <v>184</v>
      </c>
      <c r="R9" s="238">
        <v>6</v>
      </c>
      <c r="S9" s="9">
        <f t="shared" si="1"/>
        <v>3.6708273653368421E-3</v>
      </c>
    </row>
    <row r="10" spans="1:39" ht="21.95" customHeight="1" thickBot="1" x14ac:dyDescent="0.25">
      <c r="A10" s="266"/>
      <c r="B10" s="268"/>
      <c r="C10" s="268"/>
      <c r="D10" s="268"/>
      <c r="E10" s="268"/>
      <c r="F10" s="235">
        <v>10242</v>
      </c>
      <c r="G10" s="235" t="s">
        <v>134</v>
      </c>
      <c r="H10" s="235" t="s">
        <v>135</v>
      </c>
      <c r="I10" s="235" t="s">
        <v>18</v>
      </c>
      <c r="J10" s="236" t="s">
        <v>28</v>
      </c>
      <c r="K10" s="235">
        <v>61200</v>
      </c>
      <c r="L10" s="235" t="s">
        <v>29</v>
      </c>
      <c r="M10" s="237">
        <f t="shared" si="2"/>
        <v>0</v>
      </c>
      <c r="N10" s="237">
        <f t="shared" si="0"/>
        <v>0</v>
      </c>
      <c r="O10" s="237">
        <f t="shared" si="0"/>
        <v>0</v>
      </c>
      <c r="P10" s="237">
        <f t="shared" si="3"/>
        <v>0</v>
      </c>
      <c r="Q10" s="237">
        <f t="shared" si="4"/>
        <v>0</v>
      </c>
      <c r="R10" s="238">
        <v>4</v>
      </c>
      <c r="S10" s="9">
        <f t="shared" si="1"/>
        <v>0</v>
      </c>
    </row>
    <row r="11" spans="1:39" ht="21.95" customHeight="1" thickBot="1" x14ac:dyDescent="0.25">
      <c r="A11" s="266"/>
      <c r="B11" s="268"/>
      <c r="C11" s="268"/>
      <c r="D11" s="268"/>
      <c r="E11" s="268"/>
      <c r="F11" s="235">
        <v>10242</v>
      </c>
      <c r="G11" s="235" t="s">
        <v>134</v>
      </c>
      <c r="H11" s="235" t="s">
        <v>135</v>
      </c>
      <c r="I11" s="235" t="s">
        <v>18</v>
      </c>
      <c r="J11" s="236" t="s">
        <v>28</v>
      </c>
      <c r="K11" s="235">
        <v>61300</v>
      </c>
      <c r="L11" s="235" t="s">
        <v>30</v>
      </c>
      <c r="M11" s="237">
        <f t="shared" si="2"/>
        <v>0</v>
      </c>
      <c r="N11" s="237">
        <f t="shared" si="0"/>
        <v>0</v>
      </c>
      <c r="O11" s="237">
        <f t="shared" si="0"/>
        <v>0</v>
      </c>
      <c r="P11" s="237">
        <f t="shared" si="3"/>
        <v>0</v>
      </c>
      <c r="Q11" s="237">
        <f t="shared" si="4"/>
        <v>0</v>
      </c>
      <c r="R11" s="238">
        <v>4</v>
      </c>
      <c r="S11" s="9">
        <f t="shared" si="1"/>
        <v>0</v>
      </c>
    </row>
    <row r="12" spans="1:39" ht="21.95" customHeight="1" thickBot="1" x14ac:dyDescent="0.25">
      <c r="A12" s="266"/>
      <c r="B12" s="268"/>
      <c r="C12" s="269" t="s">
        <v>31</v>
      </c>
      <c r="D12" s="269"/>
      <c r="E12" s="269"/>
      <c r="F12" s="269"/>
      <c r="G12" s="269"/>
      <c r="H12" s="269"/>
      <c r="I12" s="269"/>
      <c r="J12" s="269"/>
      <c r="K12" s="269"/>
      <c r="L12" s="269"/>
      <c r="M12" s="237">
        <f>SUM(M4:M11)</f>
        <v>0</v>
      </c>
      <c r="N12" s="237">
        <f t="shared" ref="N12:Q12" si="5">SUM(N4:N11)</f>
        <v>3588</v>
      </c>
      <c r="O12" s="237">
        <f t="shared" si="5"/>
        <v>3483</v>
      </c>
      <c r="P12" s="237">
        <f t="shared" si="5"/>
        <v>3481</v>
      </c>
      <c r="Q12" s="237">
        <f t="shared" si="5"/>
        <v>10552</v>
      </c>
      <c r="R12" s="238"/>
      <c r="S12" s="9"/>
    </row>
    <row r="13" spans="1:39" s="2" customFormat="1" ht="21.95" customHeight="1" thickBot="1" x14ac:dyDescent="0.25">
      <c r="A13" s="266"/>
      <c r="B13" s="269" t="s">
        <v>32</v>
      </c>
      <c r="C13" s="269"/>
      <c r="D13" s="269"/>
      <c r="E13" s="269"/>
      <c r="F13" s="269"/>
      <c r="G13" s="269"/>
      <c r="H13" s="269"/>
      <c r="I13" s="269"/>
      <c r="J13" s="269"/>
      <c r="K13" s="269"/>
      <c r="L13" s="269"/>
      <c r="M13" s="237">
        <f>M12</f>
        <v>0</v>
      </c>
      <c r="N13" s="237">
        <f t="shared" ref="N13:Q13" si="6">N12</f>
        <v>3588</v>
      </c>
      <c r="O13" s="237">
        <f t="shared" si="6"/>
        <v>3483</v>
      </c>
      <c r="P13" s="237">
        <f t="shared" si="6"/>
        <v>3481</v>
      </c>
      <c r="Q13" s="237">
        <f t="shared" si="6"/>
        <v>10552</v>
      </c>
      <c r="R13" s="238"/>
      <c r="S13" s="9"/>
      <c r="U13" s="1"/>
      <c r="V13" s="1"/>
      <c r="W13" s="1"/>
      <c r="X13" s="1"/>
      <c r="Y13" s="1"/>
      <c r="Z13" s="1"/>
      <c r="AA13" s="1"/>
      <c r="AB13" s="1"/>
      <c r="AC13" s="1"/>
      <c r="AD13" s="1"/>
      <c r="AE13" s="1"/>
      <c r="AF13" s="1"/>
      <c r="AG13" s="1"/>
      <c r="AH13" s="1"/>
      <c r="AI13" s="1"/>
      <c r="AJ13" s="1"/>
      <c r="AK13" s="1"/>
      <c r="AL13" s="1"/>
      <c r="AM13" s="1"/>
    </row>
    <row r="14" spans="1:39" s="2" customFormat="1" ht="21.95" customHeight="1" thickBot="1" x14ac:dyDescent="0.25">
      <c r="A14" s="266"/>
      <c r="B14" s="265" t="s">
        <v>33</v>
      </c>
      <c r="C14" s="265" t="s">
        <v>17</v>
      </c>
      <c r="D14" s="265">
        <v>62000</v>
      </c>
      <c r="E14" s="265">
        <v>10003</v>
      </c>
      <c r="F14" s="235">
        <v>10242</v>
      </c>
      <c r="G14" s="235" t="s">
        <v>134</v>
      </c>
      <c r="H14" s="235" t="s">
        <v>135</v>
      </c>
      <c r="I14" s="234" t="s">
        <v>34</v>
      </c>
      <c r="J14" s="236" t="s">
        <v>19</v>
      </c>
      <c r="K14" s="235">
        <v>71200</v>
      </c>
      <c r="L14" s="235" t="s">
        <v>19</v>
      </c>
      <c r="M14" s="237">
        <f t="shared" ref="M14:O21" si="7">ROUND(M$2*$Q14,0)</f>
        <v>0</v>
      </c>
      <c r="N14" s="237">
        <f t="shared" si="7"/>
        <v>0</v>
      </c>
      <c r="O14" s="237">
        <f t="shared" si="7"/>
        <v>0</v>
      </c>
      <c r="P14" s="237">
        <f t="shared" ref="P14:P21" si="8">Q14-SUM(M14:O14)</f>
        <v>0</v>
      </c>
      <c r="Q14" s="237">
        <f>ROUND($V$7*S14,0)</f>
        <v>0</v>
      </c>
      <c r="R14" s="238">
        <v>2</v>
      </c>
      <c r="S14" s="9">
        <f t="shared" ref="S14:S21" si="9">VLOOKUP(K14, rpastarratio, 3, FALSE)*VLOOKUP(K14, rpastarratio, 8, FALSE)</f>
        <v>0</v>
      </c>
      <c r="U14" s="1"/>
      <c r="V14" s="1"/>
      <c r="W14" s="1"/>
      <c r="X14" s="1"/>
      <c r="Y14" s="1"/>
      <c r="Z14" s="1"/>
      <c r="AA14" s="1"/>
      <c r="AB14" s="1"/>
      <c r="AC14" s="1"/>
      <c r="AD14" s="1"/>
      <c r="AE14" s="1"/>
      <c r="AF14" s="1"/>
      <c r="AG14" s="1"/>
      <c r="AH14" s="1"/>
      <c r="AI14" s="1"/>
      <c r="AJ14" s="1"/>
      <c r="AK14" s="1"/>
      <c r="AL14" s="1"/>
      <c r="AM14" s="1"/>
    </row>
    <row r="15" spans="1:39" s="2" customFormat="1" ht="21.95" customHeight="1" thickBot="1" x14ac:dyDescent="0.25">
      <c r="A15" s="266"/>
      <c r="B15" s="266"/>
      <c r="C15" s="266"/>
      <c r="D15" s="266"/>
      <c r="E15" s="266"/>
      <c r="F15" s="235">
        <v>10242</v>
      </c>
      <c r="G15" s="235" t="s">
        <v>134</v>
      </c>
      <c r="H15" s="235" t="s">
        <v>135</v>
      </c>
      <c r="I15" s="234" t="s">
        <v>34</v>
      </c>
      <c r="J15" s="236" t="s">
        <v>20</v>
      </c>
      <c r="K15" s="235">
        <v>71300</v>
      </c>
      <c r="L15" s="235" t="s">
        <v>20</v>
      </c>
      <c r="M15" s="237">
        <f t="shared" si="7"/>
        <v>0</v>
      </c>
      <c r="N15" s="237">
        <f t="shared" si="7"/>
        <v>4582</v>
      </c>
      <c r="O15" s="237">
        <f t="shared" si="7"/>
        <v>4447</v>
      </c>
      <c r="P15" s="237">
        <f t="shared" si="8"/>
        <v>4446</v>
      </c>
      <c r="Q15" s="237">
        <f t="shared" ref="Q15:Q21" si="10">ROUND($V$7*S15,0)</f>
        <v>13475</v>
      </c>
      <c r="R15" s="238">
        <v>3</v>
      </c>
      <c r="S15" s="9">
        <f t="shared" si="9"/>
        <v>1.1484623528952256E-2</v>
      </c>
      <c r="U15" s="1"/>
      <c r="V15" s="1"/>
      <c r="W15" s="1"/>
      <c r="X15" s="1"/>
      <c r="Y15" s="1"/>
      <c r="Z15" s="1"/>
      <c r="AA15" s="1"/>
      <c r="AB15" s="1"/>
      <c r="AC15" s="1"/>
      <c r="AD15" s="1"/>
      <c r="AE15" s="1"/>
      <c r="AF15" s="1"/>
      <c r="AG15" s="1"/>
      <c r="AH15" s="1"/>
      <c r="AI15" s="1"/>
      <c r="AJ15" s="1"/>
      <c r="AK15" s="1"/>
      <c r="AL15" s="1"/>
      <c r="AM15" s="1"/>
    </row>
    <row r="16" spans="1:39" s="2" customFormat="1" ht="21.95" customHeight="1" thickBot="1" x14ac:dyDescent="0.25">
      <c r="A16" s="266"/>
      <c r="B16" s="266"/>
      <c r="C16" s="266"/>
      <c r="D16" s="266"/>
      <c r="E16" s="266"/>
      <c r="F16" s="235">
        <v>10242</v>
      </c>
      <c r="G16" s="235" t="s">
        <v>134</v>
      </c>
      <c r="H16" s="235" t="s">
        <v>135</v>
      </c>
      <c r="I16" s="234" t="s">
        <v>34</v>
      </c>
      <c r="J16" s="236" t="s">
        <v>21</v>
      </c>
      <c r="K16" s="235">
        <v>71400</v>
      </c>
      <c r="L16" s="235" t="s">
        <v>22</v>
      </c>
      <c r="M16" s="237">
        <f t="shared" si="7"/>
        <v>0</v>
      </c>
      <c r="N16" s="237">
        <f t="shared" si="7"/>
        <v>70375</v>
      </c>
      <c r="O16" s="237">
        <f t="shared" si="7"/>
        <v>68305</v>
      </c>
      <c r="P16" s="237">
        <f t="shared" si="8"/>
        <v>68304</v>
      </c>
      <c r="Q16" s="237">
        <f t="shared" si="10"/>
        <v>206984</v>
      </c>
      <c r="R16" s="238">
        <v>5</v>
      </c>
      <c r="S16" s="9">
        <f t="shared" si="9"/>
        <v>0.17640953291668721</v>
      </c>
      <c r="U16" s="1"/>
      <c r="V16" s="1"/>
      <c r="W16" s="1"/>
      <c r="X16" s="1"/>
      <c r="Y16" s="1"/>
      <c r="Z16" s="1"/>
      <c r="AA16" s="1"/>
      <c r="AB16" s="1"/>
      <c r="AC16" s="1"/>
      <c r="AD16" s="1"/>
      <c r="AE16" s="1"/>
      <c r="AF16" s="1"/>
      <c r="AG16" s="1"/>
      <c r="AH16" s="1"/>
      <c r="AI16" s="1"/>
      <c r="AJ16" s="1"/>
      <c r="AK16" s="1"/>
      <c r="AL16" s="1"/>
      <c r="AM16" s="1"/>
    </row>
    <row r="17" spans="1:39" s="2" customFormat="1" ht="21.95" customHeight="1" thickBot="1" x14ac:dyDescent="0.25">
      <c r="A17" s="266"/>
      <c r="B17" s="266"/>
      <c r="C17" s="266"/>
      <c r="D17" s="266"/>
      <c r="E17" s="266"/>
      <c r="F17" s="235">
        <v>10242</v>
      </c>
      <c r="G17" s="235" t="s">
        <v>134</v>
      </c>
      <c r="H17" s="235" t="s">
        <v>135</v>
      </c>
      <c r="I17" s="234" t="s">
        <v>34</v>
      </c>
      <c r="J17" s="236" t="s">
        <v>23</v>
      </c>
      <c r="K17" s="235">
        <v>71600</v>
      </c>
      <c r="L17" s="235" t="s">
        <v>23</v>
      </c>
      <c r="M17" s="237">
        <f t="shared" si="7"/>
        <v>0</v>
      </c>
      <c r="N17" s="237">
        <f t="shared" si="7"/>
        <v>7486</v>
      </c>
      <c r="O17" s="237">
        <f t="shared" si="7"/>
        <v>7266</v>
      </c>
      <c r="P17" s="237">
        <f t="shared" si="8"/>
        <v>7266</v>
      </c>
      <c r="Q17" s="237">
        <f t="shared" si="10"/>
        <v>22018</v>
      </c>
      <c r="R17" s="238">
        <v>7</v>
      </c>
      <c r="S17" s="9">
        <f t="shared" si="9"/>
        <v>1.8765823245845741E-2</v>
      </c>
      <c r="U17" s="1"/>
      <c r="V17" s="1"/>
      <c r="W17" s="1"/>
      <c r="X17" s="1"/>
      <c r="Y17" s="1"/>
      <c r="Z17" s="1"/>
      <c r="AA17" s="1"/>
      <c r="AB17" s="1"/>
      <c r="AC17" s="1"/>
      <c r="AD17" s="1"/>
      <c r="AE17" s="1"/>
      <c r="AF17" s="1"/>
      <c r="AG17" s="1"/>
      <c r="AH17" s="1"/>
      <c r="AI17" s="1"/>
      <c r="AJ17" s="1"/>
      <c r="AK17" s="1"/>
      <c r="AL17" s="1"/>
      <c r="AM17" s="1"/>
    </row>
    <row r="18" spans="1:39" s="2" customFormat="1" ht="21.95" customHeight="1" thickBot="1" x14ac:dyDescent="0.25">
      <c r="A18" s="266"/>
      <c r="B18" s="266"/>
      <c r="C18" s="266"/>
      <c r="D18" s="266"/>
      <c r="E18" s="266"/>
      <c r="F18" s="235">
        <v>10242</v>
      </c>
      <c r="G18" s="235" t="s">
        <v>134</v>
      </c>
      <c r="H18" s="235" t="s">
        <v>135</v>
      </c>
      <c r="I18" s="234" t="s">
        <v>34</v>
      </c>
      <c r="J18" s="236" t="s">
        <v>24</v>
      </c>
      <c r="K18" s="235">
        <v>72500</v>
      </c>
      <c r="L18" s="235" t="s">
        <v>25</v>
      </c>
      <c r="M18" s="237">
        <f t="shared" si="7"/>
        <v>0</v>
      </c>
      <c r="N18" s="237">
        <f t="shared" si="7"/>
        <v>289</v>
      </c>
      <c r="O18" s="237">
        <f t="shared" si="7"/>
        <v>281</v>
      </c>
      <c r="P18" s="237">
        <f t="shared" si="8"/>
        <v>281</v>
      </c>
      <c r="Q18" s="237">
        <f t="shared" si="10"/>
        <v>851</v>
      </c>
      <c r="R18" s="238">
        <v>10</v>
      </c>
      <c r="S18" s="9">
        <f t="shared" si="9"/>
        <v>7.2509589748528979E-4</v>
      </c>
      <c r="U18" s="1"/>
      <c r="V18" s="1"/>
      <c r="W18" s="1"/>
      <c r="X18" s="1"/>
      <c r="Y18" s="1"/>
      <c r="Z18" s="1"/>
      <c r="AA18" s="1"/>
      <c r="AB18" s="1"/>
      <c r="AC18" s="1"/>
      <c r="AD18" s="1"/>
      <c r="AE18" s="1"/>
      <c r="AF18" s="1"/>
      <c r="AG18" s="1"/>
      <c r="AH18" s="1"/>
      <c r="AI18" s="1"/>
      <c r="AJ18" s="1"/>
      <c r="AK18" s="1"/>
      <c r="AL18" s="1"/>
      <c r="AM18" s="1"/>
    </row>
    <row r="19" spans="1:39" s="2" customFormat="1" ht="21.95" customHeight="1" thickBot="1" x14ac:dyDescent="0.25">
      <c r="A19" s="266"/>
      <c r="B19" s="266"/>
      <c r="C19" s="266"/>
      <c r="D19" s="266"/>
      <c r="E19" s="266"/>
      <c r="F19" s="235">
        <v>10242</v>
      </c>
      <c r="G19" s="235" t="s">
        <v>134</v>
      </c>
      <c r="H19" s="235" t="s">
        <v>135</v>
      </c>
      <c r="I19" s="234" t="s">
        <v>34</v>
      </c>
      <c r="J19" s="236" t="s">
        <v>26</v>
      </c>
      <c r="K19" s="235">
        <v>75700</v>
      </c>
      <c r="L19" s="235" t="s">
        <v>27</v>
      </c>
      <c r="M19" s="237">
        <f t="shared" si="7"/>
        <v>0</v>
      </c>
      <c r="N19" s="237">
        <f t="shared" si="7"/>
        <v>1464</v>
      </c>
      <c r="O19" s="237">
        <f t="shared" si="7"/>
        <v>1421</v>
      </c>
      <c r="P19" s="237">
        <f t="shared" si="8"/>
        <v>1422</v>
      </c>
      <c r="Q19" s="237">
        <f t="shared" si="10"/>
        <v>4307</v>
      </c>
      <c r="R19" s="238">
        <v>6</v>
      </c>
      <c r="S19" s="9">
        <f t="shared" si="9"/>
        <v>3.6708273653368404E-3</v>
      </c>
      <c r="U19" s="1"/>
      <c r="V19" s="1"/>
      <c r="W19" s="1"/>
      <c r="X19" s="1"/>
      <c r="Y19" s="1"/>
      <c r="Z19" s="1"/>
      <c r="AA19" s="1"/>
      <c r="AB19" s="1"/>
      <c r="AC19" s="1"/>
      <c r="AD19" s="1"/>
      <c r="AE19" s="1"/>
      <c r="AF19" s="1"/>
      <c r="AG19" s="1"/>
      <c r="AH19" s="1"/>
      <c r="AI19" s="1"/>
      <c r="AJ19" s="1"/>
      <c r="AK19" s="1"/>
      <c r="AL19" s="1"/>
      <c r="AM19" s="1"/>
    </row>
    <row r="20" spans="1:39" s="2" customFormat="1" ht="21.95" customHeight="1" thickBot="1" x14ac:dyDescent="0.25">
      <c r="A20" s="266"/>
      <c r="B20" s="266"/>
      <c r="C20" s="266"/>
      <c r="D20" s="266"/>
      <c r="E20" s="266"/>
      <c r="F20" s="235">
        <v>10242</v>
      </c>
      <c r="G20" s="235" t="s">
        <v>134</v>
      </c>
      <c r="H20" s="235" t="s">
        <v>135</v>
      </c>
      <c r="I20" s="234" t="s">
        <v>34</v>
      </c>
      <c r="J20" s="236" t="s">
        <v>28</v>
      </c>
      <c r="K20" s="235">
        <v>61200</v>
      </c>
      <c r="L20" s="235" t="s">
        <v>29</v>
      </c>
      <c r="M20" s="237">
        <f t="shared" si="7"/>
        <v>0</v>
      </c>
      <c r="N20" s="237">
        <f t="shared" si="7"/>
        <v>0</v>
      </c>
      <c r="O20" s="237">
        <f t="shared" si="7"/>
        <v>0</v>
      </c>
      <c r="P20" s="237">
        <f t="shared" si="8"/>
        <v>0</v>
      </c>
      <c r="Q20" s="237">
        <f t="shared" si="10"/>
        <v>0</v>
      </c>
      <c r="R20" s="238">
        <v>4</v>
      </c>
      <c r="S20" s="9">
        <f t="shared" si="9"/>
        <v>0</v>
      </c>
      <c r="U20" s="1"/>
      <c r="V20" s="1"/>
      <c r="W20" s="1"/>
      <c r="X20" s="1"/>
      <c r="Y20" s="1"/>
      <c r="Z20" s="1"/>
      <c r="AA20" s="1"/>
      <c r="AB20" s="1"/>
      <c r="AC20" s="1"/>
      <c r="AD20" s="1"/>
      <c r="AE20" s="1"/>
      <c r="AF20" s="1"/>
      <c r="AG20" s="1"/>
      <c r="AH20" s="1"/>
      <c r="AI20" s="1"/>
      <c r="AJ20" s="1"/>
      <c r="AK20" s="1"/>
      <c r="AL20" s="1"/>
      <c r="AM20" s="1"/>
    </row>
    <row r="21" spans="1:39" s="2" customFormat="1" ht="21.95" customHeight="1" thickBot="1" x14ac:dyDescent="0.25">
      <c r="A21" s="266"/>
      <c r="B21" s="266"/>
      <c r="C21" s="267"/>
      <c r="D21" s="267"/>
      <c r="E21" s="267"/>
      <c r="F21" s="235">
        <v>10242</v>
      </c>
      <c r="G21" s="235" t="s">
        <v>134</v>
      </c>
      <c r="H21" s="235" t="s">
        <v>135</v>
      </c>
      <c r="I21" s="234" t="s">
        <v>34</v>
      </c>
      <c r="J21" s="236" t="s">
        <v>28</v>
      </c>
      <c r="K21" s="235">
        <v>61300</v>
      </c>
      <c r="L21" s="235" t="s">
        <v>30</v>
      </c>
      <c r="M21" s="237">
        <f t="shared" si="7"/>
        <v>0</v>
      </c>
      <c r="N21" s="237">
        <f t="shared" si="7"/>
        <v>0</v>
      </c>
      <c r="O21" s="237">
        <f t="shared" si="7"/>
        <v>0</v>
      </c>
      <c r="P21" s="237">
        <f t="shared" si="8"/>
        <v>0</v>
      </c>
      <c r="Q21" s="237">
        <f t="shared" si="10"/>
        <v>0</v>
      </c>
      <c r="R21" s="238">
        <v>4</v>
      </c>
      <c r="S21" s="9">
        <f t="shared" si="9"/>
        <v>0</v>
      </c>
      <c r="U21" s="1"/>
      <c r="V21" s="1"/>
      <c r="W21" s="1"/>
      <c r="X21" s="1"/>
      <c r="Y21" s="1"/>
      <c r="Z21" s="1"/>
      <c r="AA21" s="1"/>
      <c r="AB21" s="1"/>
      <c r="AC21" s="1"/>
      <c r="AD21" s="1"/>
      <c r="AE21" s="1"/>
      <c r="AF21" s="1"/>
      <c r="AG21" s="1"/>
      <c r="AH21" s="1"/>
      <c r="AI21" s="1"/>
      <c r="AJ21" s="1"/>
      <c r="AK21" s="1"/>
      <c r="AL21" s="1"/>
      <c r="AM21" s="1"/>
    </row>
    <row r="22" spans="1:39" s="2" customFormat="1" ht="21.95" customHeight="1" thickBot="1" x14ac:dyDescent="0.25">
      <c r="A22" s="266"/>
      <c r="B22" s="266"/>
      <c r="C22" s="270" t="s">
        <v>31</v>
      </c>
      <c r="D22" s="270"/>
      <c r="E22" s="270"/>
      <c r="F22" s="270"/>
      <c r="G22" s="270"/>
      <c r="H22" s="270"/>
      <c r="I22" s="270"/>
      <c r="J22" s="270"/>
      <c r="K22" s="270"/>
      <c r="L22" s="270"/>
      <c r="M22" s="237">
        <f>SUM(M14:M21)</f>
        <v>0</v>
      </c>
      <c r="N22" s="237">
        <f t="shared" ref="N22:Q22" si="11">SUM(N14:N21)</f>
        <v>84196</v>
      </c>
      <c r="O22" s="237">
        <f t="shared" si="11"/>
        <v>81720</v>
      </c>
      <c r="P22" s="237">
        <f t="shared" si="11"/>
        <v>81719</v>
      </c>
      <c r="Q22" s="237">
        <f t="shared" si="11"/>
        <v>247635</v>
      </c>
      <c r="R22" s="238"/>
      <c r="S22" s="9"/>
      <c r="U22" s="1"/>
      <c r="V22" s="1"/>
      <c r="W22" s="1"/>
      <c r="X22" s="1"/>
      <c r="Y22" s="1"/>
      <c r="Z22" s="1"/>
      <c r="AA22" s="1"/>
      <c r="AB22" s="1"/>
      <c r="AC22" s="1"/>
      <c r="AD22" s="1"/>
      <c r="AE22" s="1"/>
      <c r="AF22" s="1"/>
      <c r="AG22" s="1"/>
      <c r="AH22" s="1"/>
      <c r="AI22" s="1"/>
      <c r="AJ22" s="1"/>
      <c r="AK22" s="1"/>
      <c r="AL22" s="1"/>
      <c r="AM22" s="1"/>
    </row>
    <row r="23" spans="1:39" ht="21.95" customHeight="1" thickBot="1" x14ac:dyDescent="0.25">
      <c r="A23" s="267"/>
      <c r="B23" s="270" t="s">
        <v>35</v>
      </c>
      <c r="C23" s="270"/>
      <c r="D23" s="270"/>
      <c r="E23" s="270"/>
      <c r="F23" s="270"/>
      <c r="G23" s="270"/>
      <c r="H23" s="270"/>
      <c r="I23" s="270"/>
      <c r="J23" s="270"/>
      <c r="K23" s="270"/>
      <c r="L23" s="270"/>
      <c r="M23" s="237">
        <f>M22</f>
        <v>0</v>
      </c>
      <c r="N23" s="237">
        <f t="shared" ref="N23:Q23" si="12">N22</f>
        <v>84196</v>
      </c>
      <c r="O23" s="237">
        <f t="shared" si="12"/>
        <v>81720</v>
      </c>
      <c r="P23" s="237">
        <f t="shared" si="12"/>
        <v>81719</v>
      </c>
      <c r="Q23" s="237">
        <f t="shared" si="12"/>
        <v>247635</v>
      </c>
      <c r="R23" s="238"/>
      <c r="T23" s="10"/>
      <c r="AC23" s="11"/>
      <c r="AF23" s="12"/>
      <c r="AG23" s="13"/>
    </row>
    <row r="24" spans="1:39" ht="21.95" customHeight="1" thickBot="1" x14ac:dyDescent="0.25">
      <c r="A24" s="271" t="s">
        <v>36</v>
      </c>
      <c r="B24" s="272"/>
      <c r="C24" s="272"/>
      <c r="D24" s="272"/>
      <c r="E24" s="272"/>
      <c r="F24" s="272"/>
      <c r="G24" s="272"/>
      <c r="H24" s="272"/>
      <c r="I24" s="272"/>
      <c r="J24" s="272"/>
      <c r="K24" s="272"/>
      <c r="L24" s="273"/>
      <c r="M24" s="237">
        <f t="shared" ref="M24:Q24" si="13">M13+M23</f>
        <v>0</v>
      </c>
      <c r="N24" s="237">
        <f t="shared" si="13"/>
        <v>87784</v>
      </c>
      <c r="O24" s="237">
        <f t="shared" si="13"/>
        <v>85203</v>
      </c>
      <c r="P24" s="237">
        <f t="shared" si="13"/>
        <v>85200</v>
      </c>
      <c r="Q24" s="237">
        <f t="shared" si="13"/>
        <v>258187</v>
      </c>
      <c r="R24" s="238"/>
      <c r="U24" s="14"/>
      <c r="AC24" s="15"/>
      <c r="AM24" s="16"/>
    </row>
    <row r="25" spans="1:39" ht="21.95" customHeight="1" thickBot="1" x14ac:dyDescent="0.25">
      <c r="A25" s="265" t="s">
        <v>37</v>
      </c>
      <c r="B25" s="268" t="s">
        <v>38</v>
      </c>
      <c r="C25" s="268" t="s">
        <v>17</v>
      </c>
      <c r="D25" s="268">
        <v>62000</v>
      </c>
      <c r="E25" s="268">
        <v>10003</v>
      </c>
      <c r="F25" s="235">
        <v>10242</v>
      </c>
      <c r="G25" s="235" t="s">
        <v>134</v>
      </c>
      <c r="H25" s="235" t="s">
        <v>135</v>
      </c>
      <c r="I25" s="235" t="s">
        <v>39</v>
      </c>
      <c r="J25" s="236" t="s">
        <v>19</v>
      </c>
      <c r="K25" s="235">
        <v>71200</v>
      </c>
      <c r="L25" s="235" t="s">
        <v>19</v>
      </c>
      <c r="M25" s="237">
        <f t="shared" ref="M25:O32" si="14">ROUND(M$2*$Q25,0)</f>
        <v>0</v>
      </c>
      <c r="N25" s="237">
        <f t="shared" si="14"/>
        <v>0</v>
      </c>
      <c r="O25" s="237">
        <f t="shared" si="14"/>
        <v>0</v>
      </c>
      <c r="P25" s="237">
        <f t="shared" ref="P25:P32" si="15">Q25-SUM(M25:O25)</f>
        <v>0</v>
      </c>
      <c r="Q25" s="237">
        <f t="shared" ref="Q25:Q32" si="16">ROUND($V$6*S25,0)</f>
        <v>0</v>
      </c>
      <c r="R25" s="238">
        <v>2</v>
      </c>
      <c r="S25" s="9">
        <f t="shared" ref="S25:S33" si="17">VLOOKUP(K25, rpacoreratio, 4, FALSE)*VLOOKUP(K25, rpacoreratio, 8, FALSE)</f>
        <v>0</v>
      </c>
    </row>
    <row r="26" spans="1:39" ht="21.95" customHeight="1" thickBot="1" x14ac:dyDescent="0.25">
      <c r="A26" s="266"/>
      <c r="B26" s="268"/>
      <c r="C26" s="268"/>
      <c r="D26" s="268"/>
      <c r="E26" s="268"/>
      <c r="F26" s="235">
        <v>10242</v>
      </c>
      <c r="G26" s="235" t="s">
        <v>134</v>
      </c>
      <c r="H26" s="235" t="s">
        <v>135</v>
      </c>
      <c r="I26" s="235" t="s">
        <v>39</v>
      </c>
      <c r="J26" s="236" t="s">
        <v>20</v>
      </c>
      <c r="K26" s="235">
        <v>71300</v>
      </c>
      <c r="L26" s="235" t="s">
        <v>20</v>
      </c>
      <c r="M26" s="237">
        <f t="shared" si="14"/>
        <v>0</v>
      </c>
      <c r="N26" s="237">
        <f t="shared" si="14"/>
        <v>188</v>
      </c>
      <c r="O26" s="237">
        <f t="shared" si="14"/>
        <v>182</v>
      </c>
      <c r="P26" s="237">
        <f t="shared" si="15"/>
        <v>183</v>
      </c>
      <c r="Q26" s="237">
        <f t="shared" si="16"/>
        <v>553</v>
      </c>
      <c r="R26" s="238">
        <v>3</v>
      </c>
      <c r="S26" s="9">
        <f t="shared" si="17"/>
        <v>1.1051829782922407E-2</v>
      </c>
    </row>
    <row r="27" spans="1:39" ht="21.95" customHeight="1" thickBot="1" x14ac:dyDescent="0.25">
      <c r="A27" s="266"/>
      <c r="B27" s="268"/>
      <c r="C27" s="268"/>
      <c r="D27" s="268"/>
      <c r="E27" s="268"/>
      <c r="F27" s="235">
        <v>10242</v>
      </c>
      <c r="G27" s="235" t="s">
        <v>134</v>
      </c>
      <c r="H27" s="235" t="s">
        <v>135</v>
      </c>
      <c r="I27" s="235" t="s">
        <v>39</v>
      </c>
      <c r="J27" s="236" t="s">
        <v>21</v>
      </c>
      <c r="K27" s="235">
        <v>71400</v>
      </c>
      <c r="L27" s="235" t="s">
        <v>22</v>
      </c>
      <c r="M27" s="237">
        <f t="shared" si="14"/>
        <v>0</v>
      </c>
      <c r="N27" s="237">
        <f t="shared" si="14"/>
        <v>2878</v>
      </c>
      <c r="O27" s="237">
        <f t="shared" si="14"/>
        <v>2793</v>
      </c>
      <c r="P27" s="237">
        <f t="shared" si="15"/>
        <v>2793</v>
      </c>
      <c r="Q27" s="237">
        <f t="shared" si="16"/>
        <v>8464</v>
      </c>
      <c r="R27" s="238">
        <v>5</v>
      </c>
      <c r="S27" s="9">
        <f t="shared" si="17"/>
        <v>0.16928576997853712</v>
      </c>
    </row>
    <row r="28" spans="1:39" ht="21.95" customHeight="1" thickBot="1" x14ac:dyDescent="0.25">
      <c r="A28" s="266"/>
      <c r="B28" s="268"/>
      <c r="C28" s="268"/>
      <c r="D28" s="268"/>
      <c r="E28" s="268"/>
      <c r="F28" s="235">
        <v>10242</v>
      </c>
      <c r="G28" s="235" t="s">
        <v>134</v>
      </c>
      <c r="H28" s="235" t="s">
        <v>135</v>
      </c>
      <c r="I28" s="235" t="s">
        <v>39</v>
      </c>
      <c r="J28" s="236" t="s">
        <v>23</v>
      </c>
      <c r="K28" s="235">
        <v>71600</v>
      </c>
      <c r="L28" s="235" t="s">
        <v>23</v>
      </c>
      <c r="M28" s="237">
        <f t="shared" si="14"/>
        <v>0</v>
      </c>
      <c r="N28" s="237">
        <f t="shared" si="14"/>
        <v>139</v>
      </c>
      <c r="O28" s="237">
        <f t="shared" si="14"/>
        <v>135</v>
      </c>
      <c r="P28" s="237">
        <f t="shared" si="15"/>
        <v>136</v>
      </c>
      <c r="Q28" s="237">
        <f t="shared" si="16"/>
        <v>410</v>
      </c>
      <c r="R28" s="238">
        <v>7</v>
      </c>
      <c r="S28" s="9">
        <f t="shared" si="17"/>
        <v>8.2070752783677953E-3</v>
      </c>
    </row>
    <row r="29" spans="1:39" ht="21.95" customHeight="1" thickBot="1" x14ac:dyDescent="0.25">
      <c r="A29" s="266"/>
      <c r="B29" s="268"/>
      <c r="C29" s="268"/>
      <c r="D29" s="268"/>
      <c r="E29" s="268"/>
      <c r="F29" s="235">
        <v>10242</v>
      </c>
      <c r="G29" s="235" t="s">
        <v>134</v>
      </c>
      <c r="H29" s="235" t="s">
        <v>135</v>
      </c>
      <c r="I29" s="235" t="s">
        <v>39</v>
      </c>
      <c r="J29" s="235" t="s">
        <v>24</v>
      </c>
      <c r="K29" s="235">
        <v>72500</v>
      </c>
      <c r="L29" s="235" t="s">
        <v>25</v>
      </c>
      <c r="M29" s="237">
        <f t="shared" si="14"/>
        <v>0</v>
      </c>
      <c r="N29" s="237">
        <f t="shared" si="14"/>
        <v>12</v>
      </c>
      <c r="O29" s="237">
        <f t="shared" si="14"/>
        <v>12</v>
      </c>
      <c r="P29" s="237">
        <f t="shared" si="15"/>
        <v>11</v>
      </c>
      <c r="Q29" s="237">
        <f t="shared" si="16"/>
        <v>35</v>
      </c>
      <c r="R29" s="238">
        <v>10</v>
      </c>
      <c r="S29" s="9">
        <f t="shared" si="17"/>
        <v>6.9784685471373947E-4</v>
      </c>
    </row>
    <row r="30" spans="1:39" ht="21.95" customHeight="1" thickBot="1" x14ac:dyDescent="0.25">
      <c r="A30" s="266"/>
      <c r="B30" s="268"/>
      <c r="C30" s="268"/>
      <c r="D30" s="268"/>
      <c r="E30" s="268"/>
      <c r="F30" s="235">
        <v>10242</v>
      </c>
      <c r="G30" s="235" t="s">
        <v>134</v>
      </c>
      <c r="H30" s="235" t="s">
        <v>135</v>
      </c>
      <c r="I30" s="235" t="s">
        <v>39</v>
      </c>
      <c r="J30" s="236" t="s">
        <v>26</v>
      </c>
      <c r="K30" s="235">
        <v>75700</v>
      </c>
      <c r="L30" s="235" t="s">
        <v>27</v>
      </c>
      <c r="M30" s="237">
        <f t="shared" si="14"/>
        <v>0</v>
      </c>
      <c r="N30" s="237">
        <f t="shared" si="14"/>
        <v>60</v>
      </c>
      <c r="O30" s="237">
        <f t="shared" si="14"/>
        <v>58</v>
      </c>
      <c r="P30" s="237">
        <f t="shared" si="15"/>
        <v>59</v>
      </c>
      <c r="Q30" s="237">
        <f t="shared" si="16"/>
        <v>177</v>
      </c>
      <c r="R30" s="238">
        <v>6</v>
      </c>
      <c r="S30" s="9">
        <f t="shared" si="17"/>
        <v>3.5324633912159568E-3</v>
      </c>
    </row>
    <row r="31" spans="1:39" ht="21.95" customHeight="1" thickBot="1" x14ac:dyDescent="0.25">
      <c r="A31" s="266"/>
      <c r="B31" s="268"/>
      <c r="C31" s="268"/>
      <c r="D31" s="268"/>
      <c r="E31" s="268"/>
      <c r="F31" s="235">
        <v>10242</v>
      </c>
      <c r="G31" s="235" t="s">
        <v>134</v>
      </c>
      <c r="H31" s="235" t="s">
        <v>135</v>
      </c>
      <c r="I31" s="235" t="s">
        <v>39</v>
      </c>
      <c r="J31" s="236" t="s">
        <v>28</v>
      </c>
      <c r="K31" s="235">
        <v>61200</v>
      </c>
      <c r="L31" s="235" t="s">
        <v>29</v>
      </c>
      <c r="M31" s="237">
        <f t="shared" si="14"/>
        <v>0</v>
      </c>
      <c r="N31" s="237">
        <f t="shared" si="14"/>
        <v>0</v>
      </c>
      <c r="O31" s="237">
        <f t="shared" si="14"/>
        <v>0</v>
      </c>
      <c r="P31" s="237">
        <f t="shared" si="15"/>
        <v>0</v>
      </c>
      <c r="Q31" s="237">
        <f t="shared" si="16"/>
        <v>0</v>
      </c>
      <c r="R31" s="238">
        <v>4</v>
      </c>
      <c r="S31" s="9">
        <f t="shared" si="17"/>
        <v>0</v>
      </c>
    </row>
    <row r="32" spans="1:39" ht="21.95" customHeight="1" thickBot="1" x14ac:dyDescent="0.25">
      <c r="A32" s="266"/>
      <c r="B32" s="268"/>
      <c r="C32" s="268"/>
      <c r="D32" s="268"/>
      <c r="E32" s="268"/>
      <c r="F32" s="235">
        <v>10242</v>
      </c>
      <c r="G32" s="235" t="s">
        <v>134</v>
      </c>
      <c r="H32" s="235" t="s">
        <v>135</v>
      </c>
      <c r="I32" s="235" t="s">
        <v>39</v>
      </c>
      <c r="J32" s="236" t="s">
        <v>28</v>
      </c>
      <c r="K32" s="235">
        <v>61300</v>
      </c>
      <c r="L32" s="235" t="s">
        <v>30</v>
      </c>
      <c r="M32" s="237">
        <f t="shared" si="14"/>
        <v>0</v>
      </c>
      <c r="N32" s="237">
        <f t="shared" si="14"/>
        <v>0</v>
      </c>
      <c r="O32" s="237">
        <f t="shared" si="14"/>
        <v>0</v>
      </c>
      <c r="P32" s="237">
        <f t="shared" si="15"/>
        <v>0</v>
      </c>
      <c r="Q32" s="237">
        <f t="shared" si="16"/>
        <v>0</v>
      </c>
      <c r="R32" s="238">
        <v>4</v>
      </c>
      <c r="S32" s="9">
        <f t="shared" si="17"/>
        <v>0</v>
      </c>
    </row>
    <row r="33" spans="1:39" s="2" customFormat="1" ht="21.95" customHeight="1" thickBot="1" x14ac:dyDescent="0.25">
      <c r="A33" s="266"/>
      <c r="B33" s="268"/>
      <c r="C33" s="268"/>
      <c r="D33" s="268"/>
      <c r="E33" s="268"/>
      <c r="F33" s="235">
        <v>10242</v>
      </c>
      <c r="G33" s="235" t="s">
        <v>134</v>
      </c>
      <c r="H33" s="235" t="s">
        <v>135</v>
      </c>
      <c r="I33" s="235" t="s">
        <v>39</v>
      </c>
      <c r="J33" s="236" t="s">
        <v>40</v>
      </c>
      <c r="K33" s="235">
        <v>72600</v>
      </c>
      <c r="L33" s="235" t="s">
        <v>40</v>
      </c>
      <c r="M33" s="237">
        <f>ROUND(M$1*$Q33, 0)</f>
        <v>0</v>
      </c>
      <c r="N33" s="237">
        <f t="shared" ref="N33:O33" si="18">ROUND(N$1*$Q33, 0)</f>
        <v>182727</v>
      </c>
      <c r="O33" s="237">
        <f t="shared" si="18"/>
        <v>182727</v>
      </c>
      <c r="P33" s="237">
        <f>Q33-SUM(M33:O33)</f>
        <v>91364.18</v>
      </c>
      <c r="Q33" s="237">
        <f>V4</f>
        <v>456818.18</v>
      </c>
      <c r="R33" s="238">
        <v>1</v>
      </c>
      <c r="S33" s="9">
        <f t="shared" si="17"/>
        <v>0</v>
      </c>
      <c r="U33" s="1"/>
      <c r="V33" s="1"/>
      <c r="W33" s="1"/>
      <c r="X33" s="1"/>
      <c r="Y33" s="1"/>
      <c r="Z33" s="1"/>
      <c r="AA33" s="1"/>
      <c r="AB33" s="1"/>
      <c r="AC33" s="1"/>
      <c r="AD33" s="1"/>
      <c r="AE33" s="1"/>
      <c r="AF33" s="1"/>
      <c r="AG33" s="1"/>
      <c r="AH33" s="1"/>
      <c r="AI33" s="1"/>
      <c r="AJ33" s="1"/>
      <c r="AK33" s="1"/>
      <c r="AL33" s="1"/>
      <c r="AM33" s="1"/>
    </row>
    <row r="34" spans="1:39" s="2" customFormat="1" ht="21.95" customHeight="1" thickBot="1" x14ac:dyDescent="0.25">
      <c r="A34" s="266"/>
      <c r="B34" s="268"/>
      <c r="C34" s="269" t="s">
        <v>31</v>
      </c>
      <c r="D34" s="269"/>
      <c r="E34" s="269"/>
      <c r="F34" s="269"/>
      <c r="G34" s="269"/>
      <c r="H34" s="269"/>
      <c r="I34" s="269"/>
      <c r="J34" s="269"/>
      <c r="K34" s="269"/>
      <c r="L34" s="269"/>
      <c r="M34" s="237">
        <f>SUM(M25:M33)</f>
        <v>0</v>
      </c>
      <c r="N34" s="237">
        <f t="shared" ref="N34:Q34" si="19">SUM(N25:N33)</f>
        <v>186004</v>
      </c>
      <c r="O34" s="237">
        <f t="shared" si="19"/>
        <v>185907</v>
      </c>
      <c r="P34" s="237">
        <f t="shared" si="19"/>
        <v>94546.18</v>
      </c>
      <c r="Q34" s="237">
        <f t="shared" si="19"/>
        <v>466457.18</v>
      </c>
      <c r="R34" s="238"/>
      <c r="S34" s="9"/>
      <c r="U34" s="1"/>
      <c r="V34" s="1"/>
      <c r="W34" s="1"/>
      <c r="X34" s="1"/>
      <c r="Y34" s="1"/>
      <c r="Z34" s="1"/>
      <c r="AA34" s="1"/>
      <c r="AB34" s="1"/>
      <c r="AC34" s="1"/>
      <c r="AD34" s="1"/>
      <c r="AE34" s="1"/>
      <c r="AF34" s="1"/>
      <c r="AG34" s="1"/>
      <c r="AH34" s="1"/>
      <c r="AI34" s="1"/>
      <c r="AJ34" s="1"/>
      <c r="AK34" s="1"/>
      <c r="AL34" s="1"/>
      <c r="AM34" s="1"/>
    </row>
    <row r="35" spans="1:39" s="2" customFormat="1" ht="21.95" customHeight="1" thickBot="1" x14ac:dyDescent="0.25">
      <c r="A35" s="266"/>
      <c r="B35" s="269" t="s">
        <v>41</v>
      </c>
      <c r="C35" s="269"/>
      <c r="D35" s="269"/>
      <c r="E35" s="269"/>
      <c r="F35" s="269"/>
      <c r="G35" s="269"/>
      <c r="H35" s="269"/>
      <c r="I35" s="269"/>
      <c r="J35" s="269"/>
      <c r="K35" s="269"/>
      <c r="L35" s="269"/>
      <c r="M35" s="237">
        <f>M34</f>
        <v>0</v>
      </c>
      <c r="N35" s="237">
        <f t="shared" ref="N35:Q35" si="20">N34</f>
        <v>186004</v>
      </c>
      <c r="O35" s="237">
        <f t="shared" si="20"/>
        <v>185907</v>
      </c>
      <c r="P35" s="237">
        <f t="shared" si="20"/>
        <v>94546.18</v>
      </c>
      <c r="Q35" s="237">
        <f t="shared" si="20"/>
        <v>466457.18</v>
      </c>
      <c r="R35" s="238"/>
      <c r="S35" s="9"/>
      <c r="U35" s="1"/>
      <c r="V35" s="1"/>
      <c r="W35" s="1"/>
      <c r="X35" s="1"/>
      <c r="Y35" s="1"/>
      <c r="Z35" s="1"/>
      <c r="AA35" s="1"/>
      <c r="AB35" s="1"/>
      <c r="AC35" s="1"/>
      <c r="AD35" s="1"/>
      <c r="AE35" s="1"/>
      <c r="AF35" s="1"/>
      <c r="AG35" s="1"/>
      <c r="AH35" s="1"/>
      <c r="AI35" s="1"/>
      <c r="AJ35" s="1"/>
      <c r="AK35" s="1"/>
      <c r="AL35" s="1"/>
      <c r="AM35" s="1"/>
    </row>
    <row r="36" spans="1:39" s="2" customFormat="1" ht="21.95" customHeight="1" thickBot="1" x14ac:dyDescent="0.25">
      <c r="A36" s="266"/>
      <c r="B36" s="265" t="s">
        <v>42</v>
      </c>
      <c r="C36" s="265" t="s">
        <v>17</v>
      </c>
      <c r="D36" s="265">
        <v>62000</v>
      </c>
      <c r="E36" s="265">
        <v>10003</v>
      </c>
      <c r="F36" s="235">
        <v>10242</v>
      </c>
      <c r="G36" s="235" t="s">
        <v>134</v>
      </c>
      <c r="H36" s="235" t="s">
        <v>135</v>
      </c>
      <c r="I36" s="235" t="s">
        <v>43</v>
      </c>
      <c r="J36" s="236" t="s">
        <v>19</v>
      </c>
      <c r="K36" s="235">
        <v>71200</v>
      </c>
      <c r="L36" s="235" t="s">
        <v>19</v>
      </c>
      <c r="M36" s="237">
        <f t="shared" ref="M36:O43" si="21">ROUND(M$2*$Q36,0)</f>
        <v>0</v>
      </c>
      <c r="N36" s="237">
        <f t="shared" si="21"/>
        <v>0</v>
      </c>
      <c r="O36" s="237">
        <f t="shared" si="21"/>
        <v>0</v>
      </c>
      <c r="P36" s="237">
        <f t="shared" ref="P36:P43" si="22">Q36-SUM(M36:O36)</f>
        <v>0</v>
      </c>
      <c r="Q36" s="237">
        <f t="shared" ref="Q36:Q43" si="23">ROUND($V$7*S36,0)</f>
        <v>0</v>
      </c>
      <c r="R36" s="238">
        <v>2</v>
      </c>
      <c r="S36" s="9">
        <f t="shared" ref="S36:S44" si="24">VLOOKUP(K36, rpastarratio, 4, FALSE)*VLOOKUP(K36, rpastarratio, 8, FALSE)</f>
        <v>0</v>
      </c>
      <c r="U36" s="1"/>
      <c r="V36" s="1"/>
      <c r="W36" s="1"/>
      <c r="X36" s="1"/>
      <c r="Y36" s="1"/>
      <c r="Z36" s="1"/>
      <c r="AA36" s="1"/>
      <c r="AB36" s="1"/>
      <c r="AC36" s="1"/>
      <c r="AD36" s="1"/>
      <c r="AE36" s="1"/>
      <c r="AF36" s="1"/>
      <c r="AG36" s="1"/>
      <c r="AH36" s="1"/>
      <c r="AI36" s="1"/>
      <c r="AJ36" s="1"/>
      <c r="AK36" s="1"/>
      <c r="AL36" s="1"/>
      <c r="AM36" s="1"/>
    </row>
    <row r="37" spans="1:39" s="2" customFormat="1" ht="21.95" customHeight="1" thickBot="1" x14ac:dyDescent="0.25">
      <c r="A37" s="266"/>
      <c r="B37" s="266"/>
      <c r="C37" s="266"/>
      <c r="D37" s="266"/>
      <c r="E37" s="266"/>
      <c r="F37" s="235">
        <v>10242</v>
      </c>
      <c r="G37" s="235" t="s">
        <v>134</v>
      </c>
      <c r="H37" s="235" t="s">
        <v>135</v>
      </c>
      <c r="I37" s="235" t="s">
        <v>43</v>
      </c>
      <c r="J37" s="236" t="s">
        <v>20</v>
      </c>
      <c r="K37" s="235">
        <v>71300</v>
      </c>
      <c r="L37" s="235" t="s">
        <v>20</v>
      </c>
      <c r="M37" s="237">
        <f t="shared" si="21"/>
        <v>0</v>
      </c>
      <c r="N37" s="237">
        <f t="shared" si="21"/>
        <v>4409</v>
      </c>
      <c r="O37" s="237">
        <f t="shared" si="21"/>
        <v>4279</v>
      </c>
      <c r="P37" s="237">
        <f t="shared" si="22"/>
        <v>4279</v>
      </c>
      <c r="Q37" s="237">
        <f t="shared" si="23"/>
        <v>12967</v>
      </c>
      <c r="R37" s="238">
        <v>3</v>
      </c>
      <c r="S37" s="9">
        <f t="shared" si="24"/>
        <v>1.1051829782922401E-2</v>
      </c>
      <c r="U37" s="1"/>
      <c r="V37" s="1"/>
      <c r="W37" s="1"/>
      <c r="X37" s="1"/>
      <c r="Y37" s="1"/>
      <c r="Z37" s="1"/>
      <c r="AA37" s="1"/>
      <c r="AB37" s="1"/>
      <c r="AC37" s="1"/>
      <c r="AD37" s="1"/>
      <c r="AE37" s="1"/>
      <c r="AF37" s="1"/>
      <c r="AG37" s="1"/>
      <c r="AH37" s="1"/>
      <c r="AI37" s="1"/>
      <c r="AJ37" s="1"/>
      <c r="AK37" s="1"/>
      <c r="AL37" s="1"/>
      <c r="AM37" s="1"/>
    </row>
    <row r="38" spans="1:39" s="2" customFormat="1" ht="21.95" customHeight="1" thickBot="1" x14ac:dyDescent="0.25">
      <c r="A38" s="266"/>
      <c r="B38" s="266"/>
      <c r="C38" s="266"/>
      <c r="D38" s="266"/>
      <c r="E38" s="266"/>
      <c r="F38" s="235">
        <v>10242</v>
      </c>
      <c r="G38" s="235" t="s">
        <v>134</v>
      </c>
      <c r="H38" s="235" t="s">
        <v>135</v>
      </c>
      <c r="I38" s="235" t="s">
        <v>43</v>
      </c>
      <c r="J38" s="236" t="s">
        <v>21</v>
      </c>
      <c r="K38" s="235">
        <v>71400</v>
      </c>
      <c r="L38" s="235" t="s">
        <v>22</v>
      </c>
      <c r="M38" s="237">
        <f t="shared" si="21"/>
        <v>0</v>
      </c>
      <c r="N38" s="237">
        <f t="shared" si="21"/>
        <v>67533</v>
      </c>
      <c r="O38" s="237">
        <f t="shared" si="21"/>
        <v>65547</v>
      </c>
      <c r="P38" s="237">
        <f t="shared" si="22"/>
        <v>65546</v>
      </c>
      <c r="Q38" s="237">
        <f t="shared" si="23"/>
        <v>198626</v>
      </c>
      <c r="R38" s="238">
        <v>5</v>
      </c>
      <c r="S38" s="9">
        <f t="shared" si="24"/>
        <v>0.16928576997853703</v>
      </c>
      <c r="U38" s="1"/>
      <c r="V38" s="1"/>
      <c r="W38" s="1"/>
      <c r="X38" s="1"/>
      <c r="Y38" s="1"/>
      <c r="Z38" s="1"/>
      <c r="AA38" s="1"/>
      <c r="AB38" s="1"/>
      <c r="AC38" s="1"/>
      <c r="AD38" s="1"/>
      <c r="AE38" s="1"/>
      <c r="AF38" s="1"/>
      <c r="AG38" s="1"/>
      <c r="AH38" s="1"/>
      <c r="AI38" s="1"/>
      <c r="AJ38" s="1"/>
      <c r="AK38" s="1"/>
      <c r="AL38" s="1"/>
      <c r="AM38" s="1"/>
    </row>
    <row r="39" spans="1:39" s="2" customFormat="1" ht="21.95" customHeight="1" thickBot="1" x14ac:dyDescent="0.25">
      <c r="A39" s="266"/>
      <c r="B39" s="266"/>
      <c r="C39" s="266"/>
      <c r="D39" s="266"/>
      <c r="E39" s="266"/>
      <c r="F39" s="235">
        <v>10242</v>
      </c>
      <c r="G39" s="235" t="s">
        <v>134</v>
      </c>
      <c r="H39" s="235" t="s">
        <v>135</v>
      </c>
      <c r="I39" s="235" t="s">
        <v>43</v>
      </c>
      <c r="J39" s="236" t="s">
        <v>23</v>
      </c>
      <c r="K39" s="235">
        <v>71600</v>
      </c>
      <c r="L39" s="235" t="s">
        <v>23</v>
      </c>
      <c r="M39" s="237">
        <f t="shared" si="21"/>
        <v>0</v>
      </c>
      <c r="N39" s="237">
        <f t="shared" si="21"/>
        <v>3274</v>
      </c>
      <c r="O39" s="237">
        <f t="shared" si="21"/>
        <v>3178</v>
      </c>
      <c r="P39" s="237">
        <f t="shared" si="22"/>
        <v>3178</v>
      </c>
      <c r="Q39" s="237">
        <f t="shared" si="23"/>
        <v>9630</v>
      </c>
      <c r="R39" s="238">
        <v>7</v>
      </c>
      <c r="S39" s="9">
        <f t="shared" si="24"/>
        <v>8.2070752783677901E-3</v>
      </c>
      <c r="U39" s="1"/>
      <c r="V39" s="1"/>
      <c r="W39" s="1"/>
      <c r="X39" s="1"/>
      <c r="Y39" s="1"/>
      <c r="Z39" s="1"/>
      <c r="AA39" s="1"/>
      <c r="AB39" s="1"/>
      <c r="AC39" s="1"/>
      <c r="AD39" s="1"/>
      <c r="AE39" s="1"/>
      <c r="AF39" s="1"/>
      <c r="AG39" s="1"/>
      <c r="AH39" s="1"/>
      <c r="AI39" s="1"/>
      <c r="AJ39" s="1"/>
      <c r="AK39" s="1"/>
      <c r="AL39" s="1"/>
      <c r="AM39" s="1"/>
    </row>
    <row r="40" spans="1:39" s="2" customFormat="1" ht="21.95" customHeight="1" thickBot="1" x14ac:dyDescent="0.25">
      <c r="A40" s="266"/>
      <c r="B40" s="266"/>
      <c r="C40" s="266"/>
      <c r="D40" s="266"/>
      <c r="E40" s="266"/>
      <c r="F40" s="235">
        <v>10242</v>
      </c>
      <c r="G40" s="235" t="s">
        <v>134</v>
      </c>
      <c r="H40" s="235" t="s">
        <v>135</v>
      </c>
      <c r="I40" s="235" t="s">
        <v>43</v>
      </c>
      <c r="J40" s="235" t="s">
        <v>24</v>
      </c>
      <c r="K40" s="235">
        <v>72500</v>
      </c>
      <c r="L40" s="235" t="s">
        <v>25</v>
      </c>
      <c r="M40" s="237">
        <f t="shared" si="21"/>
        <v>0</v>
      </c>
      <c r="N40" s="237">
        <f t="shared" si="21"/>
        <v>278</v>
      </c>
      <c r="O40" s="237">
        <f t="shared" si="21"/>
        <v>270</v>
      </c>
      <c r="P40" s="237">
        <f t="shared" si="22"/>
        <v>271</v>
      </c>
      <c r="Q40" s="237">
        <f t="shared" si="23"/>
        <v>819</v>
      </c>
      <c r="R40" s="238">
        <v>10</v>
      </c>
      <c r="S40" s="9">
        <f t="shared" si="24"/>
        <v>6.9784685471373903E-4</v>
      </c>
      <c r="U40" s="1"/>
      <c r="V40" s="1"/>
      <c r="W40" s="1"/>
      <c r="X40" s="1"/>
      <c r="Y40" s="1"/>
      <c r="Z40" s="1"/>
      <c r="AA40" s="1"/>
      <c r="AB40" s="1"/>
      <c r="AC40" s="1"/>
      <c r="AD40" s="1"/>
      <c r="AE40" s="1"/>
      <c r="AF40" s="1"/>
      <c r="AG40" s="1"/>
      <c r="AH40" s="1"/>
      <c r="AI40" s="1"/>
      <c r="AJ40" s="1"/>
      <c r="AK40" s="1"/>
      <c r="AL40" s="1"/>
      <c r="AM40" s="1"/>
    </row>
    <row r="41" spans="1:39" ht="21.95" customHeight="1" thickBot="1" x14ac:dyDescent="0.25">
      <c r="A41" s="266"/>
      <c r="B41" s="266"/>
      <c r="C41" s="266"/>
      <c r="D41" s="266"/>
      <c r="E41" s="266"/>
      <c r="F41" s="235">
        <v>10242</v>
      </c>
      <c r="G41" s="235" t="s">
        <v>134</v>
      </c>
      <c r="H41" s="235" t="s">
        <v>135</v>
      </c>
      <c r="I41" s="235" t="s">
        <v>43</v>
      </c>
      <c r="J41" s="236" t="s">
        <v>26</v>
      </c>
      <c r="K41" s="235">
        <v>75700</v>
      </c>
      <c r="L41" s="235" t="s">
        <v>27</v>
      </c>
      <c r="M41" s="237">
        <f t="shared" si="21"/>
        <v>0</v>
      </c>
      <c r="N41" s="237">
        <f t="shared" si="21"/>
        <v>1409</v>
      </c>
      <c r="O41" s="237">
        <f t="shared" si="21"/>
        <v>1368</v>
      </c>
      <c r="P41" s="237">
        <f t="shared" si="22"/>
        <v>1368</v>
      </c>
      <c r="Q41" s="237">
        <f t="shared" si="23"/>
        <v>4145</v>
      </c>
      <c r="R41" s="238">
        <v>6</v>
      </c>
      <c r="S41" s="9">
        <f t="shared" si="24"/>
        <v>3.532463391215955E-3</v>
      </c>
    </row>
    <row r="42" spans="1:39" ht="21.95" customHeight="1" thickBot="1" x14ac:dyDescent="0.25">
      <c r="A42" s="266"/>
      <c r="B42" s="266"/>
      <c r="C42" s="266"/>
      <c r="D42" s="266"/>
      <c r="E42" s="266"/>
      <c r="F42" s="235">
        <v>10242</v>
      </c>
      <c r="G42" s="235" t="s">
        <v>134</v>
      </c>
      <c r="H42" s="235" t="s">
        <v>135</v>
      </c>
      <c r="I42" s="235" t="s">
        <v>43</v>
      </c>
      <c r="J42" s="236" t="s">
        <v>28</v>
      </c>
      <c r="K42" s="235">
        <v>61200</v>
      </c>
      <c r="L42" s="235" t="s">
        <v>29</v>
      </c>
      <c r="M42" s="237">
        <f t="shared" si="21"/>
        <v>0</v>
      </c>
      <c r="N42" s="237">
        <f t="shared" si="21"/>
        <v>0</v>
      </c>
      <c r="O42" s="237">
        <f t="shared" si="21"/>
        <v>0</v>
      </c>
      <c r="P42" s="237">
        <f t="shared" si="22"/>
        <v>0</v>
      </c>
      <c r="Q42" s="237">
        <f t="shared" si="23"/>
        <v>0</v>
      </c>
      <c r="R42" s="238">
        <v>4</v>
      </c>
      <c r="S42" s="9">
        <f t="shared" si="24"/>
        <v>0</v>
      </c>
    </row>
    <row r="43" spans="1:39" ht="21.95" customHeight="1" thickBot="1" x14ac:dyDescent="0.25">
      <c r="A43" s="266"/>
      <c r="B43" s="266"/>
      <c r="C43" s="266"/>
      <c r="D43" s="266"/>
      <c r="E43" s="266"/>
      <c r="F43" s="235">
        <v>10242</v>
      </c>
      <c r="G43" s="235" t="s">
        <v>134</v>
      </c>
      <c r="H43" s="235" t="s">
        <v>135</v>
      </c>
      <c r="I43" s="235" t="s">
        <v>43</v>
      </c>
      <c r="J43" s="236" t="s">
        <v>28</v>
      </c>
      <c r="K43" s="235">
        <v>61300</v>
      </c>
      <c r="L43" s="235" t="s">
        <v>30</v>
      </c>
      <c r="M43" s="237">
        <f t="shared" si="21"/>
        <v>0</v>
      </c>
      <c r="N43" s="237">
        <f t="shared" si="21"/>
        <v>0</v>
      </c>
      <c r="O43" s="237">
        <f t="shared" si="21"/>
        <v>0</v>
      </c>
      <c r="P43" s="237">
        <f t="shared" si="22"/>
        <v>0</v>
      </c>
      <c r="Q43" s="237">
        <f t="shared" si="23"/>
        <v>0</v>
      </c>
      <c r="R43" s="238">
        <v>4</v>
      </c>
      <c r="S43" s="9">
        <f t="shared" si="24"/>
        <v>0</v>
      </c>
    </row>
    <row r="44" spans="1:39" ht="21.95" customHeight="1" thickBot="1" x14ac:dyDescent="0.25">
      <c r="A44" s="266"/>
      <c r="B44" s="266"/>
      <c r="C44" s="267"/>
      <c r="D44" s="267"/>
      <c r="E44" s="267"/>
      <c r="F44" s="235">
        <v>10242</v>
      </c>
      <c r="G44" s="235" t="s">
        <v>134</v>
      </c>
      <c r="H44" s="235" t="s">
        <v>135</v>
      </c>
      <c r="I44" s="235" t="s">
        <v>43</v>
      </c>
      <c r="J44" s="236" t="s">
        <v>40</v>
      </c>
      <c r="K44" s="235">
        <v>72600</v>
      </c>
      <c r="L44" s="235" t="s">
        <v>40</v>
      </c>
      <c r="M44" s="237">
        <f>ROUND(M$1*$Q44,0)</f>
        <v>0</v>
      </c>
      <c r="N44" s="237">
        <f t="shared" ref="N44:O44" si="25">ROUND(N$1*$Q44,0)</f>
        <v>1340000</v>
      </c>
      <c r="O44" s="237">
        <f t="shared" si="25"/>
        <v>1340000</v>
      </c>
      <c r="P44" s="237">
        <f>Q44-SUM(M44:O44)</f>
        <v>670000</v>
      </c>
      <c r="Q44" s="237">
        <f>ROUND(V5,0)</f>
        <v>3350000</v>
      </c>
      <c r="R44" s="238">
        <v>1</v>
      </c>
      <c r="S44" s="9">
        <f t="shared" si="24"/>
        <v>0</v>
      </c>
    </row>
    <row r="45" spans="1:39" ht="21.95" customHeight="1" thickBot="1" x14ac:dyDescent="0.25">
      <c r="A45" s="266"/>
      <c r="B45" s="266"/>
      <c r="C45" s="270" t="s">
        <v>31</v>
      </c>
      <c r="D45" s="270"/>
      <c r="E45" s="270"/>
      <c r="F45" s="270"/>
      <c r="G45" s="270"/>
      <c r="H45" s="270"/>
      <c r="I45" s="270"/>
      <c r="J45" s="270"/>
      <c r="K45" s="270"/>
      <c r="L45" s="270"/>
      <c r="M45" s="237">
        <f>SUM(M36:M44)</f>
        <v>0</v>
      </c>
      <c r="N45" s="237">
        <f t="shared" ref="N45:Q45" si="26">SUM(N36:N44)</f>
        <v>1416903</v>
      </c>
      <c r="O45" s="237">
        <f t="shared" si="26"/>
        <v>1414642</v>
      </c>
      <c r="P45" s="237">
        <f t="shared" si="26"/>
        <v>744642</v>
      </c>
      <c r="Q45" s="237">
        <f t="shared" si="26"/>
        <v>3576187</v>
      </c>
      <c r="R45" s="238"/>
      <c r="S45" s="9"/>
    </row>
    <row r="46" spans="1:39" ht="21.95" customHeight="1" thickBot="1" x14ac:dyDescent="0.25">
      <c r="A46" s="267"/>
      <c r="B46" s="270" t="s">
        <v>44</v>
      </c>
      <c r="C46" s="270"/>
      <c r="D46" s="270"/>
      <c r="E46" s="270"/>
      <c r="F46" s="270"/>
      <c r="G46" s="270"/>
      <c r="H46" s="270"/>
      <c r="I46" s="270"/>
      <c r="J46" s="270"/>
      <c r="K46" s="270"/>
      <c r="L46" s="270"/>
      <c r="M46" s="237">
        <f>M45</f>
        <v>0</v>
      </c>
      <c r="N46" s="237">
        <f t="shared" ref="N46:Q46" si="27">N45</f>
        <v>1416903</v>
      </c>
      <c r="O46" s="237">
        <f t="shared" si="27"/>
        <v>1414642</v>
      </c>
      <c r="P46" s="237">
        <f t="shared" si="27"/>
        <v>744642</v>
      </c>
      <c r="Q46" s="237">
        <f t="shared" si="27"/>
        <v>3576187</v>
      </c>
      <c r="R46" s="238"/>
      <c r="T46" s="10"/>
      <c r="AC46" s="11"/>
      <c r="AF46" s="12"/>
      <c r="AG46" s="13"/>
    </row>
    <row r="47" spans="1:39" ht="21.95" customHeight="1" thickBot="1" x14ac:dyDescent="0.25">
      <c r="A47" s="271" t="s">
        <v>45</v>
      </c>
      <c r="B47" s="272"/>
      <c r="C47" s="272"/>
      <c r="D47" s="272"/>
      <c r="E47" s="272"/>
      <c r="F47" s="272"/>
      <c r="G47" s="272"/>
      <c r="H47" s="272"/>
      <c r="I47" s="272"/>
      <c r="J47" s="272"/>
      <c r="K47" s="272"/>
      <c r="L47" s="273"/>
      <c r="M47" s="237">
        <f t="shared" ref="M47:Q47" si="28">M35+M46</f>
        <v>0</v>
      </c>
      <c r="N47" s="237">
        <f t="shared" si="28"/>
        <v>1602907</v>
      </c>
      <c r="O47" s="237">
        <f t="shared" si="28"/>
        <v>1600549</v>
      </c>
      <c r="P47" s="237">
        <f t="shared" si="28"/>
        <v>839188.17999999993</v>
      </c>
      <c r="Q47" s="237">
        <f t="shared" si="28"/>
        <v>4042644.18</v>
      </c>
      <c r="R47" s="238"/>
      <c r="U47" s="14"/>
      <c r="AC47" s="15"/>
      <c r="AM47" s="16"/>
    </row>
    <row r="48" spans="1:39" s="2" customFormat="1" ht="21.95" customHeight="1" thickBot="1" x14ac:dyDescent="0.25">
      <c r="A48" s="265" t="s">
        <v>46</v>
      </c>
      <c r="B48" s="268" t="s">
        <v>47</v>
      </c>
      <c r="C48" s="268" t="s">
        <v>17</v>
      </c>
      <c r="D48" s="268">
        <v>62000</v>
      </c>
      <c r="E48" s="268">
        <v>10003</v>
      </c>
      <c r="F48" s="235">
        <v>10242</v>
      </c>
      <c r="G48" s="235" t="s">
        <v>134</v>
      </c>
      <c r="H48" s="235" t="s">
        <v>135</v>
      </c>
      <c r="I48" s="235" t="s">
        <v>48</v>
      </c>
      <c r="J48" s="236" t="s">
        <v>19</v>
      </c>
      <c r="K48" s="235">
        <v>71200</v>
      </c>
      <c r="L48" s="235" t="s">
        <v>19</v>
      </c>
      <c r="M48" s="237">
        <f t="shared" ref="M48:O56" si="29">ROUND(M$2*$Q48,0)</f>
        <v>0</v>
      </c>
      <c r="N48" s="237">
        <f t="shared" si="29"/>
        <v>0</v>
      </c>
      <c r="O48" s="237">
        <f t="shared" si="29"/>
        <v>0</v>
      </c>
      <c r="P48" s="237">
        <f t="shared" ref="P48:P56" si="30">Q48-SUM(M48:O48)</f>
        <v>0</v>
      </c>
      <c r="Q48" s="237">
        <f t="shared" ref="Q48:Q56" si="31">ROUND($V$6*S48,0)</f>
        <v>0</v>
      </c>
      <c r="R48" s="238">
        <v>2</v>
      </c>
      <c r="S48" s="9">
        <f t="shared" ref="S48:S56" si="32">VLOOKUP(K48, rpacoreratio, 5, FALSE)*VLOOKUP(K48, rpacoreratio, 8, FALSE)</f>
        <v>0</v>
      </c>
      <c r="U48" s="1"/>
      <c r="V48" s="1"/>
      <c r="W48" s="1"/>
      <c r="X48" s="1"/>
      <c r="Y48" s="1"/>
      <c r="Z48" s="1"/>
      <c r="AA48" s="1"/>
      <c r="AB48" s="1"/>
      <c r="AC48" s="1"/>
      <c r="AD48" s="1"/>
      <c r="AE48" s="1"/>
      <c r="AF48" s="1"/>
      <c r="AG48" s="1"/>
      <c r="AH48" s="1"/>
      <c r="AI48" s="1"/>
      <c r="AJ48" s="1"/>
      <c r="AK48" s="1"/>
      <c r="AL48" s="1"/>
      <c r="AM48" s="1"/>
    </row>
    <row r="49" spans="1:39" s="2" customFormat="1" ht="21.95" customHeight="1" thickBot="1" x14ac:dyDescent="0.25">
      <c r="A49" s="266"/>
      <c r="B49" s="268"/>
      <c r="C49" s="268"/>
      <c r="D49" s="268"/>
      <c r="E49" s="268"/>
      <c r="F49" s="235">
        <v>10242</v>
      </c>
      <c r="G49" s="235" t="s">
        <v>134</v>
      </c>
      <c r="H49" s="235" t="s">
        <v>135</v>
      </c>
      <c r="I49" s="235" t="s">
        <v>48</v>
      </c>
      <c r="J49" s="236" t="s">
        <v>20</v>
      </c>
      <c r="K49" s="235">
        <v>71300</v>
      </c>
      <c r="L49" s="235" t="s">
        <v>20</v>
      </c>
      <c r="M49" s="237">
        <f t="shared" si="29"/>
        <v>0</v>
      </c>
      <c r="N49" s="237">
        <f t="shared" si="29"/>
        <v>104</v>
      </c>
      <c r="O49" s="237">
        <f t="shared" si="29"/>
        <v>101</v>
      </c>
      <c r="P49" s="237">
        <f t="shared" si="30"/>
        <v>101</v>
      </c>
      <c r="Q49" s="237">
        <f t="shared" si="31"/>
        <v>306</v>
      </c>
      <c r="R49" s="238">
        <v>3</v>
      </c>
      <c r="S49" s="9">
        <f t="shared" si="32"/>
        <v>6.1210093879457608E-3</v>
      </c>
      <c r="U49" s="1"/>
      <c r="V49" s="1"/>
      <c r="W49" s="1"/>
      <c r="X49" s="1"/>
      <c r="Y49" s="1"/>
      <c r="Z49" s="1"/>
      <c r="AA49" s="1"/>
      <c r="AB49" s="1"/>
      <c r="AC49" s="1"/>
      <c r="AD49" s="1"/>
      <c r="AE49" s="1"/>
      <c r="AF49" s="1"/>
      <c r="AG49" s="1"/>
      <c r="AH49" s="1"/>
      <c r="AI49" s="1"/>
      <c r="AJ49" s="1"/>
      <c r="AK49" s="1"/>
      <c r="AL49" s="1"/>
      <c r="AM49" s="1"/>
    </row>
    <row r="50" spans="1:39" s="2" customFormat="1" ht="21.95" customHeight="1" thickBot="1" x14ac:dyDescent="0.25">
      <c r="A50" s="266"/>
      <c r="B50" s="268"/>
      <c r="C50" s="268"/>
      <c r="D50" s="268"/>
      <c r="E50" s="268"/>
      <c r="F50" s="235">
        <v>10242</v>
      </c>
      <c r="G50" s="235" t="s">
        <v>134</v>
      </c>
      <c r="H50" s="235" t="s">
        <v>135</v>
      </c>
      <c r="I50" s="235" t="s">
        <v>48</v>
      </c>
      <c r="J50" s="236" t="s">
        <v>21</v>
      </c>
      <c r="K50" s="235">
        <v>71400</v>
      </c>
      <c r="L50" s="235" t="s">
        <v>22</v>
      </c>
      <c r="M50" s="237">
        <f t="shared" si="29"/>
        <v>0</v>
      </c>
      <c r="N50" s="237">
        <f t="shared" si="29"/>
        <v>1567</v>
      </c>
      <c r="O50" s="237">
        <f t="shared" si="29"/>
        <v>1521</v>
      </c>
      <c r="P50" s="237">
        <f t="shared" si="30"/>
        <v>1521</v>
      </c>
      <c r="Q50" s="237">
        <f t="shared" si="31"/>
        <v>4609</v>
      </c>
      <c r="R50" s="238">
        <v>5</v>
      </c>
      <c r="S50" s="9">
        <f t="shared" si="32"/>
        <v>9.2177594545789457E-2</v>
      </c>
      <c r="U50" s="1"/>
      <c r="V50" s="1"/>
      <c r="W50" s="1"/>
      <c r="X50" s="1"/>
      <c r="Y50" s="1"/>
      <c r="Z50" s="1"/>
      <c r="AA50" s="1"/>
      <c r="AB50" s="1"/>
      <c r="AC50" s="1"/>
      <c r="AD50" s="1"/>
      <c r="AE50" s="1"/>
      <c r="AF50" s="1"/>
      <c r="AG50" s="1"/>
      <c r="AH50" s="1"/>
      <c r="AI50" s="1"/>
      <c r="AJ50" s="1"/>
      <c r="AK50" s="1"/>
      <c r="AL50" s="1"/>
      <c r="AM50" s="1"/>
    </row>
    <row r="51" spans="1:39" s="2" customFormat="1" ht="21.95" customHeight="1" thickBot="1" x14ac:dyDescent="0.25">
      <c r="A51" s="266"/>
      <c r="B51" s="268"/>
      <c r="C51" s="268"/>
      <c r="D51" s="268"/>
      <c r="E51" s="268"/>
      <c r="F51" s="235">
        <v>10242</v>
      </c>
      <c r="G51" s="235" t="s">
        <v>134</v>
      </c>
      <c r="H51" s="235" t="s">
        <v>135</v>
      </c>
      <c r="I51" s="235" t="s">
        <v>48</v>
      </c>
      <c r="J51" s="236" t="s">
        <v>23</v>
      </c>
      <c r="K51" s="235">
        <v>71600</v>
      </c>
      <c r="L51" s="235" t="s">
        <v>23</v>
      </c>
      <c r="M51" s="237">
        <f t="shared" si="29"/>
        <v>0</v>
      </c>
      <c r="N51" s="237">
        <f t="shared" si="29"/>
        <v>301</v>
      </c>
      <c r="O51" s="237">
        <f t="shared" si="29"/>
        <v>292</v>
      </c>
      <c r="P51" s="237">
        <f t="shared" si="30"/>
        <v>291</v>
      </c>
      <c r="Q51" s="237">
        <f t="shared" si="31"/>
        <v>884</v>
      </c>
      <c r="R51" s="238">
        <v>7</v>
      </c>
      <c r="S51" s="9">
        <f t="shared" si="32"/>
        <v>1.768655089038422E-2</v>
      </c>
      <c r="U51" s="1"/>
      <c r="V51" s="1"/>
      <c r="W51" s="1"/>
      <c r="X51" s="1"/>
      <c r="Y51" s="1"/>
      <c r="Z51" s="1"/>
      <c r="AA51" s="1"/>
      <c r="AB51" s="1"/>
      <c r="AC51" s="1"/>
      <c r="AD51" s="1"/>
      <c r="AE51" s="1"/>
      <c r="AF51" s="1"/>
      <c r="AG51" s="1"/>
      <c r="AH51" s="1"/>
      <c r="AI51" s="1"/>
      <c r="AJ51" s="1"/>
      <c r="AK51" s="1"/>
      <c r="AL51" s="1"/>
      <c r="AM51" s="1"/>
    </row>
    <row r="52" spans="1:39" s="2" customFormat="1" ht="21.95" customHeight="1" thickBot="1" x14ac:dyDescent="0.25">
      <c r="A52" s="266"/>
      <c r="B52" s="268"/>
      <c r="C52" s="268"/>
      <c r="D52" s="268"/>
      <c r="E52" s="268"/>
      <c r="F52" s="235">
        <v>10242</v>
      </c>
      <c r="G52" s="235" t="s">
        <v>134</v>
      </c>
      <c r="H52" s="235" t="s">
        <v>135</v>
      </c>
      <c r="I52" s="235" t="s">
        <v>48</v>
      </c>
      <c r="J52" s="236" t="s">
        <v>24</v>
      </c>
      <c r="K52" s="235">
        <v>72500</v>
      </c>
      <c r="L52" s="235" t="s">
        <v>25</v>
      </c>
      <c r="M52" s="237">
        <f t="shared" si="29"/>
        <v>0</v>
      </c>
      <c r="N52" s="237">
        <f t="shared" si="29"/>
        <v>6</v>
      </c>
      <c r="O52" s="237">
        <f t="shared" si="29"/>
        <v>6</v>
      </c>
      <c r="P52" s="237">
        <f t="shared" si="30"/>
        <v>7</v>
      </c>
      <c r="Q52" s="237">
        <f t="shared" si="31"/>
        <v>19</v>
      </c>
      <c r="R52" s="238">
        <v>10</v>
      </c>
      <c r="S52" s="9">
        <f t="shared" si="32"/>
        <v>3.8649921662828888E-4</v>
      </c>
      <c r="U52" s="1"/>
      <c r="V52" s="1"/>
      <c r="W52" s="1"/>
      <c r="X52" s="1"/>
      <c r="Y52" s="1"/>
      <c r="Z52" s="1"/>
      <c r="AA52" s="1"/>
      <c r="AB52" s="1"/>
      <c r="AC52" s="1"/>
      <c r="AD52" s="1"/>
      <c r="AE52" s="1"/>
      <c r="AF52" s="1"/>
      <c r="AG52" s="1"/>
      <c r="AH52" s="1"/>
      <c r="AI52" s="1"/>
      <c r="AJ52" s="1"/>
      <c r="AK52" s="1"/>
      <c r="AL52" s="1"/>
      <c r="AM52" s="1"/>
    </row>
    <row r="53" spans="1:39" s="2" customFormat="1" ht="21.95" customHeight="1" thickBot="1" x14ac:dyDescent="0.25">
      <c r="A53" s="266"/>
      <c r="B53" s="268"/>
      <c r="C53" s="268"/>
      <c r="D53" s="268"/>
      <c r="E53" s="268"/>
      <c r="F53" s="235">
        <v>10242</v>
      </c>
      <c r="G53" s="235" t="s">
        <v>134</v>
      </c>
      <c r="H53" s="235" t="s">
        <v>135</v>
      </c>
      <c r="I53" s="235" t="s">
        <v>48</v>
      </c>
      <c r="J53" s="236" t="s">
        <v>23</v>
      </c>
      <c r="K53" s="235">
        <v>74500</v>
      </c>
      <c r="L53" s="235" t="s">
        <v>49</v>
      </c>
      <c r="M53" s="237">
        <f t="shared" si="29"/>
        <v>0</v>
      </c>
      <c r="N53" s="237">
        <f t="shared" si="29"/>
        <v>7</v>
      </c>
      <c r="O53" s="237">
        <f t="shared" si="29"/>
        <v>7</v>
      </c>
      <c r="P53" s="237">
        <f t="shared" si="30"/>
        <v>6</v>
      </c>
      <c r="Q53" s="237">
        <f t="shared" si="31"/>
        <v>20</v>
      </c>
      <c r="R53" s="238">
        <v>11</v>
      </c>
      <c r="S53" s="9">
        <f t="shared" si="32"/>
        <v>4.0236622493648098E-4</v>
      </c>
      <c r="U53" s="1"/>
      <c r="V53" s="1"/>
      <c r="W53" s="1"/>
      <c r="X53" s="1"/>
      <c r="Y53" s="1"/>
      <c r="Z53" s="1"/>
      <c r="AA53" s="1"/>
      <c r="AB53" s="1"/>
      <c r="AC53" s="1"/>
      <c r="AD53" s="1"/>
      <c r="AE53" s="1"/>
      <c r="AF53" s="1"/>
      <c r="AG53" s="1"/>
      <c r="AH53" s="1"/>
      <c r="AI53" s="1"/>
      <c r="AJ53" s="1"/>
      <c r="AK53" s="1"/>
      <c r="AL53" s="1"/>
      <c r="AM53" s="1"/>
    </row>
    <row r="54" spans="1:39" s="2" customFormat="1" ht="21.95" customHeight="1" thickBot="1" x14ac:dyDescent="0.25">
      <c r="A54" s="266"/>
      <c r="B54" s="268"/>
      <c r="C54" s="268"/>
      <c r="D54" s="268"/>
      <c r="E54" s="268"/>
      <c r="F54" s="235">
        <v>10242</v>
      </c>
      <c r="G54" s="235" t="s">
        <v>134</v>
      </c>
      <c r="H54" s="235" t="s">
        <v>135</v>
      </c>
      <c r="I54" s="235" t="s">
        <v>48</v>
      </c>
      <c r="J54" s="236" t="s">
        <v>26</v>
      </c>
      <c r="K54" s="235">
        <v>75700</v>
      </c>
      <c r="L54" s="235" t="s">
        <v>27</v>
      </c>
      <c r="M54" s="237">
        <f t="shared" si="29"/>
        <v>0</v>
      </c>
      <c r="N54" s="237">
        <f t="shared" si="29"/>
        <v>33</v>
      </c>
      <c r="O54" s="237">
        <f t="shared" si="29"/>
        <v>32</v>
      </c>
      <c r="P54" s="237">
        <f t="shared" si="30"/>
        <v>33</v>
      </c>
      <c r="Q54" s="237">
        <f t="shared" si="31"/>
        <v>98</v>
      </c>
      <c r="R54" s="238">
        <v>6</v>
      </c>
      <c r="S54" s="9">
        <f t="shared" si="32"/>
        <v>1.9564285065991694E-3</v>
      </c>
      <c r="U54" s="1"/>
      <c r="V54" s="1"/>
      <c r="W54" s="1"/>
      <c r="X54" s="1"/>
      <c r="Y54" s="1"/>
      <c r="Z54" s="1"/>
      <c r="AA54" s="1"/>
      <c r="AB54" s="1"/>
      <c r="AC54" s="1"/>
      <c r="AD54" s="1"/>
      <c r="AE54" s="1"/>
      <c r="AF54" s="1"/>
      <c r="AG54" s="1"/>
      <c r="AH54" s="1"/>
      <c r="AI54" s="1"/>
      <c r="AJ54" s="1"/>
      <c r="AK54" s="1"/>
      <c r="AL54" s="1"/>
      <c r="AM54" s="1"/>
    </row>
    <row r="55" spans="1:39" s="2" customFormat="1" ht="21.95" customHeight="1" thickBot="1" x14ac:dyDescent="0.25">
      <c r="A55" s="266"/>
      <c r="B55" s="268"/>
      <c r="C55" s="268"/>
      <c r="D55" s="268"/>
      <c r="E55" s="268"/>
      <c r="F55" s="235">
        <v>10242</v>
      </c>
      <c r="G55" s="235" t="s">
        <v>134</v>
      </c>
      <c r="H55" s="235" t="s">
        <v>135</v>
      </c>
      <c r="I55" s="235" t="s">
        <v>48</v>
      </c>
      <c r="J55" s="236" t="s">
        <v>28</v>
      </c>
      <c r="K55" s="235">
        <v>61200</v>
      </c>
      <c r="L55" s="235" t="s">
        <v>29</v>
      </c>
      <c r="M55" s="237">
        <f t="shared" si="29"/>
        <v>0</v>
      </c>
      <c r="N55" s="237">
        <f t="shared" si="29"/>
        <v>0</v>
      </c>
      <c r="O55" s="237">
        <f t="shared" si="29"/>
        <v>0</v>
      </c>
      <c r="P55" s="237">
        <f t="shared" si="30"/>
        <v>0</v>
      </c>
      <c r="Q55" s="237">
        <f t="shared" si="31"/>
        <v>0</v>
      </c>
      <c r="R55" s="238">
        <v>4</v>
      </c>
      <c r="S55" s="9">
        <f t="shared" si="32"/>
        <v>0</v>
      </c>
      <c r="U55" s="1"/>
      <c r="V55" s="1"/>
      <c r="W55" s="1"/>
      <c r="X55" s="1"/>
      <c r="Y55" s="1"/>
      <c r="Z55" s="1"/>
      <c r="AA55" s="1"/>
      <c r="AB55" s="1"/>
      <c r="AC55" s="1"/>
      <c r="AD55" s="1"/>
      <c r="AE55" s="1"/>
      <c r="AF55" s="1"/>
      <c r="AG55" s="1"/>
      <c r="AH55" s="1"/>
      <c r="AI55" s="1"/>
      <c r="AJ55" s="1"/>
      <c r="AK55" s="1"/>
      <c r="AL55" s="1"/>
      <c r="AM55" s="1"/>
    </row>
    <row r="56" spans="1:39" s="2" customFormat="1" ht="21.95" customHeight="1" thickBot="1" x14ac:dyDescent="0.25">
      <c r="A56" s="266"/>
      <c r="B56" s="268"/>
      <c r="C56" s="268"/>
      <c r="D56" s="268"/>
      <c r="E56" s="268"/>
      <c r="F56" s="235">
        <v>10242</v>
      </c>
      <c r="G56" s="235" t="s">
        <v>134</v>
      </c>
      <c r="H56" s="235" t="s">
        <v>135</v>
      </c>
      <c r="I56" s="235" t="s">
        <v>48</v>
      </c>
      <c r="J56" s="236" t="s">
        <v>28</v>
      </c>
      <c r="K56" s="235">
        <v>61300</v>
      </c>
      <c r="L56" s="235" t="s">
        <v>30</v>
      </c>
      <c r="M56" s="237">
        <f t="shared" si="29"/>
        <v>0</v>
      </c>
      <c r="N56" s="237">
        <f t="shared" si="29"/>
        <v>0</v>
      </c>
      <c r="O56" s="237">
        <f t="shared" si="29"/>
        <v>0</v>
      </c>
      <c r="P56" s="237">
        <f t="shared" si="30"/>
        <v>0</v>
      </c>
      <c r="Q56" s="237">
        <f t="shared" si="31"/>
        <v>0</v>
      </c>
      <c r="R56" s="238">
        <v>4</v>
      </c>
      <c r="S56" s="9">
        <f t="shared" si="32"/>
        <v>0</v>
      </c>
      <c r="U56" s="1"/>
      <c r="V56" s="1"/>
      <c r="W56" s="1"/>
      <c r="X56" s="1"/>
      <c r="Y56" s="1"/>
      <c r="Z56" s="1"/>
      <c r="AA56" s="1"/>
      <c r="AB56" s="1"/>
      <c r="AC56" s="1"/>
      <c r="AD56" s="1"/>
      <c r="AE56" s="1"/>
      <c r="AF56" s="1"/>
      <c r="AG56" s="1"/>
      <c r="AH56" s="1"/>
      <c r="AI56" s="1"/>
      <c r="AJ56" s="1"/>
      <c r="AK56" s="1"/>
      <c r="AL56" s="1"/>
      <c r="AM56" s="1"/>
    </row>
    <row r="57" spans="1:39" s="2" customFormat="1" ht="21.95" customHeight="1" thickBot="1" x14ac:dyDescent="0.25">
      <c r="A57" s="266"/>
      <c r="B57" s="268"/>
      <c r="C57" s="269" t="s">
        <v>31</v>
      </c>
      <c r="D57" s="269"/>
      <c r="E57" s="269"/>
      <c r="F57" s="269"/>
      <c r="G57" s="269"/>
      <c r="H57" s="269"/>
      <c r="I57" s="269"/>
      <c r="J57" s="269"/>
      <c r="K57" s="269"/>
      <c r="L57" s="269"/>
      <c r="M57" s="237">
        <f>SUM(M48:M56)</f>
        <v>0</v>
      </c>
      <c r="N57" s="237">
        <f t="shared" ref="N57:Q57" si="33">SUM(N48:N56)</f>
        <v>2018</v>
      </c>
      <c r="O57" s="237">
        <f t="shared" si="33"/>
        <v>1959</v>
      </c>
      <c r="P57" s="237">
        <f t="shared" si="33"/>
        <v>1959</v>
      </c>
      <c r="Q57" s="237">
        <f t="shared" si="33"/>
        <v>5936</v>
      </c>
      <c r="R57" s="238"/>
      <c r="S57" s="9"/>
      <c r="U57" s="1"/>
      <c r="V57" s="1"/>
      <c r="W57" s="1"/>
      <c r="X57" s="1"/>
      <c r="Y57" s="1"/>
      <c r="Z57" s="1"/>
      <c r="AA57" s="1"/>
      <c r="AB57" s="1"/>
      <c r="AC57" s="1"/>
      <c r="AD57" s="1"/>
      <c r="AE57" s="1"/>
      <c r="AF57" s="1"/>
      <c r="AG57" s="1"/>
      <c r="AH57" s="1"/>
      <c r="AI57" s="1"/>
      <c r="AJ57" s="1"/>
      <c r="AK57" s="1"/>
      <c r="AL57" s="1"/>
      <c r="AM57" s="1"/>
    </row>
    <row r="58" spans="1:39" s="2" customFormat="1" ht="21.95" customHeight="1" thickBot="1" x14ac:dyDescent="0.25">
      <c r="A58" s="266"/>
      <c r="B58" s="269" t="s">
        <v>50</v>
      </c>
      <c r="C58" s="269"/>
      <c r="D58" s="269"/>
      <c r="E58" s="269"/>
      <c r="F58" s="269"/>
      <c r="G58" s="269"/>
      <c r="H58" s="269"/>
      <c r="I58" s="269"/>
      <c r="J58" s="269"/>
      <c r="K58" s="269"/>
      <c r="L58" s="269"/>
      <c r="M58" s="237">
        <f>M57</f>
        <v>0</v>
      </c>
      <c r="N58" s="237">
        <f t="shared" ref="N58:Q58" si="34">N57</f>
        <v>2018</v>
      </c>
      <c r="O58" s="237">
        <f t="shared" si="34"/>
        <v>1959</v>
      </c>
      <c r="P58" s="237">
        <f t="shared" si="34"/>
        <v>1959</v>
      </c>
      <c r="Q58" s="237">
        <f t="shared" si="34"/>
        <v>5936</v>
      </c>
      <c r="R58" s="238"/>
      <c r="S58" s="9"/>
      <c r="U58" s="1"/>
      <c r="V58" s="1"/>
      <c r="W58" s="1"/>
      <c r="X58" s="1"/>
      <c r="Y58" s="1"/>
      <c r="Z58" s="1"/>
      <c r="AA58" s="1"/>
      <c r="AB58" s="1"/>
      <c r="AC58" s="1"/>
      <c r="AD58" s="1"/>
      <c r="AE58" s="1"/>
      <c r="AF58" s="1"/>
      <c r="AG58" s="1"/>
      <c r="AH58" s="1"/>
      <c r="AI58" s="1"/>
      <c r="AJ58" s="1"/>
      <c r="AK58" s="1"/>
      <c r="AL58" s="1"/>
      <c r="AM58" s="1"/>
    </row>
    <row r="59" spans="1:39" s="2" customFormat="1" ht="21.95" customHeight="1" thickBot="1" x14ac:dyDescent="0.25">
      <c r="A59" s="266"/>
      <c r="B59" s="265" t="s">
        <v>51</v>
      </c>
      <c r="C59" s="265" t="s">
        <v>17</v>
      </c>
      <c r="D59" s="265">
        <v>62000</v>
      </c>
      <c r="E59" s="265">
        <v>10003</v>
      </c>
      <c r="F59" s="235">
        <v>10242</v>
      </c>
      <c r="G59" s="235" t="s">
        <v>134</v>
      </c>
      <c r="H59" s="235" t="s">
        <v>135</v>
      </c>
      <c r="I59" s="235" t="s">
        <v>52</v>
      </c>
      <c r="J59" s="236" t="s">
        <v>19</v>
      </c>
      <c r="K59" s="235">
        <v>71200</v>
      </c>
      <c r="L59" s="235" t="s">
        <v>19</v>
      </c>
      <c r="M59" s="237">
        <f t="shared" ref="M59:O66" si="35">ROUND(M$2*$Q59,0)</f>
        <v>0</v>
      </c>
      <c r="N59" s="237">
        <f t="shared" si="35"/>
        <v>0</v>
      </c>
      <c r="O59" s="237">
        <f t="shared" si="35"/>
        <v>0</v>
      </c>
      <c r="P59" s="237">
        <f t="shared" ref="P59:P67" si="36">Q59-SUM(M59:O59)</f>
        <v>0</v>
      </c>
      <c r="Q59" s="237">
        <f t="shared" ref="Q59:Q67" si="37">ROUND($V$7*S59,0)</f>
        <v>0</v>
      </c>
      <c r="R59" s="238">
        <v>2</v>
      </c>
      <c r="S59" s="9">
        <f t="shared" ref="S59:S67" si="38">VLOOKUP(K59, rpastarratio, 5, FALSE)*VLOOKUP(K59, rpastarratio, 8, FALSE)</f>
        <v>0</v>
      </c>
      <c r="U59" s="1"/>
      <c r="V59" s="1"/>
      <c r="W59" s="1"/>
      <c r="X59" s="1"/>
      <c r="Y59" s="1"/>
      <c r="Z59" s="1"/>
      <c r="AA59" s="1"/>
      <c r="AB59" s="1"/>
      <c r="AC59" s="1"/>
      <c r="AD59" s="1"/>
      <c r="AE59" s="1"/>
      <c r="AF59" s="1"/>
      <c r="AG59" s="1"/>
      <c r="AH59" s="1"/>
      <c r="AI59" s="1"/>
      <c r="AJ59" s="1"/>
      <c r="AK59" s="1"/>
      <c r="AL59" s="1"/>
      <c r="AM59" s="1"/>
    </row>
    <row r="60" spans="1:39" s="2" customFormat="1" ht="21.95" customHeight="1" thickBot="1" x14ac:dyDescent="0.25">
      <c r="A60" s="266"/>
      <c r="B60" s="266"/>
      <c r="C60" s="266"/>
      <c r="D60" s="266"/>
      <c r="E60" s="266"/>
      <c r="F60" s="235">
        <v>10242</v>
      </c>
      <c r="G60" s="235" t="s">
        <v>134</v>
      </c>
      <c r="H60" s="235" t="s">
        <v>135</v>
      </c>
      <c r="I60" s="235" t="s">
        <v>52</v>
      </c>
      <c r="J60" s="236" t="s">
        <v>20</v>
      </c>
      <c r="K60" s="235">
        <v>71300</v>
      </c>
      <c r="L60" s="235" t="s">
        <v>20</v>
      </c>
      <c r="M60" s="237">
        <f t="shared" si="35"/>
        <v>0</v>
      </c>
      <c r="N60" s="237">
        <f t="shared" si="35"/>
        <v>2442</v>
      </c>
      <c r="O60" s="237">
        <f t="shared" si="35"/>
        <v>2370</v>
      </c>
      <c r="P60" s="237">
        <f t="shared" si="36"/>
        <v>2370</v>
      </c>
      <c r="Q60" s="237">
        <f t="shared" si="37"/>
        <v>7182</v>
      </c>
      <c r="R60" s="238">
        <v>3</v>
      </c>
      <c r="S60" s="9">
        <f t="shared" si="38"/>
        <v>6.1210093879457573E-3</v>
      </c>
      <c r="U60" s="1"/>
      <c r="V60" s="1"/>
      <c r="W60" s="1"/>
      <c r="X60" s="1"/>
      <c r="Y60" s="1"/>
      <c r="Z60" s="1"/>
      <c r="AA60" s="1"/>
      <c r="AB60" s="1"/>
      <c r="AC60" s="1"/>
      <c r="AD60" s="1"/>
      <c r="AE60" s="1"/>
      <c r="AF60" s="1"/>
      <c r="AG60" s="1"/>
      <c r="AH60" s="1"/>
      <c r="AI60" s="1"/>
      <c r="AJ60" s="1"/>
      <c r="AK60" s="1"/>
      <c r="AL60" s="1"/>
      <c r="AM60" s="1"/>
    </row>
    <row r="61" spans="1:39" s="2" customFormat="1" ht="21.95" customHeight="1" thickBot="1" x14ac:dyDescent="0.25">
      <c r="A61" s="266"/>
      <c r="B61" s="266"/>
      <c r="C61" s="266"/>
      <c r="D61" s="266"/>
      <c r="E61" s="266"/>
      <c r="F61" s="235">
        <v>10242</v>
      </c>
      <c r="G61" s="235" t="s">
        <v>134</v>
      </c>
      <c r="H61" s="235" t="s">
        <v>135</v>
      </c>
      <c r="I61" s="235" t="s">
        <v>52</v>
      </c>
      <c r="J61" s="236" t="s">
        <v>21</v>
      </c>
      <c r="K61" s="235">
        <v>71400</v>
      </c>
      <c r="L61" s="235" t="s">
        <v>22</v>
      </c>
      <c r="M61" s="237">
        <f t="shared" si="35"/>
        <v>0</v>
      </c>
      <c r="N61" s="237">
        <f t="shared" si="35"/>
        <v>36772</v>
      </c>
      <c r="O61" s="237">
        <f t="shared" si="35"/>
        <v>35691</v>
      </c>
      <c r="P61" s="237">
        <f t="shared" si="36"/>
        <v>35691</v>
      </c>
      <c r="Q61" s="237">
        <f t="shared" si="37"/>
        <v>108154</v>
      </c>
      <c r="R61" s="238">
        <v>5</v>
      </c>
      <c r="S61" s="9">
        <f t="shared" si="38"/>
        <v>9.2177594545789415E-2</v>
      </c>
      <c r="U61" s="1"/>
      <c r="V61" s="1"/>
      <c r="W61" s="1"/>
      <c r="X61" s="1"/>
      <c r="Y61" s="1"/>
      <c r="Z61" s="1"/>
      <c r="AA61" s="1"/>
      <c r="AB61" s="1"/>
      <c r="AC61" s="1"/>
      <c r="AD61" s="1"/>
      <c r="AE61" s="1"/>
      <c r="AF61" s="1"/>
      <c r="AG61" s="1"/>
      <c r="AH61" s="1"/>
      <c r="AI61" s="1"/>
      <c r="AJ61" s="1"/>
      <c r="AK61" s="1"/>
      <c r="AL61" s="1"/>
      <c r="AM61" s="1"/>
    </row>
    <row r="62" spans="1:39" s="2" customFormat="1" ht="21.95" customHeight="1" thickBot="1" x14ac:dyDescent="0.25">
      <c r="A62" s="266"/>
      <c r="B62" s="266"/>
      <c r="C62" s="266"/>
      <c r="D62" s="266"/>
      <c r="E62" s="266"/>
      <c r="F62" s="235">
        <v>10242</v>
      </c>
      <c r="G62" s="235" t="s">
        <v>134</v>
      </c>
      <c r="H62" s="235" t="s">
        <v>135</v>
      </c>
      <c r="I62" s="235" t="s">
        <v>52</v>
      </c>
      <c r="J62" s="236" t="s">
        <v>23</v>
      </c>
      <c r="K62" s="235">
        <v>71600</v>
      </c>
      <c r="L62" s="235" t="s">
        <v>23</v>
      </c>
      <c r="M62" s="237">
        <f t="shared" si="35"/>
        <v>0</v>
      </c>
      <c r="N62" s="237">
        <f t="shared" si="35"/>
        <v>7056</v>
      </c>
      <c r="O62" s="237">
        <f t="shared" si="35"/>
        <v>6848</v>
      </c>
      <c r="P62" s="237">
        <f t="shared" si="36"/>
        <v>6848</v>
      </c>
      <c r="Q62" s="237">
        <f t="shared" si="37"/>
        <v>20752</v>
      </c>
      <c r="R62" s="238">
        <v>7</v>
      </c>
      <c r="S62" s="9">
        <f t="shared" si="38"/>
        <v>1.768655089038421E-2</v>
      </c>
      <c r="U62" s="1"/>
      <c r="V62" s="1"/>
      <c r="W62" s="1"/>
      <c r="X62" s="1"/>
      <c r="Y62" s="1"/>
      <c r="Z62" s="1"/>
      <c r="AA62" s="1"/>
      <c r="AB62" s="1"/>
      <c r="AC62" s="1"/>
      <c r="AD62" s="1"/>
      <c r="AE62" s="1"/>
      <c r="AF62" s="1"/>
      <c r="AG62" s="1"/>
      <c r="AH62" s="1"/>
      <c r="AI62" s="1"/>
      <c r="AJ62" s="1"/>
      <c r="AK62" s="1"/>
      <c r="AL62" s="1"/>
      <c r="AM62" s="1"/>
    </row>
    <row r="63" spans="1:39" s="2" customFormat="1" ht="21.95" customHeight="1" thickBot="1" x14ac:dyDescent="0.25">
      <c r="A63" s="266"/>
      <c r="B63" s="266"/>
      <c r="C63" s="266"/>
      <c r="D63" s="266"/>
      <c r="E63" s="266"/>
      <c r="F63" s="235">
        <v>10242</v>
      </c>
      <c r="G63" s="235" t="s">
        <v>134</v>
      </c>
      <c r="H63" s="235" t="s">
        <v>135</v>
      </c>
      <c r="I63" s="235" t="s">
        <v>52</v>
      </c>
      <c r="J63" s="236" t="s">
        <v>24</v>
      </c>
      <c r="K63" s="235">
        <v>72500</v>
      </c>
      <c r="L63" s="235" t="s">
        <v>25</v>
      </c>
      <c r="M63" s="237">
        <f t="shared" si="35"/>
        <v>0</v>
      </c>
      <c r="N63" s="237">
        <f t="shared" si="35"/>
        <v>154</v>
      </c>
      <c r="O63" s="237">
        <f t="shared" si="35"/>
        <v>149</v>
      </c>
      <c r="P63" s="237">
        <f t="shared" si="36"/>
        <v>150</v>
      </c>
      <c r="Q63" s="237">
        <f t="shared" si="37"/>
        <v>453</v>
      </c>
      <c r="R63" s="238">
        <v>10</v>
      </c>
      <c r="S63" s="9">
        <f t="shared" si="38"/>
        <v>3.8649921662828871E-4</v>
      </c>
      <c r="U63" s="1"/>
      <c r="V63" s="1"/>
      <c r="W63" s="1"/>
      <c r="X63" s="1"/>
      <c r="Y63" s="1"/>
      <c r="Z63" s="1"/>
      <c r="AA63" s="1"/>
      <c r="AB63" s="1"/>
      <c r="AC63" s="1"/>
      <c r="AD63" s="1"/>
      <c r="AE63" s="1"/>
      <c r="AF63" s="1"/>
      <c r="AG63" s="1"/>
      <c r="AH63" s="1"/>
      <c r="AI63" s="1"/>
      <c r="AJ63" s="1"/>
      <c r="AK63" s="1"/>
      <c r="AL63" s="1"/>
      <c r="AM63" s="1"/>
    </row>
    <row r="64" spans="1:39" s="2" customFormat="1" ht="21.95" customHeight="1" thickBot="1" x14ac:dyDescent="0.25">
      <c r="A64" s="266"/>
      <c r="B64" s="266"/>
      <c r="C64" s="266"/>
      <c r="D64" s="266"/>
      <c r="E64" s="266"/>
      <c r="F64" s="235">
        <v>10242</v>
      </c>
      <c r="G64" s="235" t="s">
        <v>134</v>
      </c>
      <c r="H64" s="235" t="s">
        <v>135</v>
      </c>
      <c r="I64" s="235" t="s">
        <v>52</v>
      </c>
      <c r="J64" s="236" t="s">
        <v>23</v>
      </c>
      <c r="K64" s="235">
        <v>74500</v>
      </c>
      <c r="L64" s="235" t="s">
        <v>49</v>
      </c>
      <c r="M64" s="237">
        <f t="shared" si="35"/>
        <v>0</v>
      </c>
      <c r="N64" s="237">
        <f t="shared" si="35"/>
        <v>160</v>
      </c>
      <c r="O64" s="237">
        <f t="shared" si="35"/>
        <v>156</v>
      </c>
      <c r="P64" s="237">
        <f t="shared" si="36"/>
        <v>156</v>
      </c>
      <c r="Q64" s="237">
        <f t="shared" si="37"/>
        <v>472</v>
      </c>
      <c r="R64" s="238">
        <v>11</v>
      </c>
      <c r="S64" s="9">
        <f t="shared" si="38"/>
        <v>4.0236622493648077E-4</v>
      </c>
      <c r="U64" s="1"/>
      <c r="V64" s="1"/>
      <c r="W64" s="1"/>
      <c r="X64" s="1"/>
      <c r="Y64" s="1"/>
      <c r="Z64" s="1"/>
      <c r="AA64" s="1"/>
      <c r="AB64" s="1"/>
      <c r="AC64" s="1"/>
      <c r="AD64" s="1"/>
      <c r="AE64" s="1"/>
      <c r="AF64" s="1"/>
      <c r="AG64" s="1"/>
      <c r="AH64" s="1"/>
      <c r="AI64" s="1"/>
      <c r="AJ64" s="1"/>
      <c r="AK64" s="1"/>
      <c r="AL64" s="1"/>
      <c r="AM64" s="1"/>
    </row>
    <row r="65" spans="1:39" s="2" customFormat="1" ht="21.95" customHeight="1" thickBot="1" x14ac:dyDescent="0.25">
      <c r="A65" s="266"/>
      <c r="B65" s="266"/>
      <c r="C65" s="266"/>
      <c r="D65" s="266"/>
      <c r="E65" s="266"/>
      <c r="F65" s="235">
        <v>10242</v>
      </c>
      <c r="G65" s="235" t="s">
        <v>134</v>
      </c>
      <c r="H65" s="235" t="s">
        <v>135</v>
      </c>
      <c r="I65" s="235" t="s">
        <v>52</v>
      </c>
      <c r="J65" s="236" t="s">
        <v>26</v>
      </c>
      <c r="K65" s="235">
        <v>75700</v>
      </c>
      <c r="L65" s="235" t="s">
        <v>27</v>
      </c>
      <c r="M65" s="237">
        <f t="shared" si="35"/>
        <v>0</v>
      </c>
      <c r="N65" s="237">
        <f t="shared" si="35"/>
        <v>781</v>
      </c>
      <c r="O65" s="237">
        <f t="shared" si="35"/>
        <v>758</v>
      </c>
      <c r="P65" s="237">
        <f t="shared" si="36"/>
        <v>757</v>
      </c>
      <c r="Q65" s="237">
        <f t="shared" si="37"/>
        <v>2296</v>
      </c>
      <c r="R65" s="238">
        <v>6</v>
      </c>
      <c r="S65" s="9">
        <f t="shared" si="38"/>
        <v>1.9564285065991681E-3</v>
      </c>
      <c r="U65" s="1"/>
      <c r="V65" s="1"/>
      <c r="W65" s="1"/>
      <c r="X65" s="1"/>
      <c r="Y65" s="1"/>
      <c r="Z65" s="1"/>
      <c r="AA65" s="1"/>
      <c r="AB65" s="1"/>
      <c r="AC65" s="1"/>
      <c r="AD65" s="1"/>
      <c r="AE65" s="1"/>
      <c r="AF65" s="1"/>
      <c r="AG65" s="1"/>
      <c r="AH65" s="1"/>
      <c r="AI65" s="1"/>
      <c r="AJ65" s="1"/>
      <c r="AK65" s="1"/>
      <c r="AL65" s="1"/>
      <c r="AM65" s="1"/>
    </row>
    <row r="66" spans="1:39" s="2" customFormat="1" ht="21.95" customHeight="1" thickBot="1" x14ac:dyDescent="0.25">
      <c r="A66" s="266"/>
      <c r="B66" s="266"/>
      <c r="C66" s="266"/>
      <c r="D66" s="266"/>
      <c r="E66" s="266"/>
      <c r="F66" s="235">
        <v>10242</v>
      </c>
      <c r="G66" s="235" t="s">
        <v>134</v>
      </c>
      <c r="H66" s="235" t="s">
        <v>135</v>
      </c>
      <c r="I66" s="235" t="s">
        <v>52</v>
      </c>
      <c r="J66" s="236" t="s">
        <v>28</v>
      </c>
      <c r="K66" s="235">
        <v>61200</v>
      </c>
      <c r="L66" s="235" t="s">
        <v>29</v>
      </c>
      <c r="M66" s="237">
        <f t="shared" si="35"/>
        <v>0</v>
      </c>
      <c r="N66" s="237">
        <f t="shared" si="35"/>
        <v>0</v>
      </c>
      <c r="O66" s="237">
        <f t="shared" si="35"/>
        <v>0</v>
      </c>
      <c r="P66" s="237">
        <f t="shared" si="36"/>
        <v>0</v>
      </c>
      <c r="Q66" s="237">
        <f t="shared" si="37"/>
        <v>0</v>
      </c>
      <c r="R66" s="238">
        <v>4</v>
      </c>
      <c r="S66" s="9">
        <f t="shared" si="38"/>
        <v>0</v>
      </c>
      <c r="U66" s="1"/>
      <c r="V66" s="1"/>
      <c r="W66" s="1"/>
      <c r="X66" s="1"/>
      <c r="Y66" s="1"/>
      <c r="Z66" s="1"/>
      <c r="AA66" s="1"/>
      <c r="AB66" s="1"/>
      <c r="AC66" s="1"/>
      <c r="AD66" s="1"/>
      <c r="AE66" s="1"/>
      <c r="AF66" s="1"/>
      <c r="AG66" s="1"/>
      <c r="AH66" s="1"/>
      <c r="AI66" s="1"/>
      <c r="AJ66" s="1"/>
      <c r="AK66" s="1"/>
      <c r="AL66" s="1"/>
      <c r="AM66" s="1"/>
    </row>
    <row r="67" spans="1:39" s="2" customFormat="1" ht="21.95" customHeight="1" thickBot="1" x14ac:dyDescent="0.25">
      <c r="A67" s="266"/>
      <c r="B67" s="266"/>
      <c r="C67" s="267"/>
      <c r="D67" s="267"/>
      <c r="E67" s="267"/>
      <c r="F67" s="235">
        <v>10242</v>
      </c>
      <c r="G67" s="235" t="s">
        <v>134</v>
      </c>
      <c r="H67" s="235" t="s">
        <v>135</v>
      </c>
      <c r="I67" s="235" t="s">
        <v>52</v>
      </c>
      <c r="J67" s="236" t="s">
        <v>28</v>
      </c>
      <c r="K67" s="235">
        <v>61300</v>
      </c>
      <c r="L67" s="235" t="s">
        <v>30</v>
      </c>
      <c r="M67" s="237">
        <f t="shared" ref="M67:O67" si="39">M$2*$Q67</f>
        <v>0</v>
      </c>
      <c r="N67" s="237">
        <f t="shared" si="39"/>
        <v>0</v>
      </c>
      <c r="O67" s="237">
        <f t="shared" si="39"/>
        <v>0</v>
      </c>
      <c r="P67" s="237">
        <f t="shared" si="36"/>
        <v>0</v>
      </c>
      <c r="Q67" s="237">
        <f t="shared" si="37"/>
        <v>0</v>
      </c>
      <c r="R67" s="238">
        <v>4</v>
      </c>
      <c r="S67" s="9">
        <f t="shared" si="38"/>
        <v>0</v>
      </c>
      <c r="U67" s="1"/>
      <c r="V67" s="1"/>
      <c r="W67" s="1"/>
      <c r="X67" s="1"/>
      <c r="Y67" s="1"/>
      <c r="Z67" s="1"/>
      <c r="AA67" s="1"/>
      <c r="AB67" s="1"/>
      <c r="AC67" s="1"/>
      <c r="AD67" s="1"/>
      <c r="AE67" s="1"/>
      <c r="AF67" s="1"/>
      <c r="AG67" s="1"/>
      <c r="AH67" s="1"/>
      <c r="AI67" s="1"/>
      <c r="AJ67" s="1"/>
      <c r="AK67" s="1"/>
      <c r="AL67" s="1"/>
      <c r="AM67" s="1"/>
    </row>
    <row r="68" spans="1:39" s="2" customFormat="1" ht="21.95" customHeight="1" thickBot="1" x14ac:dyDescent="0.25">
      <c r="A68" s="266"/>
      <c r="B68" s="266"/>
      <c r="C68" s="270" t="s">
        <v>31</v>
      </c>
      <c r="D68" s="270"/>
      <c r="E68" s="270"/>
      <c r="F68" s="270"/>
      <c r="G68" s="270"/>
      <c r="H68" s="270"/>
      <c r="I68" s="270"/>
      <c r="J68" s="270"/>
      <c r="K68" s="270"/>
      <c r="L68" s="270"/>
      <c r="M68" s="237">
        <f>SUM(M59:M67)</f>
        <v>0</v>
      </c>
      <c r="N68" s="237">
        <f t="shared" ref="N68:Q68" si="40">SUM(N59:N67)</f>
        <v>47365</v>
      </c>
      <c r="O68" s="237">
        <f t="shared" si="40"/>
        <v>45972</v>
      </c>
      <c r="P68" s="237">
        <f t="shared" si="40"/>
        <v>45972</v>
      </c>
      <c r="Q68" s="237">
        <f t="shared" si="40"/>
        <v>139309</v>
      </c>
      <c r="R68" s="238"/>
      <c r="S68" s="9"/>
      <c r="U68" s="1"/>
      <c r="V68" s="1"/>
      <c r="W68" s="1"/>
      <c r="X68" s="1"/>
      <c r="Y68" s="1"/>
      <c r="Z68" s="1"/>
      <c r="AA68" s="1"/>
      <c r="AB68" s="1"/>
      <c r="AC68" s="1"/>
      <c r="AD68" s="1"/>
      <c r="AE68" s="1"/>
      <c r="AF68" s="1"/>
      <c r="AG68" s="1"/>
      <c r="AH68" s="1"/>
      <c r="AI68" s="1"/>
      <c r="AJ68" s="1"/>
      <c r="AK68" s="1"/>
      <c r="AL68" s="1"/>
      <c r="AM68" s="1"/>
    </row>
    <row r="69" spans="1:39" ht="21.95" customHeight="1" thickBot="1" x14ac:dyDescent="0.25">
      <c r="A69" s="267"/>
      <c r="B69" s="270" t="s">
        <v>53</v>
      </c>
      <c r="C69" s="270"/>
      <c r="D69" s="270"/>
      <c r="E69" s="270"/>
      <c r="F69" s="270"/>
      <c r="G69" s="270"/>
      <c r="H69" s="270"/>
      <c r="I69" s="270"/>
      <c r="J69" s="270"/>
      <c r="K69" s="270"/>
      <c r="L69" s="270"/>
      <c r="M69" s="237">
        <f>M68</f>
        <v>0</v>
      </c>
      <c r="N69" s="237">
        <f t="shared" ref="N69:Q69" si="41">N68</f>
        <v>47365</v>
      </c>
      <c r="O69" s="237">
        <f t="shared" si="41"/>
        <v>45972</v>
      </c>
      <c r="P69" s="237">
        <f t="shared" si="41"/>
        <v>45972</v>
      </c>
      <c r="Q69" s="237">
        <f t="shared" si="41"/>
        <v>139309</v>
      </c>
      <c r="R69" s="238"/>
      <c r="T69" s="10"/>
      <c r="AC69" s="11"/>
      <c r="AF69" s="12"/>
      <c r="AG69" s="13"/>
    </row>
    <row r="70" spans="1:39" ht="21.95" customHeight="1" thickBot="1" x14ac:dyDescent="0.25">
      <c r="A70" s="271" t="s">
        <v>54</v>
      </c>
      <c r="B70" s="272"/>
      <c r="C70" s="272"/>
      <c r="D70" s="272"/>
      <c r="E70" s="272"/>
      <c r="F70" s="272"/>
      <c r="G70" s="272"/>
      <c r="H70" s="272"/>
      <c r="I70" s="272"/>
      <c r="J70" s="272"/>
      <c r="K70" s="272"/>
      <c r="L70" s="273"/>
      <c r="M70" s="237">
        <f t="shared" ref="M70:Q70" si="42">M58+M69</f>
        <v>0</v>
      </c>
      <c r="N70" s="237">
        <f t="shared" si="42"/>
        <v>49383</v>
      </c>
      <c r="O70" s="237">
        <f t="shared" si="42"/>
        <v>47931</v>
      </c>
      <c r="P70" s="237">
        <f t="shared" si="42"/>
        <v>47931</v>
      </c>
      <c r="Q70" s="237">
        <f t="shared" si="42"/>
        <v>145245</v>
      </c>
      <c r="R70" s="238"/>
      <c r="U70" s="14"/>
      <c r="AC70" s="15"/>
      <c r="AM70" s="16"/>
    </row>
    <row r="71" spans="1:39" ht="21.95" customHeight="1" thickBot="1" x14ac:dyDescent="0.25">
      <c r="A71" s="265" t="s">
        <v>55</v>
      </c>
      <c r="B71" s="268" t="s">
        <v>56</v>
      </c>
      <c r="C71" s="268" t="s">
        <v>17</v>
      </c>
      <c r="D71" s="268">
        <v>62000</v>
      </c>
      <c r="E71" s="268">
        <v>10003</v>
      </c>
      <c r="F71" s="235">
        <v>10242</v>
      </c>
      <c r="G71" s="235" t="s">
        <v>134</v>
      </c>
      <c r="H71" s="235" t="s">
        <v>135</v>
      </c>
      <c r="I71" s="235" t="s">
        <v>57</v>
      </c>
      <c r="J71" s="236" t="s">
        <v>19</v>
      </c>
      <c r="K71" s="235">
        <v>71200</v>
      </c>
      <c r="L71" s="235" t="s">
        <v>19</v>
      </c>
      <c r="M71" s="237">
        <f t="shared" ref="M71:O79" si="43">ROUND(M$2*$Q71,0)</f>
        <v>0</v>
      </c>
      <c r="N71" s="237">
        <f t="shared" si="43"/>
        <v>0</v>
      </c>
      <c r="O71" s="237">
        <f t="shared" si="43"/>
        <v>0</v>
      </c>
      <c r="P71" s="237">
        <f t="shared" ref="P71:P79" si="44">Q71-SUM(M71:O71)</f>
        <v>0</v>
      </c>
      <c r="Q71" s="237">
        <f t="shared" ref="Q71:Q79" si="45">ROUND($V$6*S71,0)</f>
        <v>0</v>
      </c>
      <c r="R71" s="238">
        <v>2</v>
      </c>
      <c r="S71" s="9">
        <f t="shared" ref="S71:S79" si="46">VLOOKUP(K71, rpacoreratio, 6, FALSE)*VLOOKUP(K71, rpacoreratio, 8, FALSE)</f>
        <v>0</v>
      </c>
    </row>
    <row r="72" spans="1:39" ht="21.95" customHeight="1" thickBot="1" x14ac:dyDescent="0.25">
      <c r="A72" s="266"/>
      <c r="B72" s="268"/>
      <c r="C72" s="268"/>
      <c r="D72" s="268"/>
      <c r="E72" s="268"/>
      <c r="F72" s="235">
        <v>10242</v>
      </c>
      <c r="G72" s="235" t="s">
        <v>134</v>
      </c>
      <c r="H72" s="235" t="s">
        <v>135</v>
      </c>
      <c r="I72" s="235" t="s">
        <v>57</v>
      </c>
      <c r="J72" s="236" t="s">
        <v>20</v>
      </c>
      <c r="K72" s="235">
        <v>71300</v>
      </c>
      <c r="L72" s="235" t="s">
        <v>20</v>
      </c>
      <c r="M72" s="237">
        <f t="shared" si="43"/>
        <v>0</v>
      </c>
      <c r="N72" s="237">
        <f t="shared" si="43"/>
        <v>188</v>
      </c>
      <c r="O72" s="237">
        <f t="shared" si="43"/>
        <v>183</v>
      </c>
      <c r="P72" s="237">
        <f t="shared" si="44"/>
        <v>183</v>
      </c>
      <c r="Q72" s="237">
        <f t="shared" si="45"/>
        <v>554</v>
      </c>
      <c r="R72" s="238">
        <v>3</v>
      </c>
      <c r="S72" s="9">
        <f t="shared" si="46"/>
        <v>1.1084820146212829E-2</v>
      </c>
    </row>
    <row r="73" spans="1:39" ht="21.95" customHeight="1" thickBot="1" x14ac:dyDescent="0.25">
      <c r="A73" s="266"/>
      <c r="B73" s="268"/>
      <c r="C73" s="268"/>
      <c r="D73" s="268"/>
      <c r="E73" s="268"/>
      <c r="F73" s="235">
        <v>10242</v>
      </c>
      <c r="G73" s="235" t="s">
        <v>134</v>
      </c>
      <c r="H73" s="235" t="s">
        <v>135</v>
      </c>
      <c r="I73" s="235" t="s">
        <v>57</v>
      </c>
      <c r="J73" s="236" t="s">
        <v>21</v>
      </c>
      <c r="K73" s="235">
        <v>71400</v>
      </c>
      <c r="L73" s="235" t="s">
        <v>22</v>
      </c>
      <c r="M73" s="237">
        <f t="shared" si="43"/>
        <v>0</v>
      </c>
      <c r="N73" s="237">
        <f t="shared" si="43"/>
        <v>532</v>
      </c>
      <c r="O73" s="237">
        <f t="shared" si="43"/>
        <v>516</v>
      </c>
      <c r="P73" s="237">
        <f t="shared" si="44"/>
        <v>516</v>
      </c>
      <c r="Q73" s="237">
        <f t="shared" si="45"/>
        <v>1564</v>
      </c>
      <c r="R73" s="238">
        <v>5</v>
      </c>
      <c r="S73" s="9">
        <f t="shared" si="46"/>
        <v>3.1270142178718506E-2</v>
      </c>
    </row>
    <row r="74" spans="1:39" ht="21.95" customHeight="1" thickBot="1" x14ac:dyDescent="0.25">
      <c r="A74" s="266"/>
      <c r="B74" s="268"/>
      <c r="C74" s="268"/>
      <c r="D74" s="268"/>
      <c r="E74" s="268"/>
      <c r="F74" s="235">
        <v>10242</v>
      </c>
      <c r="G74" s="235" t="s">
        <v>134</v>
      </c>
      <c r="H74" s="235" t="s">
        <v>135</v>
      </c>
      <c r="I74" s="235" t="s">
        <v>57</v>
      </c>
      <c r="J74" s="236" t="s">
        <v>23</v>
      </c>
      <c r="K74" s="235">
        <v>71600</v>
      </c>
      <c r="L74" s="235" t="s">
        <v>23</v>
      </c>
      <c r="M74" s="237">
        <f t="shared" si="43"/>
        <v>0</v>
      </c>
      <c r="N74" s="237">
        <f t="shared" si="43"/>
        <v>699</v>
      </c>
      <c r="O74" s="237">
        <f t="shared" si="43"/>
        <v>679</v>
      </c>
      <c r="P74" s="237">
        <f t="shared" si="44"/>
        <v>679</v>
      </c>
      <c r="Q74" s="237">
        <f t="shared" si="45"/>
        <v>2057</v>
      </c>
      <c r="R74" s="238">
        <v>7</v>
      </c>
      <c r="S74" s="9">
        <f t="shared" si="46"/>
        <v>4.1134974061424981E-2</v>
      </c>
    </row>
    <row r="75" spans="1:39" ht="21.95" customHeight="1" thickBot="1" x14ac:dyDescent="0.25">
      <c r="A75" s="266"/>
      <c r="B75" s="268"/>
      <c r="C75" s="268"/>
      <c r="D75" s="268"/>
      <c r="E75" s="268"/>
      <c r="F75" s="235">
        <v>10242</v>
      </c>
      <c r="G75" s="235" t="s">
        <v>134</v>
      </c>
      <c r="H75" s="235" t="s">
        <v>135</v>
      </c>
      <c r="I75" s="235" t="s">
        <v>57</v>
      </c>
      <c r="J75" s="236" t="s">
        <v>58</v>
      </c>
      <c r="K75" s="235">
        <v>72100</v>
      </c>
      <c r="L75" s="235" t="s">
        <v>59</v>
      </c>
      <c r="M75" s="237">
        <f t="shared" si="43"/>
        <v>0</v>
      </c>
      <c r="N75" s="237">
        <f t="shared" si="43"/>
        <v>0</v>
      </c>
      <c r="O75" s="237">
        <f t="shared" si="43"/>
        <v>0</v>
      </c>
      <c r="P75" s="237">
        <f t="shared" si="44"/>
        <v>0</v>
      </c>
      <c r="Q75" s="237">
        <f t="shared" si="45"/>
        <v>0</v>
      </c>
      <c r="R75" s="238">
        <v>12</v>
      </c>
      <c r="S75" s="9">
        <f t="shared" si="46"/>
        <v>0</v>
      </c>
    </row>
    <row r="76" spans="1:39" ht="21.95" customHeight="1" thickBot="1" x14ac:dyDescent="0.25">
      <c r="A76" s="266"/>
      <c r="B76" s="268"/>
      <c r="C76" s="268"/>
      <c r="D76" s="268"/>
      <c r="E76" s="268"/>
      <c r="F76" s="235">
        <v>10242</v>
      </c>
      <c r="G76" s="235" t="s">
        <v>134</v>
      </c>
      <c r="H76" s="235" t="s">
        <v>135</v>
      </c>
      <c r="I76" s="235" t="s">
        <v>57</v>
      </c>
      <c r="J76" s="236" t="s">
        <v>24</v>
      </c>
      <c r="K76" s="235">
        <v>72500</v>
      </c>
      <c r="L76" s="235" t="s">
        <v>25</v>
      </c>
      <c r="M76" s="237">
        <f t="shared" si="43"/>
        <v>0</v>
      </c>
      <c r="N76" s="237">
        <f t="shared" si="43"/>
        <v>60</v>
      </c>
      <c r="O76" s="237">
        <f t="shared" si="43"/>
        <v>58</v>
      </c>
      <c r="P76" s="237">
        <f t="shared" si="44"/>
        <v>57</v>
      </c>
      <c r="Q76" s="237">
        <f t="shared" si="45"/>
        <v>175</v>
      </c>
      <c r="R76" s="238">
        <v>10</v>
      </c>
      <c r="S76" s="9">
        <f t="shared" si="46"/>
        <v>3.4996363977802436E-3</v>
      </c>
    </row>
    <row r="77" spans="1:39" ht="21.95" customHeight="1" thickBot="1" x14ac:dyDescent="0.25">
      <c r="A77" s="266"/>
      <c r="B77" s="268"/>
      <c r="C77" s="268"/>
      <c r="D77" s="268"/>
      <c r="E77" s="268"/>
      <c r="F77" s="235">
        <v>10242</v>
      </c>
      <c r="G77" s="235" t="s">
        <v>134</v>
      </c>
      <c r="H77" s="235" t="s">
        <v>135</v>
      </c>
      <c r="I77" s="235" t="s">
        <v>57</v>
      </c>
      <c r="J77" s="236" t="s">
        <v>23</v>
      </c>
      <c r="K77" s="235">
        <v>74500</v>
      </c>
      <c r="L77" s="235" t="s">
        <v>49</v>
      </c>
      <c r="M77" s="237">
        <f t="shared" si="43"/>
        <v>0</v>
      </c>
      <c r="N77" s="237">
        <f t="shared" si="43"/>
        <v>392</v>
      </c>
      <c r="O77" s="237">
        <f t="shared" si="43"/>
        <v>381</v>
      </c>
      <c r="P77" s="237">
        <f t="shared" si="44"/>
        <v>381</v>
      </c>
      <c r="Q77" s="237">
        <f t="shared" si="45"/>
        <v>1154</v>
      </c>
      <c r="R77" s="238">
        <v>11</v>
      </c>
      <c r="S77" s="9">
        <f t="shared" si="46"/>
        <v>2.3087514687527108E-2</v>
      </c>
    </row>
    <row r="78" spans="1:39" ht="21.95" customHeight="1" thickBot="1" x14ac:dyDescent="0.25">
      <c r="A78" s="266"/>
      <c r="B78" s="268"/>
      <c r="C78" s="268"/>
      <c r="D78" s="268"/>
      <c r="E78" s="268"/>
      <c r="F78" s="235">
        <v>10242</v>
      </c>
      <c r="G78" s="235" t="s">
        <v>134</v>
      </c>
      <c r="H78" s="235" t="s">
        <v>135</v>
      </c>
      <c r="I78" s="235" t="s">
        <v>57</v>
      </c>
      <c r="J78" s="236" t="s">
        <v>26</v>
      </c>
      <c r="K78" s="235">
        <v>75700</v>
      </c>
      <c r="L78" s="235" t="s">
        <v>27</v>
      </c>
      <c r="M78" s="237">
        <f t="shared" si="43"/>
        <v>0</v>
      </c>
      <c r="N78" s="237">
        <f t="shared" si="43"/>
        <v>308</v>
      </c>
      <c r="O78" s="237">
        <f t="shared" si="43"/>
        <v>299</v>
      </c>
      <c r="P78" s="237">
        <f t="shared" si="44"/>
        <v>298</v>
      </c>
      <c r="Q78" s="237">
        <f t="shared" si="45"/>
        <v>905</v>
      </c>
      <c r="R78" s="238">
        <v>6</v>
      </c>
      <c r="S78" s="9">
        <f t="shared" si="46"/>
        <v>1.810037452749574E-2</v>
      </c>
    </row>
    <row r="79" spans="1:39" ht="21.95" customHeight="1" thickBot="1" x14ac:dyDescent="0.25">
      <c r="A79" s="266"/>
      <c r="B79" s="268"/>
      <c r="C79" s="268"/>
      <c r="D79" s="268"/>
      <c r="E79" s="268"/>
      <c r="F79" s="235">
        <v>10242</v>
      </c>
      <c r="G79" s="235" t="s">
        <v>134</v>
      </c>
      <c r="H79" s="235" t="s">
        <v>135</v>
      </c>
      <c r="I79" s="235" t="s">
        <v>57</v>
      </c>
      <c r="J79" s="236" t="s">
        <v>28</v>
      </c>
      <c r="K79" s="235">
        <v>61300</v>
      </c>
      <c r="L79" s="235" t="s">
        <v>30</v>
      </c>
      <c r="M79" s="237">
        <f t="shared" si="43"/>
        <v>0</v>
      </c>
      <c r="N79" s="237">
        <f t="shared" si="43"/>
        <v>0</v>
      </c>
      <c r="O79" s="237">
        <f t="shared" si="43"/>
        <v>0</v>
      </c>
      <c r="P79" s="237">
        <f t="shared" si="44"/>
        <v>0</v>
      </c>
      <c r="Q79" s="237">
        <f t="shared" si="45"/>
        <v>0</v>
      </c>
      <c r="R79" s="238">
        <v>4</v>
      </c>
      <c r="S79" s="9">
        <f t="shared" si="46"/>
        <v>0</v>
      </c>
    </row>
    <row r="80" spans="1:39" ht="21.95" customHeight="1" thickBot="1" x14ac:dyDescent="0.25">
      <c r="A80" s="266"/>
      <c r="B80" s="268"/>
      <c r="C80" s="269" t="s">
        <v>31</v>
      </c>
      <c r="D80" s="269"/>
      <c r="E80" s="269"/>
      <c r="F80" s="269"/>
      <c r="G80" s="269"/>
      <c r="H80" s="269"/>
      <c r="I80" s="269"/>
      <c r="J80" s="269"/>
      <c r="K80" s="269"/>
      <c r="L80" s="269"/>
      <c r="M80" s="237">
        <f>SUM(M71:M79)</f>
        <v>0</v>
      </c>
      <c r="N80" s="237">
        <f t="shared" ref="N80:Q80" si="47">SUM(N71:N79)</f>
        <v>2179</v>
      </c>
      <c r="O80" s="237">
        <f t="shared" si="47"/>
        <v>2116</v>
      </c>
      <c r="P80" s="237">
        <f t="shared" si="47"/>
        <v>2114</v>
      </c>
      <c r="Q80" s="237">
        <f t="shared" si="47"/>
        <v>6409</v>
      </c>
      <c r="R80" s="238"/>
      <c r="S80" s="9"/>
    </row>
    <row r="81" spans="1:39" ht="21.95" customHeight="1" thickBot="1" x14ac:dyDescent="0.25">
      <c r="A81" s="266"/>
      <c r="B81" s="269" t="s">
        <v>60</v>
      </c>
      <c r="C81" s="269"/>
      <c r="D81" s="269"/>
      <c r="E81" s="269"/>
      <c r="F81" s="269"/>
      <c r="G81" s="269"/>
      <c r="H81" s="269"/>
      <c r="I81" s="269"/>
      <c r="J81" s="269"/>
      <c r="K81" s="269"/>
      <c r="L81" s="269"/>
      <c r="M81" s="237">
        <f>M80</f>
        <v>0</v>
      </c>
      <c r="N81" s="237">
        <f t="shared" ref="N81:Q81" si="48">N80</f>
        <v>2179</v>
      </c>
      <c r="O81" s="237">
        <f t="shared" si="48"/>
        <v>2116</v>
      </c>
      <c r="P81" s="237">
        <f t="shared" si="48"/>
        <v>2114</v>
      </c>
      <c r="Q81" s="237">
        <f t="shared" si="48"/>
        <v>6409</v>
      </c>
      <c r="R81" s="238"/>
      <c r="S81" s="9"/>
    </row>
    <row r="82" spans="1:39" ht="21.95" customHeight="1" thickBot="1" x14ac:dyDescent="0.25">
      <c r="A82" s="266"/>
      <c r="B82" s="268" t="s">
        <v>61</v>
      </c>
      <c r="C82" s="265" t="s">
        <v>17</v>
      </c>
      <c r="D82" s="265">
        <v>62000</v>
      </c>
      <c r="E82" s="265">
        <v>10003</v>
      </c>
      <c r="F82" s="235">
        <v>10242</v>
      </c>
      <c r="G82" s="235" t="s">
        <v>134</v>
      </c>
      <c r="H82" s="235" t="s">
        <v>135</v>
      </c>
      <c r="I82" s="235" t="s">
        <v>62</v>
      </c>
      <c r="J82" s="236" t="s">
        <v>19</v>
      </c>
      <c r="K82" s="235">
        <v>71200</v>
      </c>
      <c r="L82" s="235" t="s">
        <v>19</v>
      </c>
      <c r="M82" s="237">
        <f t="shared" ref="M82:O90" si="49">ROUND(M$2*$Q82,0)</f>
        <v>0</v>
      </c>
      <c r="N82" s="237">
        <f t="shared" si="49"/>
        <v>0</v>
      </c>
      <c r="O82" s="237">
        <f t="shared" si="49"/>
        <v>0</v>
      </c>
      <c r="P82" s="237">
        <f t="shared" ref="P82:P90" si="50">Q82-SUM(M82:O82)</f>
        <v>0</v>
      </c>
      <c r="Q82" s="237">
        <f t="shared" ref="Q82:Q90" si="51">ROUND($V$7*S82,0)</f>
        <v>0</v>
      </c>
      <c r="R82" s="238">
        <v>2</v>
      </c>
      <c r="S82" s="9">
        <f t="shared" ref="S82:S90" si="52">VLOOKUP(K82, rpastarratio, 6, FALSE)*VLOOKUP(K82, rpastarratio, 8, FALSE)</f>
        <v>0</v>
      </c>
    </row>
    <row r="83" spans="1:39" ht="21.95" customHeight="1" thickBot="1" x14ac:dyDescent="0.25">
      <c r="A83" s="266"/>
      <c r="B83" s="268"/>
      <c r="C83" s="266"/>
      <c r="D83" s="266"/>
      <c r="E83" s="266"/>
      <c r="F83" s="235">
        <v>10242</v>
      </c>
      <c r="G83" s="235" t="s">
        <v>134</v>
      </c>
      <c r="H83" s="235" t="s">
        <v>135</v>
      </c>
      <c r="I83" s="235" t="s">
        <v>62</v>
      </c>
      <c r="J83" s="236" t="s">
        <v>20</v>
      </c>
      <c r="K83" s="235">
        <v>71300</v>
      </c>
      <c r="L83" s="235" t="s">
        <v>20</v>
      </c>
      <c r="M83" s="237">
        <f t="shared" si="49"/>
        <v>0</v>
      </c>
      <c r="N83" s="237">
        <f t="shared" si="49"/>
        <v>4422</v>
      </c>
      <c r="O83" s="237">
        <f t="shared" si="49"/>
        <v>4292</v>
      </c>
      <c r="P83" s="237">
        <f t="shared" si="50"/>
        <v>4292</v>
      </c>
      <c r="Q83" s="237">
        <f t="shared" si="51"/>
        <v>13006</v>
      </c>
      <c r="R83" s="238">
        <v>3</v>
      </c>
      <c r="S83" s="9">
        <f t="shared" si="52"/>
        <v>1.1084820146212824E-2</v>
      </c>
    </row>
    <row r="84" spans="1:39" ht="21.95" customHeight="1" thickBot="1" x14ac:dyDescent="0.25">
      <c r="A84" s="266"/>
      <c r="B84" s="268"/>
      <c r="C84" s="266"/>
      <c r="D84" s="266"/>
      <c r="E84" s="266"/>
      <c r="F84" s="235">
        <v>10242</v>
      </c>
      <c r="G84" s="235" t="s">
        <v>134</v>
      </c>
      <c r="H84" s="235" t="s">
        <v>135</v>
      </c>
      <c r="I84" s="235" t="s">
        <v>62</v>
      </c>
      <c r="J84" s="236" t="s">
        <v>21</v>
      </c>
      <c r="K84" s="235">
        <v>71400</v>
      </c>
      <c r="L84" s="235" t="s">
        <v>22</v>
      </c>
      <c r="M84" s="237">
        <f t="shared" si="49"/>
        <v>0</v>
      </c>
      <c r="N84" s="237">
        <f t="shared" si="49"/>
        <v>12475</v>
      </c>
      <c r="O84" s="237">
        <f t="shared" si="49"/>
        <v>12108</v>
      </c>
      <c r="P84" s="237">
        <f t="shared" si="50"/>
        <v>12107</v>
      </c>
      <c r="Q84" s="237">
        <f t="shared" si="51"/>
        <v>36690</v>
      </c>
      <c r="R84" s="238">
        <v>5</v>
      </c>
      <c r="S84" s="9">
        <f t="shared" si="52"/>
        <v>3.1270142178718492E-2</v>
      </c>
    </row>
    <row r="85" spans="1:39" ht="21.95" customHeight="1" thickBot="1" x14ac:dyDescent="0.25">
      <c r="A85" s="266"/>
      <c r="B85" s="268"/>
      <c r="C85" s="266"/>
      <c r="D85" s="266"/>
      <c r="E85" s="266"/>
      <c r="F85" s="235">
        <v>10242</v>
      </c>
      <c r="G85" s="235" t="s">
        <v>134</v>
      </c>
      <c r="H85" s="235" t="s">
        <v>135</v>
      </c>
      <c r="I85" s="235" t="s">
        <v>62</v>
      </c>
      <c r="J85" s="236" t="s">
        <v>23</v>
      </c>
      <c r="K85" s="235">
        <v>71600</v>
      </c>
      <c r="L85" s="235" t="s">
        <v>23</v>
      </c>
      <c r="M85" s="237">
        <f t="shared" si="49"/>
        <v>0</v>
      </c>
      <c r="N85" s="237">
        <f t="shared" si="49"/>
        <v>16410</v>
      </c>
      <c r="O85" s="237">
        <f t="shared" si="49"/>
        <v>15927</v>
      </c>
      <c r="P85" s="237">
        <f t="shared" si="50"/>
        <v>15927</v>
      </c>
      <c r="Q85" s="237">
        <f t="shared" si="51"/>
        <v>48264</v>
      </c>
      <c r="R85" s="238">
        <v>7</v>
      </c>
      <c r="S85" s="9">
        <f t="shared" si="52"/>
        <v>4.1134974061424953E-2</v>
      </c>
    </row>
    <row r="86" spans="1:39" ht="21.95" customHeight="1" thickBot="1" x14ac:dyDescent="0.25">
      <c r="A86" s="266"/>
      <c r="B86" s="268"/>
      <c r="C86" s="266"/>
      <c r="D86" s="266"/>
      <c r="E86" s="266"/>
      <c r="F86" s="235">
        <v>10242</v>
      </c>
      <c r="G86" s="235" t="s">
        <v>134</v>
      </c>
      <c r="H86" s="235" t="s">
        <v>135</v>
      </c>
      <c r="I86" s="235" t="s">
        <v>62</v>
      </c>
      <c r="J86" s="236" t="s">
        <v>58</v>
      </c>
      <c r="K86" s="235">
        <v>72100</v>
      </c>
      <c r="L86" s="235" t="s">
        <v>59</v>
      </c>
      <c r="M86" s="237">
        <f t="shared" si="49"/>
        <v>0</v>
      </c>
      <c r="N86" s="237">
        <f t="shared" si="49"/>
        <v>0</v>
      </c>
      <c r="O86" s="237">
        <f t="shared" si="49"/>
        <v>0</v>
      </c>
      <c r="P86" s="237">
        <f t="shared" si="50"/>
        <v>0</v>
      </c>
      <c r="Q86" s="237">
        <f t="shared" si="51"/>
        <v>0</v>
      </c>
      <c r="R86" s="238">
        <v>12</v>
      </c>
      <c r="S86" s="9">
        <f t="shared" si="52"/>
        <v>0</v>
      </c>
    </row>
    <row r="87" spans="1:39" ht="21.95" customHeight="1" thickBot="1" x14ac:dyDescent="0.25">
      <c r="A87" s="266"/>
      <c r="B87" s="268"/>
      <c r="C87" s="266"/>
      <c r="D87" s="266"/>
      <c r="E87" s="266"/>
      <c r="F87" s="235">
        <v>10242</v>
      </c>
      <c r="G87" s="235" t="s">
        <v>134</v>
      </c>
      <c r="H87" s="235" t="s">
        <v>135</v>
      </c>
      <c r="I87" s="235" t="s">
        <v>62</v>
      </c>
      <c r="J87" s="236" t="s">
        <v>24</v>
      </c>
      <c r="K87" s="235">
        <v>72500</v>
      </c>
      <c r="L87" s="235" t="s">
        <v>25</v>
      </c>
      <c r="M87" s="237">
        <f t="shared" si="49"/>
        <v>0</v>
      </c>
      <c r="N87" s="237">
        <f t="shared" si="49"/>
        <v>1396</v>
      </c>
      <c r="O87" s="237">
        <f t="shared" si="49"/>
        <v>1355</v>
      </c>
      <c r="P87" s="237">
        <f t="shared" si="50"/>
        <v>1355</v>
      </c>
      <c r="Q87" s="237">
        <f t="shared" si="51"/>
        <v>4106</v>
      </c>
      <c r="R87" s="238">
        <v>10</v>
      </c>
      <c r="S87" s="9">
        <f t="shared" si="52"/>
        <v>3.4996363977802419E-3</v>
      </c>
    </row>
    <row r="88" spans="1:39" ht="21.95" customHeight="1" thickBot="1" x14ac:dyDescent="0.25">
      <c r="A88" s="266"/>
      <c r="B88" s="268"/>
      <c r="C88" s="266"/>
      <c r="D88" s="266"/>
      <c r="E88" s="266"/>
      <c r="F88" s="235">
        <v>10242</v>
      </c>
      <c r="G88" s="235" t="s">
        <v>134</v>
      </c>
      <c r="H88" s="235" t="s">
        <v>135</v>
      </c>
      <c r="I88" s="235" t="s">
        <v>62</v>
      </c>
      <c r="J88" s="236" t="s">
        <v>23</v>
      </c>
      <c r="K88" s="235">
        <v>74500</v>
      </c>
      <c r="L88" s="235" t="s">
        <v>49</v>
      </c>
      <c r="M88" s="237">
        <f t="shared" si="49"/>
        <v>0</v>
      </c>
      <c r="N88" s="237">
        <f t="shared" si="49"/>
        <v>9210</v>
      </c>
      <c r="O88" s="237">
        <f t="shared" si="49"/>
        <v>8939</v>
      </c>
      <c r="P88" s="237">
        <f t="shared" si="50"/>
        <v>8940</v>
      </c>
      <c r="Q88" s="237">
        <f t="shared" si="51"/>
        <v>27089</v>
      </c>
      <c r="R88" s="238">
        <v>11</v>
      </c>
      <c r="S88" s="9">
        <f t="shared" si="52"/>
        <v>2.3087514687527094E-2</v>
      </c>
    </row>
    <row r="89" spans="1:39" ht="21.95" customHeight="1" thickBot="1" x14ac:dyDescent="0.25">
      <c r="A89" s="266"/>
      <c r="B89" s="268"/>
      <c r="C89" s="266"/>
      <c r="D89" s="266"/>
      <c r="E89" s="266"/>
      <c r="F89" s="235">
        <v>10242</v>
      </c>
      <c r="G89" s="235" t="s">
        <v>134</v>
      </c>
      <c r="H89" s="235" t="s">
        <v>135</v>
      </c>
      <c r="I89" s="235" t="s">
        <v>62</v>
      </c>
      <c r="J89" s="236" t="s">
        <v>26</v>
      </c>
      <c r="K89" s="235">
        <v>75700</v>
      </c>
      <c r="L89" s="235" t="s">
        <v>27</v>
      </c>
      <c r="M89" s="237">
        <f t="shared" si="49"/>
        <v>0</v>
      </c>
      <c r="N89" s="237">
        <f t="shared" si="49"/>
        <v>7221</v>
      </c>
      <c r="O89" s="237">
        <f t="shared" si="49"/>
        <v>7008</v>
      </c>
      <c r="P89" s="237">
        <f t="shared" si="50"/>
        <v>7008</v>
      </c>
      <c r="Q89" s="237">
        <f t="shared" si="51"/>
        <v>21237</v>
      </c>
      <c r="R89" s="238">
        <v>6</v>
      </c>
      <c r="S89" s="9">
        <f t="shared" si="52"/>
        <v>1.8100374527495727E-2</v>
      </c>
    </row>
    <row r="90" spans="1:39" ht="21.95" customHeight="1" thickBot="1" x14ac:dyDescent="0.25">
      <c r="A90" s="266"/>
      <c r="B90" s="268"/>
      <c r="C90" s="267"/>
      <c r="D90" s="267"/>
      <c r="E90" s="267"/>
      <c r="F90" s="235">
        <v>10242</v>
      </c>
      <c r="G90" s="235" t="s">
        <v>134</v>
      </c>
      <c r="H90" s="235" t="s">
        <v>135</v>
      </c>
      <c r="I90" s="235" t="s">
        <v>62</v>
      </c>
      <c r="J90" s="236" t="s">
        <v>28</v>
      </c>
      <c r="K90" s="235">
        <v>61300</v>
      </c>
      <c r="L90" s="235" t="s">
        <v>30</v>
      </c>
      <c r="M90" s="237">
        <f t="shared" si="49"/>
        <v>0</v>
      </c>
      <c r="N90" s="237">
        <f t="shared" si="49"/>
        <v>0</v>
      </c>
      <c r="O90" s="237">
        <f t="shared" si="49"/>
        <v>0</v>
      </c>
      <c r="P90" s="237">
        <f t="shared" si="50"/>
        <v>0</v>
      </c>
      <c r="Q90" s="237">
        <f t="shared" si="51"/>
        <v>0</v>
      </c>
      <c r="R90" s="238">
        <v>4</v>
      </c>
      <c r="S90" s="9">
        <f t="shared" si="52"/>
        <v>0</v>
      </c>
    </row>
    <row r="91" spans="1:39" ht="21.95" customHeight="1" thickBot="1" x14ac:dyDescent="0.25">
      <c r="A91" s="266"/>
      <c r="B91" s="268"/>
      <c r="C91" s="270" t="s">
        <v>31</v>
      </c>
      <c r="D91" s="270"/>
      <c r="E91" s="270"/>
      <c r="F91" s="270"/>
      <c r="G91" s="270"/>
      <c r="H91" s="270"/>
      <c r="I91" s="270"/>
      <c r="J91" s="270"/>
      <c r="K91" s="270"/>
      <c r="L91" s="270"/>
      <c r="M91" s="237">
        <f>SUM(M82:M90)</f>
        <v>0</v>
      </c>
      <c r="N91" s="237">
        <f t="shared" ref="N91:Q91" si="53">SUM(N82:N90)</f>
        <v>51134</v>
      </c>
      <c r="O91" s="237">
        <f t="shared" si="53"/>
        <v>49629</v>
      </c>
      <c r="P91" s="237">
        <f t="shared" si="53"/>
        <v>49629</v>
      </c>
      <c r="Q91" s="237">
        <f t="shared" si="53"/>
        <v>150392</v>
      </c>
      <c r="R91" s="238"/>
      <c r="T91" s="17"/>
      <c r="AC91" s="11"/>
      <c r="AE91" s="15"/>
      <c r="AF91" s="12"/>
      <c r="AG91" s="13"/>
    </row>
    <row r="92" spans="1:39" ht="21.95" customHeight="1" thickBot="1" x14ac:dyDescent="0.25">
      <c r="A92" s="267"/>
      <c r="B92" s="270" t="s">
        <v>63</v>
      </c>
      <c r="C92" s="270"/>
      <c r="D92" s="270"/>
      <c r="E92" s="270"/>
      <c r="F92" s="270"/>
      <c r="G92" s="270"/>
      <c r="H92" s="270"/>
      <c r="I92" s="270"/>
      <c r="J92" s="270"/>
      <c r="K92" s="270"/>
      <c r="L92" s="270"/>
      <c r="M92" s="237">
        <f>M91</f>
        <v>0</v>
      </c>
      <c r="N92" s="237">
        <f t="shared" ref="N92:Q92" si="54">N91</f>
        <v>51134</v>
      </c>
      <c r="O92" s="237">
        <f t="shared" si="54"/>
        <v>49629</v>
      </c>
      <c r="P92" s="237">
        <f t="shared" si="54"/>
        <v>49629</v>
      </c>
      <c r="Q92" s="237">
        <f t="shared" si="54"/>
        <v>150392</v>
      </c>
      <c r="R92" s="238"/>
      <c r="T92" s="10"/>
      <c r="AC92" s="11"/>
      <c r="AF92" s="12"/>
      <c r="AG92" s="13"/>
    </row>
    <row r="93" spans="1:39" ht="21.95" customHeight="1" thickBot="1" x14ac:dyDescent="0.25">
      <c r="A93" s="271" t="s">
        <v>64</v>
      </c>
      <c r="B93" s="272"/>
      <c r="C93" s="272"/>
      <c r="D93" s="272"/>
      <c r="E93" s="272"/>
      <c r="F93" s="272"/>
      <c r="G93" s="272"/>
      <c r="H93" s="272"/>
      <c r="I93" s="272"/>
      <c r="J93" s="272"/>
      <c r="K93" s="272"/>
      <c r="L93" s="273"/>
      <c r="M93" s="237">
        <f>M81+M92</f>
        <v>0</v>
      </c>
      <c r="N93" s="237">
        <f t="shared" ref="N93:Q93" si="55">N81+N92</f>
        <v>53313</v>
      </c>
      <c r="O93" s="237">
        <f t="shared" si="55"/>
        <v>51745</v>
      </c>
      <c r="P93" s="237">
        <f t="shared" si="55"/>
        <v>51743</v>
      </c>
      <c r="Q93" s="237">
        <f t="shared" si="55"/>
        <v>156801</v>
      </c>
      <c r="R93" s="238"/>
      <c r="U93" s="14"/>
      <c r="AC93" s="15"/>
      <c r="AM93" s="16"/>
    </row>
    <row r="94" spans="1:39" ht="21.95" customHeight="1" thickBot="1" x14ac:dyDescent="0.25">
      <c r="A94" s="265" t="s">
        <v>65</v>
      </c>
      <c r="B94" s="268" t="s">
        <v>66</v>
      </c>
      <c r="C94" s="268" t="s">
        <v>17</v>
      </c>
      <c r="D94" s="268">
        <v>62000</v>
      </c>
      <c r="E94" s="268">
        <v>10003</v>
      </c>
      <c r="F94" s="235">
        <v>10242</v>
      </c>
      <c r="G94" s="235" t="s">
        <v>134</v>
      </c>
      <c r="H94" s="235" t="s">
        <v>135</v>
      </c>
      <c r="I94" s="235" t="s">
        <v>66</v>
      </c>
      <c r="J94" s="236" t="s">
        <v>21</v>
      </c>
      <c r="K94" s="235">
        <v>71400</v>
      </c>
      <c r="L94" s="235" t="s">
        <v>22</v>
      </c>
      <c r="M94" s="237">
        <f t="shared" ref="M94:O108" si="56">ROUND(M$2*$Q94,0)</f>
        <v>0</v>
      </c>
      <c r="N94" s="237">
        <f t="shared" si="56"/>
        <v>3323</v>
      </c>
      <c r="O94" s="237">
        <f t="shared" si="56"/>
        <v>3225</v>
      </c>
      <c r="P94" s="237">
        <f t="shared" ref="P94:P108" si="57">Q94-SUM(M94:O94)</f>
        <v>3225</v>
      </c>
      <c r="Q94" s="237">
        <f t="shared" ref="Q94:Q104" si="58">ROUND($V$6*S94,0)</f>
        <v>9773</v>
      </c>
      <c r="R94" s="238">
        <v>5</v>
      </c>
      <c r="S94" s="9">
        <f t="shared" ref="S94:S108" si="59">VLOOKUP(K94, rpacoreratio, 7, FALSE)*VLOOKUP(K94, rpacoreratio, 8, FALSE)</f>
        <v>0.19546413010552866</v>
      </c>
    </row>
    <row r="95" spans="1:39" ht="21.95" customHeight="1" thickBot="1" x14ac:dyDescent="0.25">
      <c r="A95" s="266"/>
      <c r="B95" s="268"/>
      <c r="C95" s="268"/>
      <c r="D95" s="268"/>
      <c r="E95" s="268"/>
      <c r="F95" s="235">
        <v>10242</v>
      </c>
      <c r="G95" s="235" t="s">
        <v>134</v>
      </c>
      <c r="H95" s="235" t="s">
        <v>135</v>
      </c>
      <c r="I95" s="235" t="s">
        <v>66</v>
      </c>
      <c r="J95" s="236" t="s">
        <v>23</v>
      </c>
      <c r="K95" s="235">
        <v>71600</v>
      </c>
      <c r="L95" s="235" t="s">
        <v>23</v>
      </c>
      <c r="M95" s="237">
        <f t="shared" si="56"/>
        <v>0</v>
      </c>
      <c r="N95" s="237">
        <f t="shared" si="56"/>
        <v>324</v>
      </c>
      <c r="O95" s="237">
        <f t="shared" si="56"/>
        <v>315</v>
      </c>
      <c r="P95" s="237">
        <f t="shared" si="57"/>
        <v>315</v>
      </c>
      <c r="Q95" s="237">
        <f t="shared" si="58"/>
        <v>954</v>
      </c>
      <c r="R95" s="238">
        <v>7</v>
      </c>
      <c r="S95" s="9">
        <f t="shared" si="59"/>
        <v>1.9088921632889836E-2</v>
      </c>
    </row>
    <row r="96" spans="1:39" ht="21.95" customHeight="1" thickBot="1" x14ac:dyDescent="0.25">
      <c r="A96" s="266"/>
      <c r="B96" s="268"/>
      <c r="C96" s="268"/>
      <c r="D96" s="268"/>
      <c r="E96" s="268"/>
      <c r="F96" s="235">
        <v>10242</v>
      </c>
      <c r="G96" s="235" t="s">
        <v>134</v>
      </c>
      <c r="H96" s="235" t="s">
        <v>135</v>
      </c>
      <c r="I96" s="235" t="s">
        <v>66</v>
      </c>
      <c r="J96" s="236" t="s">
        <v>58</v>
      </c>
      <c r="K96" s="235">
        <v>72200</v>
      </c>
      <c r="L96" s="235" t="s">
        <v>67</v>
      </c>
      <c r="M96" s="237">
        <f t="shared" si="56"/>
        <v>0</v>
      </c>
      <c r="N96" s="237">
        <f t="shared" si="56"/>
        <v>23</v>
      </c>
      <c r="O96" s="237">
        <f t="shared" si="56"/>
        <v>23</v>
      </c>
      <c r="P96" s="237">
        <f t="shared" si="57"/>
        <v>23</v>
      </c>
      <c r="Q96" s="237">
        <f t="shared" si="58"/>
        <v>69</v>
      </c>
      <c r="R96" s="238">
        <v>13</v>
      </c>
      <c r="S96" s="9">
        <f t="shared" si="59"/>
        <v>1.3809950556502937E-3</v>
      </c>
    </row>
    <row r="97" spans="1:39" ht="21.95" customHeight="1" thickBot="1" x14ac:dyDescent="0.25">
      <c r="A97" s="266"/>
      <c r="B97" s="268"/>
      <c r="C97" s="268"/>
      <c r="D97" s="268"/>
      <c r="E97" s="268"/>
      <c r="F97" s="235">
        <v>10242</v>
      </c>
      <c r="G97" s="235" t="s">
        <v>134</v>
      </c>
      <c r="H97" s="235" t="s">
        <v>135</v>
      </c>
      <c r="I97" s="235" t="s">
        <v>66</v>
      </c>
      <c r="J97" s="236" t="s">
        <v>58</v>
      </c>
      <c r="K97" s="235">
        <v>72300</v>
      </c>
      <c r="L97" s="235" t="s">
        <v>68</v>
      </c>
      <c r="M97" s="237">
        <f t="shared" si="56"/>
        <v>0</v>
      </c>
      <c r="N97" s="237">
        <f t="shared" si="56"/>
        <v>0</v>
      </c>
      <c r="O97" s="237">
        <f t="shared" si="56"/>
        <v>0</v>
      </c>
      <c r="P97" s="237">
        <f t="shared" si="57"/>
        <v>0</v>
      </c>
      <c r="Q97" s="237">
        <f t="shared" si="58"/>
        <v>0</v>
      </c>
      <c r="R97" s="238">
        <v>14</v>
      </c>
      <c r="S97" s="9">
        <f t="shared" si="59"/>
        <v>0</v>
      </c>
    </row>
    <row r="98" spans="1:39" ht="21.95" customHeight="1" thickBot="1" x14ac:dyDescent="0.25">
      <c r="A98" s="266"/>
      <c r="B98" s="268"/>
      <c r="C98" s="268"/>
      <c r="D98" s="268"/>
      <c r="E98" s="268"/>
      <c r="F98" s="235">
        <v>10242</v>
      </c>
      <c r="G98" s="235" t="s">
        <v>134</v>
      </c>
      <c r="H98" s="235" t="s">
        <v>135</v>
      </c>
      <c r="I98" s="235" t="s">
        <v>66</v>
      </c>
      <c r="J98" s="236" t="s">
        <v>58</v>
      </c>
      <c r="K98" s="235">
        <v>72400</v>
      </c>
      <c r="L98" s="235" t="s">
        <v>69</v>
      </c>
      <c r="M98" s="237">
        <f t="shared" si="56"/>
        <v>0</v>
      </c>
      <c r="N98" s="237">
        <f t="shared" si="56"/>
        <v>167</v>
      </c>
      <c r="O98" s="237">
        <f t="shared" si="56"/>
        <v>162</v>
      </c>
      <c r="P98" s="237">
        <f t="shared" si="57"/>
        <v>162</v>
      </c>
      <c r="Q98" s="237">
        <f t="shared" si="58"/>
        <v>491</v>
      </c>
      <c r="R98" s="238">
        <v>15</v>
      </c>
      <c r="S98" s="9">
        <f t="shared" si="59"/>
        <v>9.8297058690645835E-3</v>
      </c>
    </row>
    <row r="99" spans="1:39" ht="21.95" customHeight="1" thickBot="1" x14ac:dyDescent="0.25">
      <c r="A99" s="266"/>
      <c r="B99" s="268"/>
      <c r="C99" s="268"/>
      <c r="D99" s="268"/>
      <c r="E99" s="268"/>
      <c r="F99" s="235">
        <v>10242</v>
      </c>
      <c r="G99" s="235" t="s">
        <v>134</v>
      </c>
      <c r="H99" s="235" t="s">
        <v>135</v>
      </c>
      <c r="I99" s="235" t="s">
        <v>66</v>
      </c>
      <c r="J99" s="236" t="s">
        <v>24</v>
      </c>
      <c r="K99" s="235">
        <v>72500</v>
      </c>
      <c r="L99" s="235" t="s">
        <v>25</v>
      </c>
      <c r="M99" s="237">
        <f t="shared" si="56"/>
        <v>0</v>
      </c>
      <c r="N99" s="237">
        <f t="shared" si="56"/>
        <v>152</v>
      </c>
      <c r="O99" s="237">
        <f t="shared" si="56"/>
        <v>148</v>
      </c>
      <c r="P99" s="237">
        <f t="shared" si="57"/>
        <v>147</v>
      </c>
      <c r="Q99" s="237">
        <f t="shared" si="58"/>
        <v>447</v>
      </c>
      <c r="R99" s="238">
        <v>10</v>
      </c>
      <c r="S99" s="9">
        <f t="shared" si="59"/>
        <v>8.9354246977183076E-3</v>
      </c>
    </row>
    <row r="100" spans="1:39" ht="21.95" customHeight="1" thickBot="1" x14ac:dyDescent="0.25">
      <c r="A100" s="266"/>
      <c r="B100" s="268"/>
      <c r="C100" s="268"/>
      <c r="D100" s="268"/>
      <c r="E100" s="268"/>
      <c r="F100" s="235">
        <v>10242</v>
      </c>
      <c r="G100" s="235" t="s">
        <v>134</v>
      </c>
      <c r="H100" s="235" t="s">
        <v>135</v>
      </c>
      <c r="I100" s="235" t="s">
        <v>66</v>
      </c>
      <c r="J100" s="236" t="s">
        <v>58</v>
      </c>
      <c r="K100" s="235">
        <v>72800</v>
      </c>
      <c r="L100" s="235" t="s">
        <v>70</v>
      </c>
      <c r="M100" s="237">
        <f t="shared" si="56"/>
        <v>0</v>
      </c>
      <c r="N100" s="237">
        <f t="shared" si="56"/>
        <v>106</v>
      </c>
      <c r="O100" s="237">
        <f t="shared" si="56"/>
        <v>103</v>
      </c>
      <c r="P100" s="237">
        <f t="shared" si="57"/>
        <v>104</v>
      </c>
      <c r="Q100" s="237">
        <f t="shared" si="58"/>
        <v>313</v>
      </c>
      <c r="R100" s="238">
        <v>16</v>
      </c>
      <c r="S100" s="9">
        <f t="shared" si="59"/>
        <v>6.2690135248252626E-3</v>
      </c>
    </row>
    <row r="101" spans="1:39" ht="21.95" customHeight="1" thickBot="1" x14ac:dyDescent="0.25">
      <c r="A101" s="266"/>
      <c r="B101" s="268"/>
      <c r="C101" s="268"/>
      <c r="D101" s="268"/>
      <c r="E101" s="268"/>
      <c r="F101" s="235">
        <v>10242</v>
      </c>
      <c r="G101" s="235" t="s">
        <v>134</v>
      </c>
      <c r="H101" s="235" t="s">
        <v>135</v>
      </c>
      <c r="I101" s="235" t="s">
        <v>66</v>
      </c>
      <c r="J101" s="236" t="s">
        <v>71</v>
      </c>
      <c r="K101" s="235">
        <v>73100</v>
      </c>
      <c r="L101" s="235" t="s">
        <v>72</v>
      </c>
      <c r="M101" s="237">
        <f t="shared" si="56"/>
        <v>0</v>
      </c>
      <c r="N101" s="237">
        <f t="shared" si="56"/>
        <v>1372</v>
      </c>
      <c r="O101" s="237">
        <f t="shared" si="56"/>
        <v>1332</v>
      </c>
      <c r="P101" s="237">
        <f t="shared" si="57"/>
        <v>1332</v>
      </c>
      <c r="Q101" s="237">
        <f t="shared" si="58"/>
        <v>4036</v>
      </c>
      <c r="R101" s="238">
        <v>8</v>
      </c>
      <c r="S101" s="9">
        <f t="shared" si="59"/>
        <v>8.0719428593636136E-2</v>
      </c>
    </row>
    <row r="102" spans="1:39" ht="21.95" customHeight="1" thickBot="1" x14ac:dyDescent="0.25">
      <c r="A102" s="266"/>
      <c r="B102" s="268"/>
      <c r="C102" s="268"/>
      <c r="D102" s="268"/>
      <c r="E102" s="268"/>
      <c r="F102" s="235">
        <v>10242</v>
      </c>
      <c r="G102" s="235" t="s">
        <v>134</v>
      </c>
      <c r="H102" s="235" t="s">
        <v>135</v>
      </c>
      <c r="I102" s="235" t="s">
        <v>66</v>
      </c>
      <c r="J102" s="236" t="s">
        <v>58</v>
      </c>
      <c r="K102" s="235">
        <v>73400</v>
      </c>
      <c r="L102" s="235" t="s">
        <v>73</v>
      </c>
      <c r="M102" s="237">
        <f t="shared" si="56"/>
        <v>0</v>
      </c>
      <c r="N102" s="237">
        <f t="shared" si="56"/>
        <v>81</v>
      </c>
      <c r="O102" s="237">
        <f t="shared" si="56"/>
        <v>78</v>
      </c>
      <c r="P102" s="237">
        <f t="shared" si="57"/>
        <v>78</v>
      </c>
      <c r="Q102" s="237">
        <f t="shared" si="58"/>
        <v>237</v>
      </c>
      <c r="R102" s="238">
        <v>17</v>
      </c>
      <c r="S102" s="9">
        <f t="shared" si="59"/>
        <v>4.7455922829596296E-3</v>
      </c>
    </row>
    <row r="103" spans="1:39" ht="21.95" customHeight="1" thickBot="1" x14ac:dyDescent="0.25">
      <c r="A103" s="266"/>
      <c r="B103" s="268"/>
      <c r="C103" s="268"/>
      <c r="D103" s="268"/>
      <c r="E103" s="268"/>
      <c r="F103" s="235">
        <v>10242</v>
      </c>
      <c r="G103" s="235" t="s">
        <v>134</v>
      </c>
      <c r="H103" s="235" t="s">
        <v>135</v>
      </c>
      <c r="I103" s="235" t="s">
        <v>66</v>
      </c>
      <c r="J103" s="236" t="s">
        <v>74</v>
      </c>
      <c r="K103" s="235">
        <v>74100</v>
      </c>
      <c r="L103" s="235" t="s">
        <v>75</v>
      </c>
      <c r="M103" s="237">
        <f t="shared" si="56"/>
        <v>0</v>
      </c>
      <c r="N103" s="237">
        <f t="shared" si="56"/>
        <v>218</v>
      </c>
      <c r="O103" s="237">
        <f t="shared" si="56"/>
        <v>211</v>
      </c>
      <c r="P103" s="237">
        <f t="shared" si="57"/>
        <v>211</v>
      </c>
      <c r="Q103" s="237">
        <f t="shared" si="58"/>
        <v>640</v>
      </c>
      <c r="R103" s="238">
        <v>9</v>
      </c>
      <c r="S103" s="9">
        <f t="shared" si="59"/>
        <v>1.279755251095744E-2</v>
      </c>
    </row>
    <row r="104" spans="1:39" ht="21.95" customHeight="1" thickBot="1" x14ac:dyDescent="0.25">
      <c r="A104" s="266"/>
      <c r="B104" s="268"/>
      <c r="C104" s="268"/>
      <c r="D104" s="268"/>
      <c r="E104" s="268"/>
      <c r="F104" s="235">
        <v>10242</v>
      </c>
      <c r="G104" s="235" t="s">
        <v>134</v>
      </c>
      <c r="H104" s="235" t="s">
        <v>135</v>
      </c>
      <c r="I104" s="235" t="s">
        <v>66</v>
      </c>
      <c r="J104" s="236" t="s">
        <v>58</v>
      </c>
      <c r="K104" s="235">
        <v>74200</v>
      </c>
      <c r="L104" s="235" t="s">
        <v>76</v>
      </c>
      <c r="M104" s="237">
        <f t="shared" si="56"/>
        <v>0</v>
      </c>
      <c r="N104" s="237">
        <f t="shared" si="56"/>
        <v>76</v>
      </c>
      <c r="O104" s="237">
        <f t="shared" si="56"/>
        <v>74</v>
      </c>
      <c r="P104" s="237">
        <f t="shared" si="57"/>
        <v>73</v>
      </c>
      <c r="Q104" s="237">
        <f t="shared" si="58"/>
        <v>223</v>
      </c>
      <c r="R104" s="238">
        <v>18</v>
      </c>
      <c r="S104" s="9">
        <f t="shared" si="59"/>
        <v>4.4532398282170031E-3</v>
      </c>
    </row>
    <row r="105" spans="1:39" ht="21.95" customHeight="1" thickBot="1" x14ac:dyDescent="0.25">
      <c r="A105" s="266"/>
      <c r="B105" s="268"/>
      <c r="C105" s="268"/>
      <c r="D105" s="268"/>
      <c r="E105" s="268"/>
      <c r="F105" s="235">
        <v>10242</v>
      </c>
      <c r="G105" s="235" t="s">
        <v>134</v>
      </c>
      <c r="H105" s="235" t="s">
        <v>135</v>
      </c>
      <c r="I105" s="235" t="s">
        <v>66</v>
      </c>
      <c r="J105" s="236" t="s">
        <v>23</v>
      </c>
      <c r="K105" s="235">
        <v>74500</v>
      </c>
      <c r="L105" s="235" t="s">
        <v>49</v>
      </c>
      <c r="M105" s="237">
        <f t="shared" si="56"/>
        <v>0</v>
      </c>
      <c r="N105" s="237">
        <f t="shared" si="56"/>
        <v>96</v>
      </c>
      <c r="O105" s="237">
        <f t="shared" si="56"/>
        <v>93</v>
      </c>
      <c r="P105" s="237">
        <f t="shared" si="57"/>
        <v>92</v>
      </c>
      <c r="Q105" s="237">
        <f>V6-SUM(Q12,Q25:Q32,Q57,Q80, Q94:Q104)</f>
        <v>281</v>
      </c>
      <c r="R105" s="238">
        <v>11</v>
      </c>
      <c r="S105" s="9">
        <f t="shared" si="59"/>
        <v>5.5771968870457524E-3</v>
      </c>
    </row>
    <row r="106" spans="1:39" ht="21.95" customHeight="1" thickBot="1" x14ac:dyDescent="0.25">
      <c r="A106" s="266"/>
      <c r="B106" s="268"/>
      <c r="C106" s="268"/>
      <c r="D106" s="268"/>
      <c r="E106" s="268"/>
      <c r="F106" s="235">
        <v>10242</v>
      </c>
      <c r="G106" s="235" t="s">
        <v>134</v>
      </c>
      <c r="H106" s="235" t="s">
        <v>135</v>
      </c>
      <c r="I106" s="235" t="s">
        <v>66</v>
      </c>
      <c r="J106" s="236" t="s">
        <v>23</v>
      </c>
      <c r="K106" s="235">
        <v>74700</v>
      </c>
      <c r="L106" s="235" t="s">
        <v>77</v>
      </c>
      <c r="M106" s="237">
        <f t="shared" si="56"/>
        <v>0</v>
      </c>
      <c r="N106" s="237">
        <f t="shared" si="56"/>
        <v>0</v>
      </c>
      <c r="O106" s="237">
        <f t="shared" si="56"/>
        <v>0</v>
      </c>
      <c r="P106" s="237">
        <f t="shared" si="57"/>
        <v>0</v>
      </c>
      <c r="Q106" s="237">
        <f t="shared" ref="Q106:Q108" si="60">$V$6*S106</f>
        <v>0</v>
      </c>
      <c r="R106" s="238">
        <v>19</v>
      </c>
      <c r="S106" s="9">
        <f t="shared" si="59"/>
        <v>0</v>
      </c>
    </row>
    <row r="107" spans="1:39" ht="21.95" customHeight="1" thickBot="1" x14ac:dyDescent="0.25">
      <c r="A107" s="266"/>
      <c r="B107" s="268"/>
      <c r="C107" s="268"/>
      <c r="D107" s="268"/>
      <c r="E107" s="268"/>
      <c r="F107" s="235">
        <v>10242</v>
      </c>
      <c r="G107" s="235" t="s">
        <v>134</v>
      </c>
      <c r="H107" s="235" t="s">
        <v>135</v>
      </c>
      <c r="I107" s="235" t="s">
        <v>66</v>
      </c>
      <c r="J107" s="236" t="s">
        <v>28</v>
      </c>
      <c r="K107" s="235">
        <v>61200</v>
      </c>
      <c r="L107" s="235" t="s">
        <v>29</v>
      </c>
      <c r="M107" s="237">
        <f t="shared" si="56"/>
        <v>0</v>
      </c>
      <c r="N107" s="237">
        <f t="shared" si="56"/>
        <v>0</v>
      </c>
      <c r="O107" s="237">
        <f t="shared" si="56"/>
        <v>0</v>
      </c>
      <c r="P107" s="237">
        <f t="shared" si="57"/>
        <v>0</v>
      </c>
      <c r="Q107" s="237">
        <f t="shared" si="60"/>
        <v>0</v>
      </c>
      <c r="R107" s="238">
        <v>4</v>
      </c>
      <c r="S107" s="9">
        <f t="shared" si="59"/>
        <v>0</v>
      </c>
    </row>
    <row r="108" spans="1:39" s="2" customFormat="1" ht="21.95" customHeight="1" thickBot="1" x14ac:dyDescent="0.25">
      <c r="A108" s="266"/>
      <c r="B108" s="268"/>
      <c r="C108" s="268"/>
      <c r="D108" s="268"/>
      <c r="E108" s="268"/>
      <c r="F108" s="235">
        <v>10242</v>
      </c>
      <c r="G108" s="235" t="s">
        <v>134</v>
      </c>
      <c r="H108" s="235" t="s">
        <v>135</v>
      </c>
      <c r="I108" s="235" t="s">
        <v>66</v>
      </c>
      <c r="J108" s="236" t="s">
        <v>28</v>
      </c>
      <c r="K108" s="235">
        <v>61300</v>
      </c>
      <c r="L108" s="235" t="s">
        <v>30</v>
      </c>
      <c r="M108" s="237">
        <f t="shared" si="56"/>
        <v>0</v>
      </c>
      <c r="N108" s="237">
        <f t="shared" si="56"/>
        <v>0</v>
      </c>
      <c r="O108" s="237">
        <f t="shared" si="56"/>
        <v>0</v>
      </c>
      <c r="P108" s="237">
        <f t="shared" si="57"/>
        <v>0</v>
      </c>
      <c r="Q108" s="237">
        <f t="shared" si="60"/>
        <v>0</v>
      </c>
      <c r="R108" s="238">
        <v>4</v>
      </c>
      <c r="S108" s="9">
        <f t="shared" si="59"/>
        <v>0</v>
      </c>
      <c r="U108" s="1"/>
      <c r="V108" s="1"/>
      <c r="W108" s="1"/>
      <c r="X108" s="1"/>
      <c r="Y108" s="1"/>
      <c r="Z108" s="1"/>
      <c r="AA108" s="1"/>
      <c r="AB108" s="1"/>
      <c r="AC108" s="1"/>
      <c r="AD108" s="1"/>
      <c r="AE108" s="1"/>
      <c r="AF108" s="1"/>
      <c r="AG108" s="1"/>
      <c r="AH108" s="1"/>
      <c r="AI108" s="1"/>
      <c r="AJ108" s="1"/>
      <c r="AK108" s="1"/>
      <c r="AL108" s="1"/>
      <c r="AM108" s="1"/>
    </row>
    <row r="109" spans="1:39" s="2" customFormat="1" ht="21.95" customHeight="1" thickBot="1" x14ac:dyDescent="0.25">
      <c r="A109" s="266"/>
      <c r="B109" s="268"/>
      <c r="C109" s="269" t="s">
        <v>31</v>
      </c>
      <c r="D109" s="269"/>
      <c r="E109" s="269"/>
      <c r="F109" s="269"/>
      <c r="G109" s="269"/>
      <c r="H109" s="269"/>
      <c r="I109" s="269"/>
      <c r="J109" s="269"/>
      <c r="K109" s="269"/>
      <c r="L109" s="269"/>
      <c r="M109" s="237">
        <f>SUM(M94:M108)</f>
        <v>0</v>
      </c>
      <c r="N109" s="237">
        <f t="shared" ref="N109:Q109" si="61">SUM(N94:N108)</f>
        <v>5938</v>
      </c>
      <c r="O109" s="237">
        <f t="shared" si="61"/>
        <v>5764</v>
      </c>
      <c r="P109" s="237">
        <f t="shared" si="61"/>
        <v>5762</v>
      </c>
      <c r="Q109" s="237">
        <f t="shared" si="61"/>
        <v>17464</v>
      </c>
      <c r="R109" s="238"/>
      <c r="S109" s="9"/>
      <c r="U109" s="1"/>
      <c r="V109" s="1"/>
      <c r="W109" s="1"/>
      <c r="X109" s="1"/>
      <c r="Y109" s="1"/>
      <c r="Z109" s="1"/>
      <c r="AA109" s="1"/>
      <c r="AB109" s="1"/>
      <c r="AC109" s="1"/>
      <c r="AD109" s="1"/>
      <c r="AE109" s="1"/>
      <c r="AF109" s="1"/>
      <c r="AG109" s="1"/>
      <c r="AH109" s="1"/>
      <c r="AI109" s="1"/>
      <c r="AJ109" s="1"/>
      <c r="AK109" s="1"/>
      <c r="AL109" s="1"/>
      <c r="AM109" s="1"/>
    </row>
    <row r="110" spans="1:39" s="2" customFormat="1" ht="21.95" customHeight="1" thickBot="1" x14ac:dyDescent="0.25">
      <c r="A110" s="266"/>
      <c r="B110" s="269" t="s">
        <v>78</v>
      </c>
      <c r="C110" s="269"/>
      <c r="D110" s="269"/>
      <c r="E110" s="269"/>
      <c r="F110" s="269"/>
      <c r="G110" s="269"/>
      <c r="H110" s="269"/>
      <c r="I110" s="269"/>
      <c r="J110" s="269"/>
      <c r="K110" s="269"/>
      <c r="L110" s="269"/>
      <c r="M110" s="237">
        <f>M109</f>
        <v>0</v>
      </c>
      <c r="N110" s="237">
        <f t="shared" ref="N110:Q110" si="62">N109</f>
        <v>5938</v>
      </c>
      <c r="O110" s="237">
        <f t="shared" si="62"/>
        <v>5764</v>
      </c>
      <c r="P110" s="237">
        <f t="shared" si="62"/>
        <v>5762</v>
      </c>
      <c r="Q110" s="237">
        <f t="shared" si="62"/>
        <v>17464</v>
      </c>
      <c r="R110" s="238"/>
      <c r="S110" s="9"/>
      <c r="U110" s="1"/>
      <c r="V110" s="1"/>
      <c r="W110" s="1"/>
      <c r="X110" s="1"/>
      <c r="Y110" s="1"/>
      <c r="Z110" s="1"/>
      <c r="AA110" s="1"/>
      <c r="AB110" s="1"/>
      <c r="AC110" s="1"/>
      <c r="AD110" s="1"/>
      <c r="AE110" s="1"/>
      <c r="AF110" s="1"/>
      <c r="AG110" s="1"/>
      <c r="AH110" s="1"/>
      <c r="AI110" s="1"/>
      <c r="AJ110" s="1"/>
      <c r="AK110" s="1"/>
      <c r="AL110" s="1"/>
      <c r="AM110" s="1"/>
    </row>
    <row r="111" spans="1:39" s="2" customFormat="1" ht="21.95" customHeight="1" thickBot="1" x14ac:dyDescent="0.25">
      <c r="A111" s="266"/>
      <c r="B111" s="265" t="s">
        <v>79</v>
      </c>
      <c r="C111" s="265" t="s">
        <v>17</v>
      </c>
      <c r="D111" s="265">
        <v>62000</v>
      </c>
      <c r="E111" s="265">
        <v>10003</v>
      </c>
      <c r="F111" s="235">
        <v>10242</v>
      </c>
      <c r="G111" s="235" t="s">
        <v>134</v>
      </c>
      <c r="H111" s="235" t="s">
        <v>135</v>
      </c>
      <c r="I111" s="235" t="s">
        <v>79</v>
      </c>
      <c r="J111" s="236" t="s">
        <v>21</v>
      </c>
      <c r="K111" s="235">
        <v>71400</v>
      </c>
      <c r="L111" s="235" t="s">
        <v>22</v>
      </c>
      <c r="M111" s="237">
        <f t="shared" ref="M111:O125" si="63">ROUND(M$2*$Q111,0)</f>
        <v>0</v>
      </c>
      <c r="N111" s="237">
        <f t="shared" si="63"/>
        <v>77976</v>
      </c>
      <c r="O111" s="237">
        <f t="shared" si="63"/>
        <v>75683</v>
      </c>
      <c r="P111" s="237">
        <f t="shared" ref="P111:P125" si="64">Q111-SUM(M111:O111)</f>
        <v>75682</v>
      </c>
      <c r="Q111" s="237">
        <f t="shared" ref="Q111:Q121" si="65">ROUND($V$7*S111,0)</f>
        <v>229341</v>
      </c>
      <c r="R111" s="238">
        <v>5</v>
      </c>
      <c r="S111" s="9">
        <f t="shared" ref="S111:S125" si="66">VLOOKUP(K111, rpastarratio, 7, FALSE)*VLOOKUP(K111, rpastarratio, 8, FALSE)</f>
        <v>0.1954641301055286</v>
      </c>
      <c r="U111" s="1"/>
      <c r="V111" s="1"/>
      <c r="W111" s="1"/>
      <c r="X111" s="1"/>
      <c r="Y111" s="1"/>
      <c r="Z111" s="1"/>
      <c r="AA111" s="1"/>
      <c r="AB111" s="1"/>
      <c r="AC111" s="1"/>
      <c r="AD111" s="1"/>
      <c r="AE111" s="1"/>
      <c r="AF111" s="1"/>
      <c r="AG111" s="1"/>
      <c r="AH111" s="1"/>
      <c r="AI111" s="1"/>
      <c r="AJ111" s="1"/>
      <c r="AK111" s="1"/>
      <c r="AL111" s="1"/>
      <c r="AM111" s="1"/>
    </row>
    <row r="112" spans="1:39" s="2" customFormat="1" ht="21.95" customHeight="1" thickBot="1" x14ac:dyDescent="0.25">
      <c r="A112" s="266"/>
      <c r="B112" s="266"/>
      <c r="C112" s="266"/>
      <c r="D112" s="266"/>
      <c r="E112" s="266"/>
      <c r="F112" s="235">
        <v>10242</v>
      </c>
      <c r="G112" s="235" t="s">
        <v>134</v>
      </c>
      <c r="H112" s="235" t="s">
        <v>135</v>
      </c>
      <c r="I112" s="235" t="s">
        <v>79</v>
      </c>
      <c r="J112" s="236" t="s">
        <v>23</v>
      </c>
      <c r="K112" s="235">
        <v>71600</v>
      </c>
      <c r="L112" s="235" t="s">
        <v>23</v>
      </c>
      <c r="M112" s="237">
        <f t="shared" si="63"/>
        <v>0</v>
      </c>
      <c r="N112" s="237">
        <f t="shared" si="63"/>
        <v>7615</v>
      </c>
      <c r="O112" s="237">
        <f t="shared" si="63"/>
        <v>7391</v>
      </c>
      <c r="P112" s="237">
        <f t="shared" si="64"/>
        <v>7391</v>
      </c>
      <c r="Q112" s="237">
        <f t="shared" si="65"/>
        <v>22397</v>
      </c>
      <c r="R112" s="238">
        <v>7</v>
      </c>
      <c r="S112" s="9">
        <f t="shared" si="66"/>
        <v>1.9088921632889829E-2</v>
      </c>
      <c r="U112" s="1"/>
      <c r="V112" s="1"/>
      <c r="W112" s="1"/>
      <c r="X112" s="1"/>
      <c r="Y112" s="1"/>
      <c r="Z112" s="1"/>
      <c r="AA112" s="1"/>
      <c r="AB112" s="1"/>
      <c r="AC112" s="1"/>
      <c r="AD112" s="1"/>
      <c r="AE112" s="1"/>
      <c r="AF112" s="1"/>
      <c r="AG112" s="1"/>
      <c r="AH112" s="1"/>
      <c r="AI112" s="1"/>
      <c r="AJ112" s="1"/>
      <c r="AK112" s="1"/>
      <c r="AL112" s="1"/>
      <c r="AM112" s="1"/>
    </row>
    <row r="113" spans="1:39" s="2" customFormat="1" ht="21.95" customHeight="1" thickBot="1" x14ac:dyDescent="0.25">
      <c r="A113" s="266"/>
      <c r="B113" s="266"/>
      <c r="C113" s="266"/>
      <c r="D113" s="266"/>
      <c r="E113" s="266"/>
      <c r="F113" s="235">
        <v>10242</v>
      </c>
      <c r="G113" s="235" t="s">
        <v>134</v>
      </c>
      <c r="H113" s="235" t="s">
        <v>135</v>
      </c>
      <c r="I113" s="235" t="s">
        <v>79</v>
      </c>
      <c r="J113" s="236" t="s">
        <v>58</v>
      </c>
      <c r="K113" s="235">
        <v>72200</v>
      </c>
      <c r="L113" s="235" t="s">
        <v>67</v>
      </c>
      <c r="M113" s="237">
        <f t="shared" si="63"/>
        <v>0</v>
      </c>
      <c r="N113" s="237">
        <f t="shared" si="63"/>
        <v>551</v>
      </c>
      <c r="O113" s="237">
        <f t="shared" si="63"/>
        <v>535</v>
      </c>
      <c r="P113" s="237">
        <f t="shared" si="64"/>
        <v>534</v>
      </c>
      <c r="Q113" s="237">
        <f t="shared" si="65"/>
        <v>1620</v>
      </c>
      <c r="R113" s="238">
        <v>13</v>
      </c>
      <c r="S113" s="9">
        <f t="shared" si="66"/>
        <v>1.3809950556502931E-3</v>
      </c>
      <c r="U113" s="1"/>
      <c r="V113" s="1"/>
      <c r="W113" s="1"/>
      <c r="X113" s="1"/>
      <c r="Y113" s="1"/>
      <c r="Z113" s="1"/>
      <c r="AA113" s="1"/>
      <c r="AB113" s="1"/>
      <c r="AC113" s="1"/>
      <c r="AD113" s="1"/>
      <c r="AE113" s="1"/>
      <c r="AF113" s="1"/>
      <c r="AG113" s="1"/>
      <c r="AH113" s="1"/>
      <c r="AI113" s="1"/>
      <c r="AJ113" s="1"/>
      <c r="AK113" s="1"/>
      <c r="AL113" s="1"/>
      <c r="AM113" s="1"/>
    </row>
    <row r="114" spans="1:39" s="2" customFormat="1" ht="21.95" customHeight="1" thickBot="1" x14ac:dyDescent="0.25">
      <c r="A114" s="266"/>
      <c r="B114" s="266"/>
      <c r="C114" s="266"/>
      <c r="D114" s="266"/>
      <c r="E114" s="266"/>
      <c r="F114" s="235">
        <v>10242</v>
      </c>
      <c r="G114" s="235" t="s">
        <v>134</v>
      </c>
      <c r="H114" s="235" t="s">
        <v>135</v>
      </c>
      <c r="I114" s="235" t="s">
        <v>79</v>
      </c>
      <c r="J114" s="236" t="s">
        <v>58</v>
      </c>
      <c r="K114" s="235">
        <v>72300</v>
      </c>
      <c r="L114" s="235" t="s">
        <v>68</v>
      </c>
      <c r="M114" s="237">
        <f t="shared" si="63"/>
        <v>0</v>
      </c>
      <c r="N114" s="237">
        <f t="shared" si="63"/>
        <v>0</v>
      </c>
      <c r="O114" s="237">
        <f t="shared" si="63"/>
        <v>0</v>
      </c>
      <c r="P114" s="237">
        <f t="shared" si="64"/>
        <v>0</v>
      </c>
      <c r="Q114" s="237">
        <f t="shared" si="65"/>
        <v>0</v>
      </c>
      <c r="R114" s="238">
        <v>14</v>
      </c>
      <c r="S114" s="9">
        <f t="shared" si="66"/>
        <v>0</v>
      </c>
      <c r="U114" s="1"/>
      <c r="V114" s="1"/>
      <c r="W114" s="1"/>
      <c r="X114" s="1"/>
      <c r="Y114" s="1"/>
      <c r="Z114" s="1"/>
      <c r="AA114" s="1"/>
      <c r="AB114" s="1"/>
      <c r="AC114" s="1"/>
      <c r="AD114" s="1"/>
      <c r="AE114" s="1"/>
      <c r="AF114" s="1"/>
      <c r="AG114" s="1"/>
      <c r="AH114" s="1"/>
      <c r="AI114" s="1"/>
      <c r="AJ114" s="1"/>
      <c r="AK114" s="1"/>
      <c r="AL114" s="1"/>
      <c r="AM114" s="1"/>
    </row>
    <row r="115" spans="1:39" s="2" customFormat="1" ht="21.95" customHeight="1" thickBot="1" x14ac:dyDescent="0.25">
      <c r="A115" s="266"/>
      <c r="B115" s="266"/>
      <c r="C115" s="266"/>
      <c r="D115" s="266"/>
      <c r="E115" s="266"/>
      <c r="F115" s="235">
        <v>10242</v>
      </c>
      <c r="G115" s="235" t="s">
        <v>134</v>
      </c>
      <c r="H115" s="235" t="s">
        <v>135</v>
      </c>
      <c r="I115" s="235" t="s">
        <v>79</v>
      </c>
      <c r="J115" s="236" t="s">
        <v>58</v>
      </c>
      <c r="K115" s="235">
        <v>72400</v>
      </c>
      <c r="L115" s="235" t="s">
        <v>69</v>
      </c>
      <c r="M115" s="237">
        <f t="shared" si="63"/>
        <v>0</v>
      </c>
      <c r="N115" s="237">
        <f t="shared" si="63"/>
        <v>3921</v>
      </c>
      <c r="O115" s="237">
        <f t="shared" si="63"/>
        <v>3806</v>
      </c>
      <c r="P115" s="237">
        <f t="shared" si="64"/>
        <v>3806</v>
      </c>
      <c r="Q115" s="237">
        <f t="shared" si="65"/>
        <v>11533</v>
      </c>
      <c r="R115" s="238">
        <v>15</v>
      </c>
      <c r="S115" s="9">
        <f t="shared" si="66"/>
        <v>9.8297058690645783E-3</v>
      </c>
      <c r="U115" s="1"/>
      <c r="V115" s="1"/>
      <c r="W115" s="1"/>
      <c r="X115" s="1"/>
      <c r="Y115" s="1"/>
      <c r="Z115" s="1"/>
      <c r="AA115" s="1"/>
      <c r="AB115" s="1"/>
      <c r="AC115" s="1"/>
      <c r="AD115" s="1"/>
      <c r="AE115" s="1"/>
      <c r="AF115" s="1"/>
      <c r="AG115" s="1"/>
      <c r="AH115" s="1"/>
      <c r="AI115" s="1"/>
      <c r="AJ115" s="1"/>
      <c r="AK115" s="1"/>
      <c r="AL115" s="1"/>
      <c r="AM115" s="1"/>
    </row>
    <row r="116" spans="1:39" s="2" customFormat="1" ht="21.95" customHeight="1" thickBot="1" x14ac:dyDescent="0.25">
      <c r="A116" s="266"/>
      <c r="B116" s="266"/>
      <c r="C116" s="266"/>
      <c r="D116" s="266"/>
      <c r="E116" s="266"/>
      <c r="F116" s="235">
        <v>10242</v>
      </c>
      <c r="G116" s="235" t="s">
        <v>134</v>
      </c>
      <c r="H116" s="235" t="s">
        <v>135</v>
      </c>
      <c r="I116" s="235" t="s">
        <v>79</v>
      </c>
      <c r="J116" s="236" t="s">
        <v>24</v>
      </c>
      <c r="K116" s="235">
        <v>72500</v>
      </c>
      <c r="L116" s="235" t="s">
        <v>25</v>
      </c>
      <c r="M116" s="237">
        <f t="shared" si="63"/>
        <v>0</v>
      </c>
      <c r="N116" s="237">
        <f t="shared" si="63"/>
        <v>3565</v>
      </c>
      <c r="O116" s="237">
        <f t="shared" si="63"/>
        <v>3460</v>
      </c>
      <c r="P116" s="237">
        <f t="shared" si="64"/>
        <v>3459</v>
      </c>
      <c r="Q116" s="237">
        <f t="shared" si="65"/>
        <v>10484</v>
      </c>
      <c r="R116" s="238">
        <v>10</v>
      </c>
      <c r="S116" s="9">
        <f t="shared" si="66"/>
        <v>8.9354246977183041E-3</v>
      </c>
      <c r="U116" s="1"/>
      <c r="V116" s="1"/>
      <c r="W116" s="1"/>
      <c r="X116" s="1"/>
      <c r="Y116" s="1"/>
      <c r="Z116" s="1"/>
      <c r="AA116" s="1"/>
      <c r="AB116" s="1"/>
      <c r="AC116" s="1"/>
      <c r="AD116" s="1"/>
      <c r="AE116" s="1"/>
      <c r="AF116" s="1"/>
      <c r="AG116" s="1"/>
      <c r="AH116" s="1"/>
      <c r="AI116" s="1"/>
      <c r="AJ116" s="1"/>
      <c r="AK116" s="1"/>
      <c r="AL116" s="1"/>
      <c r="AM116" s="1"/>
    </row>
    <row r="117" spans="1:39" s="2" customFormat="1" ht="21.95" customHeight="1" thickBot="1" x14ac:dyDescent="0.25">
      <c r="A117" s="266"/>
      <c r="B117" s="266"/>
      <c r="C117" s="266"/>
      <c r="D117" s="266"/>
      <c r="E117" s="266"/>
      <c r="F117" s="235">
        <v>10242</v>
      </c>
      <c r="G117" s="235" t="s">
        <v>134</v>
      </c>
      <c r="H117" s="235" t="s">
        <v>135</v>
      </c>
      <c r="I117" s="235" t="s">
        <v>79</v>
      </c>
      <c r="J117" s="236" t="s">
        <v>58</v>
      </c>
      <c r="K117" s="235">
        <v>72800</v>
      </c>
      <c r="L117" s="235" t="s">
        <v>70</v>
      </c>
      <c r="M117" s="237">
        <f t="shared" si="63"/>
        <v>0</v>
      </c>
      <c r="N117" s="237">
        <f t="shared" si="63"/>
        <v>2501</v>
      </c>
      <c r="O117" s="237">
        <f t="shared" si="63"/>
        <v>2427</v>
      </c>
      <c r="P117" s="237">
        <f t="shared" si="64"/>
        <v>2428</v>
      </c>
      <c r="Q117" s="237">
        <f t="shared" si="65"/>
        <v>7356</v>
      </c>
      <c r="R117" s="238">
        <v>16</v>
      </c>
      <c r="S117" s="9">
        <f t="shared" si="66"/>
        <v>6.2690135248252591E-3</v>
      </c>
      <c r="U117" s="1"/>
      <c r="V117" s="1"/>
      <c r="W117" s="1"/>
      <c r="X117" s="1"/>
      <c r="Y117" s="1"/>
      <c r="Z117" s="1"/>
      <c r="AA117" s="1"/>
      <c r="AB117" s="1"/>
      <c r="AC117" s="1"/>
      <c r="AD117" s="1"/>
      <c r="AE117" s="1"/>
      <c r="AF117" s="1"/>
      <c r="AG117" s="1"/>
      <c r="AH117" s="1"/>
      <c r="AI117" s="1"/>
      <c r="AJ117" s="1"/>
      <c r="AK117" s="1"/>
      <c r="AL117" s="1"/>
      <c r="AM117" s="1"/>
    </row>
    <row r="118" spans="1:39" s="2" customFormat="1" ht="21.95" customHeight="1" thickBot="1" x14ac:dyDescent="0.25">
      <c r="A118" s="266"/>
      <c r="B118" s="266"/>
      <c r="C118" s="266"/>
      <c r="D118" s="266"/>
      <c r="E118" s="266"/>
      <c r="F118" s="235">
        <v>10242</v>
      </c>
      <c r="G118" s="235" t="s">
        <v>134</v>
      </c>
      <c r="H118" s="235" t="s">
        <v>135</v>
      </c>
      <c r="I118" s="235" t="s">
        <v>79</v>
      </c>
      <c r="J118" s="236" t="s">
        <v>71</v>
      </c>
      <c r="K118" s="235">
        <v>73100</v>
      </c>
      <c r="L118" s="235" t="s">
        <v>72</v>
      </c>
      <c r="M118" s="237">
        <f t="shared" si="63"/>
        <v>0</v>
      </c>
      <c r="N118" s="237">
        <f t="shared" si="63"/>
        <v>32201</v>
      </c>
      <c r="O118" s="237">
        <f t="shared" si="63"/>
        <v>31254</v>
      </c>
      <c r="P118" s="237">
        <f t="shared" si="64"/>
        <v>31254</v>
      </c>
      <c r="Q118" s="237">
        <f t="shared" si="65"/>
        <v>94709</v>
      </c>
      <c r="R118" s="238">
        <v>8</v>
      </c>
      <c r="S118" s="9">
        <f t="shared" si="66"/>
        <v>8.0719428593636094E-2</v>
      </c>
      <c r="U118" s="1"/>
      <c r="V118" s="1"/>
      <c r="W118" s="1"/>
      <c r="X118" s="1"/>
      <c r="Y118" s="1"/>
      <c r="Z118" s="1"/>
      <c r="AA118" s="1"/>
      <c r="AB118" s="1"/>
      <c r="AC118" s="1"/>
      <c r="AD118" s="1"/>
      <c r="AE118" s="1"/>
      <c r="AF118" s="1"/>
      <c r="AG118" s="1"/>
      <c r="AH118" s="1"/>
      <c r="AI118" s="1"/>
      <c r="AJ118" s="1"/>
      <c r="AK118" s="1"/>
      <c r="AL118" s="1"/>
      <c r="AM118" s="1"/>
    </row>
    <row r="119" spans="1:39" s="2" customFormat="1" ht="21.95" customHeight="1" thickBot="1" x14ac:dyDescent="0.25">
      <c r="A119" s="266"/>
      <c r="B119" s="266"/>
      <c r="C119" s="266"/>
      <c r="D119" s="266"/>
      <c r="E119" s="266"/>
      <c r="F119" s="235">
        <v>10242</v>
      </c>
      <c r="G119" s="235" t="s">
        <v>134</v>
      </c>
      <c r="H119" s="235" t="s">
        <v>135</v>
      </c>
      <c r="I119" s="235" t="s">
        <v>79</v>
      </c>
      <c r="J119" s="236" t="s">
        <v>58</v>
      </c>
      <c r="K119" s="235">
        <v>73400</v>
      </c>
      <c r="L119" s="235" t="s">
        <v>73</v>
      </c>
      <c r="M119" s="237">
        <f t="shared" si="63"/>
        <v>0</v>
      </c>
      <c r="N119" s="237">
        <f t="shared" si="63"/>
        <v>1893</v>
      </c>
      <c r="O119" s="237">
        <f t="shared" si="63"/>
        <v>1837</v>
      </c>
      <c r="P119" s="237">
        <f t="shared" si="64"/>
        <v>1838</v>
      </c>
      <c r="Q119" s="237">
        <f t="shared" si="65"/>
        <v>5568</v>
      </c>
      <c r="R119" s="238">
        <v>17</v>
      </c>
      <c r="S119" s="9">
        <f t="shared" si="66"/>
        <v>4.7455922829596269E-3</v>
      </c>
      <c r="U119" s="1"/>
      <c r="V119" s="1"/>
      <c r="W119" s="1"/>
      <c r="X119" s="1"/>
      <c r="Y119" s="1"/>
      <c r="Z119" s="1"/>
      <c r="AA119" s="1"/>
      <c r="AB119" s="1"/>
      <c r="AC119" s="1"/>
      <c r="AD119" s="1"/>
      <c r="AE119" s="1"/>
      <c r="AF119" s="1"/>
      <c r="AG119" s="1"/>
      <c r="AH119" s="1"/>
      <c r="AI119" s="1"/>
      <c r="AJ119" s="1"/>
      <c r="AK119" s="1"/>
      <c r="AL119" s="1"/>
      <c r="AM119" s="1"/>
    </row>
    <row r="120" spans="1:39" s="2" customFormat="1" ht="21.95" customHeight="1" thickBot="1" x14ac:dyDescent="0.25">
      <c r="A120" s="266"/>
      <c r="B120" s="266"/>
      <c r="C120" s="266"/>
      <c r="D120" s="266"/>
      <c r="E120" s="266"/>
      <c r="F120" s="235">
        <v>10242</v>
      </c>
      <c r="G120" s="235" t="s">
        <v>134</v>
      </c>
      <c r="H120" s="235" t="s">
        <v>135</v>
      </c>
      <c r="I120" s="235" t="s">
        <v>79</v>
      </c>
      <c r="J120" s="236" t="s">
        <v>74</v>
      </c>
      <c r="K120" s="235">
        <v>74100</v>
      </c>
      <c r="L120" s="235" t="s">
        <v>75</v>
      </c>
      <c r="M120" s="237">
        <f t="shared" si="63"/>
        <v>0</v>
      </c>
      <c r="N120" s="237">
        <f t="shared" si="63"/>
        <v>5105</v>
      </c>
      <c r="O120" s="237">
        <f t="shared" si="63"/>
        <v>4955</v>
      </c>
      <c r="P120" s="237">
        <f t="shared" si="64"/>
        <v>4956</v>
      </c>
      <c r="Q120" s="237">
        <f t="shared" si="65"/>
        <v>15016</v>
      </c>
      <c r="R120" s="238">
        <v>9</v>
      </c>
      <c r="S120" s="9">
        <f t="shared" si="66"/>
        <v>1.2797552510957431E-2</v>
      </c>
      <c r="U120" s="1"/>
      <c r="V120" s="1"/>
      <c r="W120" s="1"/>
      <c r="X120" s="1"/>
      <c r="Y120" s="1"/>
      <c r="Z120" s="1"/>
      <c r="AA120" s="1"/>
      <c r="AB120" s="1"/>
      <c r="AC120" s="1"/>
      <c r="AD120" s="1"/>
      <c r="AE120" s="1"/>
      <c r="AF120" s="1"/>
      <c r="AG120" s="1"/>
      <c r="AH120" s="1"/>
      <c r="AI120" s="1"/>
      <c r="AJ120" s="1"/>
      <c r="AK120" s="1"/>
      <c r="AL120" s="1"/>
      <c r="AM120" s="1"/>
    </row>
    <row r="121" spans="1:39" s="2" customFormat="1" ht="21.95" customHeight="1" thickBot="1" x14ac:dyDescent="0.25">
      <c r="A121" s="266"/>
      <c r="B121" s="266"/>
      <c r="C121" s="266"/>
      <c r="D121" s="266"/>
      <c r="E121" s="266"/>
      <c r="F121" s="235">
        <v>10242</v>
      </c>
      <c r="G121" s="235" t="s">
        <v>134</v>
      </c>
      <c r="H121" s="235" t="s">
        <v>135</v>
      </c>
      <c r="I121" s="235" t="s">
        <v>79</v>
      </c>
      <c r="J121" s="236" t="s">
        <v>58</v>
      </c>
      <c r="K121" s="235">
        <v>74200</v>
      </c>
      <c r="L121" s="235" t="s">
        <v>76</v>
      </c>
      <c r="M121" s="237">
        <f t="shared" si="63"/>
        <v>0</v>
      </c>
      <c r="N121" s="237">
        <f t="shared" si="63"/>
        <v>1777</v>
      </c>
      <c r="O121" s="237">
        <f t="shared" si="63"/>
        <v>1724</v>
      </c>
      <c r="P121" s="237">
        <f t="shared" si="64"/>
        <v>1724</v>
      </c>
      <c r="Q121" s="237">
        <f t="shared" si="65"/>
        <v>5225</v>
      </c>
      <c r="R121" s="238">
        <v>18</v>
      </c>
      <c r="S121" s="9">
        <f t="shared" si="66"/>
        <v>4.4532398282170005E-3</v>
      </c>
      <c r="U121" s="1"/>
      <c r="V121" s="1"/>
      <c r="W121" s="1"/>
      <c r="X121" s="1"/>
      <c r="Y121" s="1"/>
      <c r="Z121" s="1"/>
      <c r="AA121" s="1"/>
      <c r="AB121" s="1"/>
      <c r="AC121" s="1"/>
      <c r="AD121" s="1"/>
      <c r="AE121" s="1"/>
      <c r="AF121" s="1"/>
      <c r="AG121" s="1"/>
      <c r="AH121" s="1"/>
      <c r="AI121" s="1"/>
      <c r="AJ121" s="1"/>
      <c r="AK121" s="1"/>
      <c r="AL121" s="1"/>
      <c r="AM121" s="1"/>
    </row>
    <row r="122" spans="1:39" s="2" customFormat="1" ht="21.95" customHeight="1" thickBot="1" x14ac:dyDescent="0.25">
      <c r="A122" s="266"/>
      <c r="B122" s="266"/>
      <c r="C122" s="266"/>
      <c r="D122" s="266"/>
      <c r="E122" s="266"/>
      <c r="F122" s="235">
        <v>10242</v>
      </c>
      <c r="G122" s="235" t="s">
        <v>134</v>
      </c>
      <c r="H122" s="235" t="s">
        <v>135</v>
      </c>
      <c r="I122" s="235" t="s">
        <v>79</v>
      </c>
      <c r="J122" s="236" t="s">
        <v>23</v>
      </c>
      <c r="K122" s="235">
        <v>74500</v>
      </c>
      <c r="L122" s="235" t="s">
        <v>49</v>
      </c>
      <c r="M122" s="237">
        <f t="shared" si="63"/>
        <v>0</v>
      </c>
      <c r="N122" s="237">
        <f t="shared" si="63"/>
        <v>2225</v>
      </c>
      <c r="O122" s="237">
        <f t="shared" si="63"/>
        <v>2160</v>
      </c>
      <c r="P122" s="237">
        <f t="shared" si="64"/>
        <v>2160</v>
      </c>
      <c r="Q122" s="237">
        <f>V7-SUM(Q22,Q36:Q43,Q68,Q91,Q111:Q121)</f>
        <v>6545</v>
      </c>
      <c r="R122" s="238">
        <v>11</v>
      </c>
      <c r="S122" s="9">
        <f t="shared" si="66"/>
        <v>5.5771968870457498E-3</v>
      </c>
      <c r="U122" s="1"/>
      <c r="V122" s="1"/>
      <c r="W122" s="1"/>
      <c r="X122" s="1"/>
      <c r="Y122" s="1"/>
      <c r="Z122" s="1"/>
      <c r="AA122" s="1"/>
      <c r="AB122" s="1"/>
      <c r="AC122" s="1"/>
      <c r="AD122" s="1"/>
      <c r="AE122" s="1"/>
      <c r="AF122" s="1"/>
      <c r="AG122" s="1"/>
      <c r="AH122" s="1"/>
      <c r="AI122" s="1"/>
      <c r="AJ122" s="1"/>
      <c r="AK122" s="1"/>
      <c r="AL122" s="1"/>
      <c r="AM122" s="1"/>
    </row>
    <row r="123" spans="1:39" s="2" customFormat="1" ht="21.95" customHeight="1" thickBot="1" x14ac:dyDescent="0.25">
      <c r="A123" s="266"/>
      <c r="B123" s="266"/>
      <c r="C123" s="266"/>
      <c r="D123" s="266"/>
      <c r="E123" s="266"/>
      <c r="F123" s="235">
        <v>10242</v>
      </c>
      <c r="G123" s="235" t="s">
        <v>134</v>
      </c>
      <c r="H123" s="235" t="s">
        <v>135</v>
      </c>
      <c r="I123" s="235" t="s">
        <v>79</v>
      </c>
      <c r="J123" s="236" t="s">
        <v>23</v>
      </c>
      <c r="K123" s="235">
        <v>74700</v>
      </c>
      <c r="L123" s="235" t="s">
        <v>77</v>
      </c>
      <c r="M123" s="237">
        <f t="shared" si="63"/>
        <v>0</v>
      </c>
      <c r="N123" s="237">
        <f t="shared" si="63"/>
        <v>0</v>
      </c>
      <c r="O123" s="237">
        <f t="shared" si="63"/>
        <v>0</v>
      </c>
      <c r="P123" s="237">
        <f t="shared" si="64"/>
        <v>0</v>
      </c>
      <c r="Q123" s="237">
        <f t="shared" ref="Q123:Q125" si="67">$V$7*S123</f>
        <v>0</v>
      </c>
      <c r="R123" s="238">
        <v>19</v>
      </c>
      <c r="S123" s="9">
        <f t="shared" si="66"/>
        <v>0</v>
      </c>
      <c r="U123" s="1"/>
      <c r="V123" s="1"/>
      <c r="W123" s="1"/>
      <c r="X123" s="1"/>
      <c r="Y123" s="1"/>
      <c r="Z123" s="1"/>
      <c r="AA123" s="1"/>
      <c r="AB123" s="1"/>
      <c r="AC123" s="1"/>
      <c r="AD123" s="1"/>
      <c r="AE123" s="1"/>
      <c r="AF123" s="1"/>
      <c r="AG123" s="1"/>
      <c r="AH123" s="1"/>
      <c r="AI123" s="1"/>
      <c r="AJ123" s="1"/>
      <c r="AK123" s="1"/>
      <c r="AL123" s="1"/>
      <c r="AM123" s="1"/>
    </row>
    <row r="124" spans="1:39" s="2" customFormat="1" ht="21.95" customHeight="1" thickBot="1" x14ac:dyDescent="0.25">
      <c r="A124" s="266"/>
      <c r="B124" s="266"/>
      <c r="C124" s="266"/>
      <c r="D124" s="266"/>
      <c r="E124" s="266"/>
      <c r="F124" s="235">
        <v>10242</v>
      </c>
      <c r="G124" s="235" t="s">
        <v>134</v>
      </c>
      <c r="H124" s="235" t="s">
        <v>135</v>
      </c>
      <c r="I124" s="235" t="s">
        <v>79</v>
      </c>
      <c r="J124" s="236" t="s">
        <v>28</v>
      </c>
      <c r="K124" s="235">
        <v>61200</v>
      </c>
      <c r="L124" s="235" t="s">
        <v>29</v>
      </c>
      <c r="M124" s="237">
        <f t="shared" si="63"/>
        <v>0</v>
      </c>
      <c r="N124" s="237">
        <f t="shared" si="63"/>
        <v>0</v>
      </c>
      <c r="O124" s="237">
        <f t="shared" si="63"/>
        <v>0</v>
      </c>
      <c r="P124" s="237">
        <f t="shared" si="64"/>
        <v>0</v>
      </c>
      <c r="Q124" s="237">
        <f t="shared" si="67"/>
        <v>0</v>
      </c>
      <c r="R124" s="238">
        <v>4</v>
      </c>
      <c r="S124" s="9">
        <f t="shared" si="66"/>
        <v>0</v>
      </c>
      <c r="U124" s="1"/>
      <c r="V124" s="1"/>
      <c r="W124" s="1"/>
      <c r="X124" s="1"/>
      <c r="Y124" s="1"/>
      <c r="Z124" s="1"/>
      <c r="AA124" s="1"/>
      <c r="AB124" s="1"/>
      <c r="AC124" s="1"/>
      <c r="AD124" s="1"/>
      <c r="AE124" s="1"/>
      <c r="AF124" s="1"/>
      <c r="AG124" s="1"/>
      <c r="AH124" s="1"/>
      <c r="AI124" s="1"/>
      <c r="AJ124" s="1"/>
      <c r="AK124" s="1"/>
      <c r="AL124" s="1"/>
      <c r="AM124" s="1"/>
    </row>
    <row r="125" spans="1:39" s="2" customFormat="1" ht="21.95" customHeight="1" thickBot="1" x14ac:dyDescent="0.25">
      <c r="A125" s="266"/>
      <c r="B125" s="266"/>
      <c r="C125" s="267"/>
      <c r="D125" s="267"/>
      <c r="E125" s="267"/>
      <c r="F125" s="235">
        <v>10242</v>
      </c>
      <c r="G125" s="235" t="s">
        <v>134</v>
      </c>
      <c r="H125" s="235" t="s">
        <v>135</v>
      </c>
      <c r="I125" s="235" t="s">
        <v>79</v>
      </c>
      <c r="J125" s="236" t="s">
        <v>28</v>
      </c>
      <c r="K125" s="235">
        <v>61300</v>
      </c>
      <c r="L125" s="235" t="s">
        <v>30</v>
      </c>
      <c r="M125" s="237">
        <f t="shared" si="63"/>
        <v>0</v>
      </c>
      <c r="N125" s="237">
        <f t="shared" si="63"/>
        <v>0</v>
      </c>
      <c r="O125" s="237">
        <f t="shared" si="63"/>
        <v>0</v>
      </c>
      <c r="P125" s="237">
        <f t="shared" si="64"/>
        <v>0</v>
      </c>
      <c r="Q125" s="237">
        <f t="shared" si="67"/>
        <v>0</v>
      </c>
      <c r="R125" s="238">
        <v>4</v>
      </c>
      <c r="S125" s="9">
        <f t="shared" si="66"/>
        <v>0</v>
      </c>
      <c r="U125" s="1"/>
      <c r="V125" s="1"/>
      <c r="W125" s="1"/>
      <c r="X125" s="1"/>
      <c r="Y125" s="1"/>
      <c r="Z125" s="1"/>
      <c r="AA125" s="1"/>
      <c r="AB125" s="1"/>
      <c r="AC125" s="1"/>
      <c r="AD125" s="1"/>
      <c r="AE125" s="1"/>
      <c r="AF125" s="1"/>
      <c r="AG125" s="1"/>
      <c r="AH125" s="1"/>
      <c r="AI125" s="1"/>
      <c r="AJ125" s="1"/>
      <c r="AK125" s="1"/>
      <c r="AL125" s="1"/>
      <c r="AM125" s="1"/>
    </row>
    <row r="126" spans="1:39" s="2" customFormat="1" ht="21.95" customHeight="1" thickBot="1" x14ac:dyDescent="0.25">
      <c r="A126" s="266"/>
      <c r="B126" s="266"/>
      <c r="C126" s="270" t="s">
        <v>31</v>
      </c>
      <c r="D126" s="270"/>
      <c r="E126" s="270"/>
      <c r="F126" s="270"/>
      <c r="G126" s="270"/>
      <c r="H126" s="270"/>
      <c r="I126" s="270"/>
      <c r="J126" s="270"/>
      <c r="K126" s="270"/>
      <c r="L126" s="270"/>
      <c r="M126" s="237">
        <f>SUM(M111:M125)</f>
        <v>0</v>
      </c>
      <c r="N126" s="237">
        <f t="shared" ref="N126:Q126" si="68">SUM(N111:N125)</f>
        <v>139330</v>
      </c>
      <c r="O126" s="237">
        <f t="shared" si="68"/>
        <v>135232</v>
      </c>
      <c r="P126" s="237">
        <f t="shared" si="68"/>
        <v>135232</v>
      </c>
      <c r="Q126" s="237">
        <f t="shared" si="68"/>
        <v>409794</v>
      </c>
      <c r="R126" s="238"/>
      <c r="S126" s="9"/>
      <c r="U126" s="1"/>
      <c r="V126" s="1"/>
      <c r="W126" s="1"/>
      <c r="X126" s="1"/>
      <c r="Y126" s="1"/>
      <c r="Z126" s="1"/>
      <c r="AA126" s="1"/>
      <c r="AB126" s="1"/>
      <c r="AC126" s="1"/>
      <c r="AD126" s="1"/>
      <c r="AE126" s="1"/>
      <c r="AF126" s="1"/>
      <c r="AG126" s="1"/>
      <c r="AH126" s="1"/>
      <c r="AI126" s="1"/>
      <c r="AJ126" s="1"/>
      <c r="AK126" s="1"/>
      <c r="AL126" s="1"/>
      <c r="AM126" s="1"/>
    </row>
    <row r="127" spans="1:39" ht="21.95" customHeight="1" thickBot="1" x14ac:dyDescent="0.25">
      <c r="A127" s="267"/>
      <c r="B127" s="270" t="s">
        <v>80</v>
      </c>
      <c r="C127" s="270"/>
      <c r="D127" s="270"/>
      <c r="E127" s="270"/>
      <c r="F127" s="270"/>
      <c r="G127" s="270"/>
      <c r="H127" s="270"/>
      <c r="I127" s="270"/>
      <c r="J127" s="270"/>
      <c r="K127" s="270"/>
      <c r="L127" s="270"/>
      <c r="M127" s="237">
        <f>M126</f>
        <v>0</v>
      </c>
      <c r="N127" s="237">
        <f t="shared" ref="N127:Q127" si="69">N126</f>
        <v>139330</v>
      </c>
      <c r="O127" s="237">
        <f t="shared" si="69"/>
        <v>135232</v>
      </c>
      <c r="P127" s="237">
        <f t="shared" si="69"/>
        <v>135232</v>
      </c>
      <c r="Q127" s="237">
        <f t="shared" si="69"/>
        <v>409794</v>
      </c>
      <c r="R127" s="238"/>
      <c r="T127" s="10"/>
      <c r="AC127" s="11"/>
      <c r="AF127" s="12"/>
      <c r="AG127" s="13"/>
    </row>
    <row r="128" spans="1:39" ht="21.95" customHeight="1" thickBot="1" x14ac:dyDescent="0.25">
      <c r="A128" s="271" t="s">
        <v>81</v>
      </c>
      <c r="B128" s="272"/>
      <c r="C128" s="272"/>
      <c r="D128" s="272"/>
      <c r="E128" s="272"/>
      <c r="F128" s="272"/>
      <c r="G128" s="272"/>
      <c r="H128" s="272"/>
      <c r="I128" s="272"/>
      <c r="J128" s="272"/>
      <c r="K128" s="272"/>
      <c r="L128" s="273"/>
      <c r="M128" s="237">
        <f t="shared" ref="M128:Q128" si="70">M110+M127</f>
        <v>0</v>
      </c>
      <c r="N128" s="237">
        <f t="shared" si="70"/>
        <v>145268</v>
      </c>
      <c r="O128" s="237">
        <f t="shared" si="70"/>
        <v>140996</v>
      </c>
      <c r="P128" s="237">
        <f t="shared" si="70"/>
        <v>140994</v>
      </c>
      <c r="Q128" s="237">
        <f t="shared" si="70"/>
        <v>427258</v>
      </c>
      <c r="R128" s="238"/>
      <c r="U128" s="14"/>
      <c r="AC128" s="15"/>
      <c r="AM128" s="16"/>
    </row>
    <row r="129" spans="1:39" ht="21.95" customHeight="1" thickBot="1" x14ac:dyDescent="0.25">
      <c r="A129" s="271" t="s">
        <v>82</v>
      </c>
      <c r="B129" s="272"/>
      <c r="C129" s="272"/>
      <c r="D129" s="272"/>
      <c r="E129" s="272"/>
      <c r="F129" s="272"/>
      <c r="G129" s="272"/>
      <c r="H129" s="272"/>
      <c r="I129" s="272"/>
      <c r="J129" s="272"/>
      <c r="K129" s="272"/>
      <c r="L129" s="273"/>
      <c r="M129" s="237">
        <f t="shared" ref="M129:P129" si="71">M24+M47+M70+M93+M128</f>
        <v>0</v>
      </c>
      <c r="N129" s="237">
        <f t="shared" si="71"/>
        <v>1938655</v>
      </c>
      <c r="O129" s="237">
        <f t="shared" si="71"/>
        <v>1926424</v>
      </c>
      <c r="P129" s="237">
        <f t="shared" si="71"/>
        <v>1165056.18</v>
      </c>
      <c r="Q129" s="242">
        <f>SUM(M129:P129)</f>
        <v>5030135.18</v>
      </c>
      <c r="R129" s="243"/>
      <c r="S129" s="14"/>
      <c r="T129" s="18"/>
      <c r="U129" s="19"/>
    </row>
    <row r="131" spans="1:39" ht="12.6" hidden="1" customHeight="1" x14ac:dyDescent="0.2"/>
    <row r="132" spans="1:39" ht="12.6" hidden="1" customHeight="1" x14ac:dyDescent="0.2">
      <c r="A132" s="1" t="s">
        <v>7</v>
      </c>
      <c r="B132" s="1" t="s">
        <v>110</v>
      </c>
    </row>
    <row r="133" spans="1:39" ht="12.6" hidden="1" customHeight="1" x14ac:dyDescent="0.2">
      <c r="J133" s="1" t="s">
        <v>23</v>
      </c>
    </row>
    <row r="134" spans="1:39" ht="12.6" hidden="1" customHeight="1" x14ac:dyDescent="0.2">
      <c r="A134" s="22" t="s">
        <v>111</v>
      </c>
      <c r="B134" s="22" t="s">
        <v>112</v>
      </c>
      <c r="C134" s="23"/>
      <c r="E134" s="24" t="s">
        <v>113</v>
      </c>
      <c r="F134" s="24"/>
      <c r="G134" s="24"/>
      <c r="H134" s="24"/>
      <c r="I134" s="24"/>
      <c r="J134" s="24">
        <v>2</v>
      </c>
    </row>
    <row r="135" spans="1:39" ht="12.6" hidden="1" customHeight="1" x14ac:dyDescent="0.2">
      <c r="A135" s="22" t="s">
        <v>49</v>
      </c>
      <c r="B135" s="22">
        <v>814869</v>
      </c>
      <c r="C135" s="23"/>
      <c r="E135" s="24" t="s">
        <v>114</v>
      </c>
      <c r="F135" s="24"/>
      <c r="G135" s="24"/>
      <c r="H135" s="24"/>
      <c r="I135" s="24"/>
      <c r="J135" s="24">
        <v>-5</v>
      </c>
    </row>
    <row r="136" spans="1:39" ht="12.6" hidden="1" customHeight="1" x14ac:dyDescent="0.2">
      <c r="A136" s="22" t="s">
        <v>77</v>
      </c>
      <c r="B136" s="22">
        <v>47589</v>
      </c>
      <c r="C136" s="23"/>
      <c r="E136" s="24" t="s">
        <v>115</v>
      </c>
      <c r="F136" s="24"/>
      <c r="G136" s="24"/>
      <c r="H136" s="24"/>
      <c r="I136" s="24"/>
      <c r="J136" s="24">
        <v>-3</v>
      </c>
    </row>
    <row r="137" spans="1:39" ht="12.6" hidden="1" customHeight="1" x14ac:dyDescent="0.2">
      <c r="A137" s="22" t="s">
        <v>23</v>
      </c>
      <c r="B137" s="22">
        <v>2731487.162</v>
      </c>
      <c r="C137" s="23"/>
      <c r="E137" s="24" t="s">
        <v>116</v>
      </c>
      <c r="F137" s="24"/>
      <c r="G137" s="24"/>
      <c r="H137" s="24"/>
      <c r="I137" s="24"/>
      <c r="J137" s="24">
        <v>0</v>
      </c>
    </row>
    <row r="138" spans="1:39" ht="12.6" hidden="1" customHeight="1" x14ac:dyDescent="0.2">
      <c r="A138" s="22" t="s">
        <v>117</v>
      </c>
      <c r="B138" s="22">
        <v>3593945.162</v>
      </c>
      <c r="C138" s="23"/>
      <c r="E138" s="24" t="s">
        <v>118</v>
      </c>
      <c r="F138" s="24"/>
      <c r="G138" s="24"/>
      <c r="H138" s="24"/>
      <c r="I138" s="24"/>
      <c r="J138" s="24">
        <v>-3</v>
      </c>
    </row>
    <row r="139" spans="1:39" ht="12.95" hidden="1" customHeight="1" x14ac:dyDescent="0.2">
      <c r="A139" s="23"/>
      <c r="B139" s="23"/>
      <c r="C139" s="23"/>
      <c r="E139" s="24" t="s">
        <v>119</v>
      </c>
      <c r="F139" s="24"/>
      <c r="G139" s="24"/>
      <c r="H139" s="24"/>
      <c r="I139" s="24"/>
      <c r="J139" s="24">
        <v>-9</v>
      </c>
    </row>
    <row r="140" spans="1:39" s="2" customFormat="1" x14ac:dyDescent="0.2">
      <c r="A140" s="23"/>
      <c r="B140" s="23"/>
      <c r="C140" s="23"/>
      <c r="D140" s="1"/>
      <c r="E140" s="1"/>
      <c r="F140" s="1"/>
      <c r="G140" s="1"/>
      <c r="H140" s="1"/>
      <c r="I140" s="1"/>
      <c r="J140" s="1"/>
      <c r="K140" s="1"/>
      <c r="L140" s="1"/>
      <c r="M140" s="1"/>
      <c r="N140" s="1"/>
      <c r="O140" s="1"/>
      <c r="P140" s="1"/>
      <c r="Q140" s="15"/>
      <c r="R140" s="15"/>
      <c r="S140" s="25"/>
      <c r="U140" s="1"/>
      <c r="V140" s="1"/>
      <c r="W140" s="1"/>
      <c r="X140" s="1"/>
      <c r="Y140" s="1"/>
      <c r="Z140" s="1"/>
      <c r="AA140" s="1"/>
      <c r="AB140" s="1"/>
      <c r="AC140" s="1"/>
      <c r="AD140" s="1"/>
      <c r="AE140" s="1"/>
      <c r="AF140" s="1"/>
      <c r="AG140" s="1"/>
      <c r="AH140" s="1"/>
      <c r="AI140" s="1"/>
      <c r="AJ140" s="1"/>
      <c r="AK140" s="1"/>
      <c r="AL140" s="1"/>
      <c r="AM140" s="1"/>
    </row>
    <row r="141" spans="1:39" s="2" customFormat="1" x14ac:dyDescent="0.2">
      <c r="A141" s="26" t="s">
        <v>83</v>
      </c>
      <c r="B141" s="1"/>
      <c r="C141" s="1"/>
      <c r="D141" s="1"/>
      <c r="E141" s="1"/>
      <c r="F141" s="1"/>
      <c r="G141" s="1"/>
      <c r="H141" s="1"/>
      <c r="I141" s="1"/>
      <c r="J141" s="1"/>
      <c r="K141" s="1"/>
      <c r="L141" s="1"/>
      <c r="M141" s="1"/>
      <c r="N141" s="1"/>
      <c r="O141" s="1"/>
      <c r="P141" s="1"/>
      <c r="Q141" s="15"/>
      <c r="R141" s="15"/>
      <c r="S141" s="1"/>
      <c r="U141" s="1"/>
      <c r="V141" s="1"/>
      <c r="W141" s="1"/>
      <c r="X141" s="1"/>
      <c r="Y141" s="1"/>
      <c r="Z141" s="1"/>
      <c r="AA141" s="1"/>
      <c r="AB141" s="1"/>
      <c r="AC141" s="1"/>
      <c r="AD141" s="1"/>
      <c r="AE141" s="1"/>
      <c r="AF141" s="1"/>
      <c r="AG141" s="1"/>
      <c r="AH141" s="1"/>
      <c r="AI141" s="1"/>
      <c r="AJ141" s="1"/>
      <c r="AK141" s="1"/>
      <c r="AL141" s="1"/>
      <c r="AM141" s="1"/>
    </row>
    <row r="142" spans="1:39" s="2" customFormat="1" x14ac:dyDescent="0.2">
      <c r="A142" s="26" t="s">
        <v>85</v>
      </c>
      <c r="B142" s="1"/>
      <c r="C142" s="1"/>
      <c r="D142" s="1"/>
      <c r="E142" s="1"/>
      <c r="F142" s="1"/>
      <c r="G142" s="1"/>
      <c r="H142" s="1"/>
      <c r="I142" s="1"/>
      <c r="J142" s="1"/>
      <c r="K142" s="1"/>
      <c r="L142" s="1"/>
      <c r="M142" s="1"/>
      <c r="N142" s="1"/>
      <c r="O142" s="1"/>
      <c r="P142" s="1"/>
      <c r="Q142" s="15"/>
      <c r="R142" s="15"/>
      <c r="S142" s="1"/>
      <c r="U142" s="1"/>
      <c r="V142" s="1"/>
      <c r="W142" s="1"/>
      <c r="X142" s="1"/>
      <c r="Y142" s="1"/>
      <c r="Z142" s="1"/>
      <c r="AA142" s="1"/>
      <c r="AB142" s="1"/>
      <c r="AC142" s="1"/>
      <c r="AD142" s="1"/>
      <c r="AE142" s="1"/>
      <c r="AF142" s="1"/>
      <c r="AG142" s="1"/>
      <c r="AH142" s="1"/>
      <c r="AI142" s="1"/>
      <c r="AJ142" s="1"/>
      <c r="AK142" s="1"/>
      <c r="AL142" s="1"/>
      <c r="AM142" s="1"/>
    </row>
    <row r="143" spans="1:39" s="2" customFormat="1" x14ac:dyDescent="0.2">
      <c r="A143" s="27" t="s">
        <v>87</v>
      </c>
      <c r="B143" s="1"/>
      <c r="C143" s="1"/>
      <c r="D143" s="1"/>
      <c r="E143" s="1"/>
      <c r="F143" s="1"/>
      <c r="G143" s="1"/>
      <c r="H143" s="1"/>
      <c r="I143" s="1"/>
      <c r="J143" s="1"/>
      <c r="K143" s="1"/>
      <c r="L143" s="1"/>
      <c r="M143" s="1"/>
      <c r="N143" s="1"/>
      <c r="O143" s="1"/>
      <c r="P143" s="1"/>
      <c r="Q143" s="1"/>
      <c r="R143" s="1"/>
      <c r="S143" s="1"/>
      <c r="U143" s="1"/>
      <c r="V143" s="1"/>
      <c r="W143" s="1"/>
      <c r="X143" s="1"/>
      <c r="Y143" s="1"/>
      <c r="Z143" s="1"/>
      <c r="AA143" s="1"/>
      <c r="AB143" s="1"/>
      <c r="AC143" s="1"/>
      <c r="AD143" s="1"/>
      <c r="AE143" s="1"/>
      <c r="AF143" s="1"/>
      <c r="AG143" s="1"/>
      <c r="AH143" s="1"/>
      <c r="AI143" s="1"/>
      <c r="AJ143" s="1"/>
      <c r="AK143" s="1"/>
      <c r="AL143" s="1"/>
      <c r="AM143" s="1"/>
    </row>
    <row r="144" spans="1:39" s="2" customFormat="1" x14ac:dyDescent="0.2">
      <c r="A144" s="27" t="s">
        <v>88</v>
      </c>
      <c r="B144" s="1"/>
      <c r="C144" s="1"/>
      <c r="D144" s="1"/>
      <c r="E144" s="1"/>
      <c r="F144" s="1"/>
      <c r="G144" s="1"/>
      <c r="H144" s="1"/>
      <c r="I144" s="1"/>
      <c r="J144" s="1"/>
      <c r="K144" s="1"/>
      <c r="L144" s="1"/>
      <c r="M144" s="1"/>
      <c r="N144" s="1"/>
      <c r="O144" s="1"/>
      <c r="P144" s="1"/>
      <c r="Q144" s="1"/>
      <c r="R144" s="1"/>
      <c r="S144" s="1"/>
      <c r="U144" s="1"/>
      <c r="V144" s="1"/>
      <c r="W144" s="1"/>
      <c r="X144" s="1"/>
      <c r="Y144" s="1"/>
      <c r="Z144" s="1"/>
      <c r="AA144" s="1"/>
      <c r="AB144" s="1"/>
      <c r="AC144" s="1"/>
      <c r="AD144" s="1"/>
      <c r="AE144" s="1"/>
      <c r="AF144" s="1"/>
      <c r="AG144" s="1"/>
      <c r="AH144" s="1"/>
      <c r="AI144" s="1"/>
      <c r="AJ144" s="1"/>
      <c r="AK144" s="1"/>
      <c r="AL144" s="1"/>
      <c r="AM144" s="1"/>
    </row>
    <row r="145" spans="1:39" s="2" customFormat="1" x14ac:dyDescent="0.2">
      <c r="A145" s="27" t="s">
        <v>89</v>
      </c>
      <c r="B145" s="1"/>
      <c r="C145" s="1"/>
      <c r="D145" s="1"/>
      <c r="E145" s="1"/>
      <c r="F145" s="1"/>
      <c r="G145" s="1"/>
      <c r="H145" s="1"/>
      <c r="I145" s="1"/>
      <c r="J145" s="1"/>
      <c r="K145" s="1"/>
      <c r="L145" s="1"/>
      <c r="M145" s="1"/>
      <c r="N145" s="1"/>
      <c r="O145" s="1"/>
      <c r="P145" s="1"/>
      <c r="Q145" s="1"/>
      <c r="R145" s="1"/>
      <c r="S145" s="1"/>
      <c r="U145" s="1"/>
      <c r="V145" s="1"/>
      <c r="W145" s="1"/>
      <c r="X145" s="1"/>
      <c r="Y145" s="1"/>
      <c r="Z145" s="1"/>
      <c r="AA145" s="1"/>
      <c r="AB145" s="1"/>
      <c r="AC145" s="1"/>
      <c r="AD145" s="1"/>
      <c r="AE145" s="1"/>
      <c r="AF145" s="1"/>
      <c r="AG145" s="1"/>
      <c r="AH145" s="1"/>
      <c r="AI145" s="1"/>
      <c r="AJ145" s="1"/>
      <c r="AK145" s="1"/>
      <c r="AL145" s="1"/>
      <c r="AM145" s="1"/>
    </row>
    <row r="146" spans="1:39" s="2" customFormat="1" x14ac:dyDescent="0.2">
      <c r="A146" s="27" t="s">
        <v>90</v>
      </c>
      <c r="B146" s="1"/>
      <c r="C146" s="1"/>
      <c r="D146" s="1"/>
      <c r="E146" s="1"/>
      <c r="F146" s="1"/>
      <c r="G146" s="1"/>
      <c r="H146" s="1"/>
      <c r="I146" s="1"/>
      <c r="J146" s="1"/>
      <c r="K146" s="1"/>
      <c r="L146" s="1"/>
      <c r="M146" s="1"/>
      <c r="N146" s="1"/>
      <c r="O146" s="1"/>
      <c r="P146" s="1"/>
      <c r="Q146" s="1"/>
      <c r="R146" s="1"/>
      <c r="S146" s="1"/>
      <c r="U146" s="1"/>
      <c r="V146" s="1"/>
      <c r="W146" s="1"/>
      <c r="X146" s="1"/>
      <c r="Y146" s="1"/>
      <c r="Z146" s="1"/>
      <c r="AA146" s="1"/>
      <c r="AB146" s="1"/>
      <c r="AC146" s="1"/>
      <c r="AD146" s="1"/>
      <c r="AE146" s="1"/>
      <c r="AF146" s="1"/>
      <c r="AG146" s="1"/>
      <c r="AH146" s="1"/>
      <c r="AI146" s="1"/>
      <c r="AJ146" s="1"/>
      <c r="AK146" s="1"/>
      <c r="AL146" s="1"/>
      <c r="AM146" s="1"/>
    </row>
    <row r="147" spans="1:39" s="2" customFormat="1" x14ac:dyDescent="0.2">
      <c r="A147" s="27" t="s">
        <v>91</v>
      </c>
      <c r="B147" s="1"/>
      <c r="C147" s="1"/>
      <c r="D147" s="1"/>
      <c r="E147" s="1"/>
      <c r="F147" s="1"/>
      <c r="G147" s="1"/>
      <c r="H147" s="1"/>
      <c r="I147" s="1"/>
      <c r="J147" s="1"/>
      <c r="K147" s="1"/>
      <c r="L147" s="1"/>
      <c r="M147" s="1"/>
      <c r="N147" s="1"/>
      <c r="O147" s="1"/>
      <c r="P147" s="1"/>
      <c r="Q147" s="1"/>
      <c r="R147" s="1"/>
      <c r="S147" s="1"/>
      <c r="U147" s="1"/>
      <c r="V147" s="1"/>
      <c r="W147" s="1"/>
      <c r="X147" s="1"/>
      <c r="Y147" s="1"/>
      <c r="Z147" s="1"/>
      <c r="AA147" s="1"/>
      <c r="AB147" s="1"/>
      <c r="AC147" s="1"/>
      <c r="AD147" s="1"/>
      <c r="AE147" s="1"/>
      <c r="AF147" s="1"/>
      <c r="AG147" s="1"/>
      <c r="AH147" s="1"/>
      <c r="AI147" s="1"/>
      <c r="AJ147" s="1"/>
      <c r="AK147" s="1"/>
      <c r="AL147" s="1"/>
      <c r="AM147" s="1"/>
    </row>
    <row r="148" spans="1:39" s="2" customFormat="1" x14ac:dyDescent="0.2">
      <c r="A148" s="27" t="s">
        <v>92</v>
      </c>
      <c r="B148" s="1"/>
      <c r="C148" s="1"/>
      <c r="D148" s="1"/>
      <c r="E148" s="1"/>
      <c r="F148" s="1"/>
      <c r="G148" s="1"/>
      <c r="H148" s="1"/>
      <c r="I148" s="1"/>
      <c r="J148" s="1"/>
      <c r="K148" s="1"/>
      <c r="L148" s="1"/>
      <c r="M148" s="1"/>
      <c r="N148" s="1"/>
      <c r="O148" s="1"/>
      <c r="P148" s="1"/>
      <c r="Q148" s="1"/>
      <c r="R148" s="1"/>
      <c r="S148" s="1"/>
      <c r="U148" s="1"/>
      <c r="V148" s="1"/>
      <c r="W148" s="1"/>
      <c r="X148" s="1"/>
      <c r="Y148" s="1"/>
      <c r="Z148" s="1"/>
      <c r="AA148" s="1"/>
      <c r="AB148" s="1"/>
      <c r="AC148" s="1"/>
      <c r="AD148" s="1"/>
      <c r="AE148" s="1"/>
      <c r="AF148" s="1"/>
      <c r="AG148" s="1"/>
      <c r="AH148" s="1"/>
      <c r="AI148" s="1"/>
      <c r="AJ148" s="1"/>
      <c r="AK148" s="1"/>
      <c r="AL148" s="1"/>
      <c r="AM148" s="1"/>
    </row>
    <row r="149" spans="1:39" s="2" customFormat="1" x14ac:dyDescent="0.2">
      <c r="A149" s="27" t="s">
        <v>93</v>
      </c>
      <c r="B149" s="1"/>
      <c r="C149" s="1"/>
      <c r="D149" s="1"/>
      <c r="E149" s="1"/>
      <c r="F149" s="1"/>
      <c r="G149" s="1"/>
      <c r="H149" s="1"/>
      <c r="I149" s="1"/>
      <c r="J149" s="1"/>
      <c r="K149" s="1"/>
      <c r="L149" s="1"/>
      <c r="M149" s="1"/>
      <c r="N149" s="1"/>
      <c r="O149" s="1"/>
      <c r="P149" s="1"/>
      <c r="Q149" s="1"/>
      <c r="R149" s="1"/>
      <c r="S149" s="1"/>
      <c r="U149" s="1"/>
      <c r="V149" s="1"/>
      <c r="W149" s="1"/>
      <c r="X149" s="1"/>
      <c r="Y149" s="1"/>
      <c r="Z149" s="1"/>
      <c r="AA149" s="1"/>
      <c r="AB149" s="1"/>
      <c r="AC149" s="1"/>
      <c r="AD149" s="1"/>
      <c r="AE149" s="1"/>
      <c r="AF149" s="1"/>
      <c r="AG149" s="1"/>
      <c r="AH149" s="1"/>
      <c r="AI149" s="1"/>
      <c r="AJ149" s="1"/>
      <c r="AK149" s="1"/>
      <c r="AL149" s="1"/>
      <c r="AM149" s="1"/>
    </row>
    <row r="150" spans="1:39" s="2" customFormat="1" x14ac:dyDescent="0.2">
      <c r="A150" s="27" t="s">
        <v>94</v>
      </c>
      <c r="B150" s="1"/>
      <c r="C150" s="1"/>
      <c r="D150" s="1"/>
      <c r="E150" s="1"/>
      <c r="F150" s="1"/>
      <c r="G150" s="1"/>
      <c r="H150" s="1"/>
      <c r="I150" s="1"/>
      <c r="J150" s="1"/>
      <c r="K150" s="1"/>
      <c r="L150" s="1"/>
      <c r="M150" s="1"/>
      <c r="N150" s="1"/>
      <c r="O150" s="1"/>
      <c r="P150" s="1"/>
      <c r="Q150" s="1"/>
      <c r="R150" s="1"/>
      <c r="S150" s="1"/>
      <c r="U150" s="1"/>
      <c r="V150" s="1"/>
      <c r="W150" s="1"/>
      <c r="X150" s="1"/>
      <c r="Y150" s="1"/>
      <c r="Z150" s="1"/>
      <c r="AA150" s="1"/>
      <c r="AB150" s="1"/>
      <c r="AC150" s="1"/>
      <c r="AD150" s="1"/>
      <c r="AE150" s="1"/>
      <c r="AF150" s="1"/>
      <c r="AG150" s="1"/>
      <c r="AH150" s="1"/>
      <c r="AI150" s="1"/>
      <c r="AJ150" s="1"/>
      <c r="AK150" s="1"/>
      <c r="AL150" s="1"/>
      <c r="AM150" s="1"/>
    </row>
    <row r="151" spans="1:39" s="2" customFormat="1" x14ac:dyDescent="0.2">
      <c r="A151" s="27" t="s">
        <v>95</v>
      </c>
      <c r="B151" s="1"/>
      <c r="C151" s="1"/>
      <c r="D151" s="1"/>
      <c r="E151" s="1"/>
      <c r="F151" s="1"/>
      <c r="G151" s="1"/>
      <c r="H151" s="1"/>
      <c r="I151" s="1"/>
      <c r="J151" s="1"/>
      <c r="K151" s="1"/>
      <c r="L151" s="1"/>
      <c r="M151" s="1"/>
      <c r="N151" s="1"/>
      <c r="O151" s="1"/>
      <c r="P151" s="1"/>
      <c r="Q151" s="1"/>
      <c r="R151" s="1"/>
      <c r="S151" s="1"/>
      <c r="U151" s="1"/>
      <c r="V151" s="1"/>
      <c r="W151" s="1"/>
      <c r="X151" s="1"/>
      <c r="Y151" s="1"/>
      <c r="Z151" s="1"/>
      <c r="AA151" s="1"/>
      <c r="AB151" s="1"/>
      <c r="AC151" s="1"/>
      <c r="AD151" s="1"/>
      <c r="AE151" s="1"/>
      <c r="AF151" s="1"/>
      <c r="AG151" s="1"/>
      <c r="AH151" s="1"/>
      <c r="AI151" s="1"/>
      <c r="AJ151" s="1"/>
      <c r="AK151" s="1"/>
      <c r="AL151" s="1"/>
      <c r="AM151" s="1"/>
    </row>
    <row r="152" spans="1:39" s="2" customFormat="1" x14ac:dyDescent="0.2">
      <c r="A152" s="27" t="s">
        <v>96</v>
      </c>
      <c r="B152" s="1"/>
      <c r="C152" s="1"/>
      <c r="D152" s="1"/>
      <c r="E152" s="1"/>
      <c r="F152" s="1"/>
      <c r="G152" s="1"/>
      <c r="H152" s="1"/>
      <c r="I152" s="1"/>
      <c r="J152" s="1"/>
      <c r="K152" s="1"/>
      <c r="L152" s="1"/>
      <c r="M152" s="1"/>
      <c r="N152" s="1"/>
      <c r="O152" s="1"/>
      <c r="P152" s="1"/>
      <c r="Q152" s="1"/>
      <c r="R152" s="1"/>
      <c r="S152" s="1"/>
      <c r="U152" s="1"/>
      <c r="V152" s="1"/>
      <c r="W152" s="1"/>
      <c r="X152" s="1"/>
      <c r="Y152" s="1"/>
      <c r="Z152" s="1"/>
      <c r="AA152" s="1"/>
      <c r="AB152" s="1"/>
      <c r="AC152" s="1"/>
      <c r="AD152" s="1"/>
      <c r="AE152" s="1"/>
      <c r="AF152" s="1"/>
      <c r="AG152" s="1"/>
      <c r="AH152" s="1"/>
      <c r="AI152" s="1"/>
      <c r="AJ152" s="1"/>
      <c r="AK152" s="1"/>
      <c r="AL152" s="1"/>
      <c r="AM152" s="1"/>
    </row>
    <row r="153" spans="1:39" s="2" customFormat="1" x14ac:dyDescent="0.2">
      <c r="A153" s="27" t="s">
        <v>97</v>
      </c>
      <c r="B153" s="1"/>
      <c r="C153" s="1"/>
      <c r="D153" s="1"/>
      <c r="E153" s="1"/>
      <c r="F153" s="1"/>
      <c r="G153" s="1"/>
      <c r="H153" s="1"/>
      <c r="I153" s="1"/>
      <c r="J153" s="1"/>
      <c r="K153" s="1"/>
      <c r="L153" s="1"/>
      <c r="M153" s="1"/>
      <c r="N153" s="1"/>
      <c r="O153" s="1"/>
      <c r="P153" s="1"/>
      <c r="Q153" s="1"/>
      <c r="R153" s="1"/>
      <c r="S153" s="1"/>
      <c r="U153" s="1"/>
      <c r="V153" s="1"/>
      <c r="W153" s="1"/>
      <c r="X153" s="1"/>
      <c r="Y153" s="1"/>
      <c r="Z153" s="1"/>
      <c r="AA153" s="1"/>
      <c r="AB153" s="1"/>
      <c r="AC153" s="1"/>
      <c r="AD153" s="1"/>
      <c r="AE153" s="1"/>
      <c r="AF153" s="1"/>
      <c r="AG153" s="1"/>
      <c r="AH153" s="1"/>
      <c r="AI153" s="1"/>
      <c r="AJ153" s="1"/>
      <c r="AK153" s="1"/>
      <c r="AL153" s="1"/>
      <c r="AM153" s="1"/>
    </row>
    <row r="154" spans="1:39" s="2" customFormat="1" x14ac:dyDescent="0.2">
      <c r="A154" s="27" t="s">
        <v>98</v>
      </c>
      <c r="B154" s="1"/>
      <c r="C154" s="1"/>
      <c r="D154" s="1"/>
      <c r="E154" s="1"/>
      <c r="F154" s="1"/>
      <c r="G154" s="1"/>
      <c r="H154" s="1"/>
      <c r="I154" s="1"/>
      <c r="J154" s="1"/>
      <c r="K154" s="1"/>
      <c r="L154" s="1"/>
      <c r="M154" s="1"/>
      <c r="N154" s="1"/>
      <c r="O154" s="1"/>
      <c r="P154" s="1"/>
      <c r="Q154" s="1"/>
      <c r="R154" s="1"/>
      <c r="S154" s="1"/>
      <c r="U154" s="1"/>
      <c r="V154" s="1"/>
      <c r="W154" s="1"/>
      <c r="X154" s="1"/>
      <c r="Y154" s="1"/>
      <c r="Z154" s="1"/>
      <c r="AA154" s="1"/>
      <c r="AB154" s="1"/>
      <c r="AC154" s="1"/>
      <c r="AD154" s="1"/>
      <c r="AE154" s="1"/>
      <c r="AF154" s="1"/>
      <c r="AG154" s="1"/>
      <c r="AH154" s="1"/>
      <c r="AI154" s="1"/>
      <c r="AJ154" s="1"/>
      <c r="AK154" s="1"/>
      <c r="AL154" s="1"/>
      <c r="AM154" s="1"/>
    </row>
    <row r="155" spans="1:39" s="2" customFormat="1" x14ac:dyDescent="0.2">
      <c r="A155" s="27" t="s">
        <v>99</v>
      </c>
      <c r="B155" s="1"/>
      <c r="C155" s="1"/>
      <c r="D155" s="1"/>
      <c r="E155" s="1"/>
      <c r="F155" s="1"/>
      <c r="G155" s="1"/>
      <c r="H155" s="1"/>
      <c r="I155" s="1"/>
      <c r="J155" s="1"/>
      <c r="K155" s="1"/>
      <c r="L155" s="1"/>
      <c r="M155" s="1"/>
      <c r="N155" s="1"/>
      <c r="O155" s="1"/>
      <c r="P155" s="1"/>
      <c r="Q155" s="1"/>
      <c r="R155" s="1"/>
      <c r="S155" s="1"/>
      <c r="U155" s="1"/>
      <c r="V155" s="1"/>
      <c r="W155" s="1"/>
      <c r="X155" s="1"/>
      <c r="Y155" s="1"/>
      <c r="Z155" s="1"/>
      <c r="AA155" s="1"/>
      <c r="AB155" s="1"/>
      <c r="AC155" s="1"/>
      <c r="AD155" s="1"/>
      <c r="AE155" s="1"/>
      <c r="AF155" s="1"/>
      <c r="AG155" s="1"/>
      <c r="AH155" s="1"/>
      <c r="AI155" s="1"/>
      <c r="AJ155" s="1"/>
      <c r="AK155" s="1"/>
      <c r="AL155" s="1"/>
      <c r="AM155" s="1"/>
    </row>
    <row r="156" spans="1:39" x14ac:dyDescent="0.2">
      <c r="A156" s="27" t="s">
        <v>100</v>
      </c>
    </row>
    <row r="157" spans="1:39" x14ac:dyDescent="0.2">
      <c r="A157" s="27" t="s">
        <v>101</v>
      </c>
    </row>
    <row r="158" spans="1:39" x14ac:dyDescent="0.2">
      <c r="A158" s="27" t="s">
        <v>102</v>
      </c>
    </row>
    <row r="159" spans="1:39" x14ac:dyDescent="0.2">
      <c r="A159" s="27" t="s">
        <v>103</v>
      </c>
    </row>
    <row r="160" spans="1:39" x14ac:dyDescent="0.2">
      <c r="A160" s="27" t="s">
        <v>104</v>
      </c>
    </row>
    <row r="161" spans="1:1" x14ac:dyDescent="0.2">
      <c r="A161" s="27" t="s">
        <v>105</v>
      </c>
    </row>
  </sheetData>
  <sheetProtection formatCells="0" formatColumns="0" formatRows="0" insertColumns="0" insertRows="0" insertHyperlinks="0" deleteColumns="0" deleteRows="0" sort="0" autoFilter="0" pivotTables="0"/>
  <mergeCells count="72">
    <mergeCell ref="A128:L128"/>
    <mergeCell ref="A129:L129"/>
    <mergeCell ref="B110:L110"/>
    <mergeCell ref="B111:B126"/>
    <mergeCell ref="C111:C125"/>
    <mergeCell ref="D111:D125"/>
    <mergeCell ref="E111:E125"/>
    <mergeCell ref="C126:L126"/>
    <mergeCell ref="B92:L92"/>
    <mergeCell ref="A93:L93"/>
    <mergeCell ref="A94:A127"/>
    <mergeCell ref="B94:B109"/>
    <mergeCell ref="C94:C108"/>
    <mergeCell ref="D94:D108"/>
    <mergeCell ref="E94:E108"/>
    <mergeCell ref="C109:L109"/>
    <mergeCell ref="A71:A92"/>
    <mergeCell ref="B71:B80"/>
    <mergeCell ref="C71:C79"/>
    <mergeCell ref="D71:D79"/>
    <mergeCell ref="E71:E79"/>
    <mergeCell ref="C80:L80"/>
    <mergeCell ref="B127:L127"/>
    <mergeCell ref="B81:L81"/>
    <mergeCell ref="A70:L70"/>
    <mergeCell ref="E82:E90"/>
    <mergeCell ref="B82:B91"/>
    <mergeCell ref="C82:C90"/>
    <mergeCell ref="D82:D90"/>
    <mergeCell ref="C91:L91"/>
    <mergeCell ref="B46:L46"/>
    <mergeCell ref="A47:L47"/>
    <mergeCell ref="A48:A69"/>
    <mergeCell ref="B48:B57"/>
    <mergeCell ref="C48:C56"/>
    <mergeCell ref="D48:D56"/>
    <mergeCell ref="E48:E56"/>
    <mergeCell ref="C57:L57"/>
    <mergeCell ref="B58:L58"/>
    <mergeCell ref="B59:B68"/>
    <mergeCell ref="A25:A46"/>
    <mergeCell ref="E59:E67"/>
    <mergeCell ref="C68:L68"/>
    <mergeCell ref="B69:L69"/>
    <mergeCell ref="C59:C67"/>
    <mergeCell ref="D59:D67"/>
    <mergeCell ref="A24:L24"/>
    <mergeCell ref="C34:L34"/>
    <mergeCell ref="B35:L35"/>
    <mergeCell ref="B36:B45"/>
    <mergeCell ref="C36:C44"/>
    <mergeCell ref="D36:D44"/>
    <mergeCell ref="E36:E44"/>
    <mergeCell ref="C45:L45"/>
    <mergeCell ref="B25:B34"/>
    <mergeCell ref="C25:C33"/>
    <mergeCell ref="D25:D33"/>
    <mergeCell ref="E25:E33"/>
    <mergeCell ref="U3:V3"/>
    <mergeCell ref="A4:A23"/>
    <mergeCell ref="B4:B12"/>
    <mergeCell ref="C4:C11"/>
    <mergeCell ref="D4:D11"/>
    <mergeCell ref="E4:E11"/>
    <mergeCell ref="C12:L12"/>
    <mergeCell ref="B13:L13"/>
    <mergeCell ref="B14:B22"/>
    <mergeCell ref="C14:C21"/>
    <mergeCell ref="D14:D21"/>
    <mergeCell ref="E14:E21"/>
    <mergeCell ref="C22:L22"/>
    <mergeCell ref="B23:L2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D763C-6451-488F-8D90-B49A57795DEE}">
  <sheetPr>
    <tabColor theme="6" tint="0.79998168889431442"/>
  </sheetPr>
  <dimension ref="A1:AM161"/>
  <sheetViews>
    <sheetView topLeftCell="H129" zoomScale="90" zoomScaleNormal="90" workbookViewId="0">
      <selection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9" width="9.5703125" style="1" customWidth="1"/>
    <col min="10" max="10" width="8.7109375" style="1"/>
    <col min="11" max="11" width="18.28515625" style="1" customWidth="1"/>
    <col min="12" max="12" width="9.5703125" style="1" customWidth="1"/>
    <col min="13" max="13" width="11.85546875" style="1" customWidth="1"/>
    <col min="14" max="17" width="12.5703125" style="1" bestFit="1" customWidth="1"/>
    <col min="18" max="18" width="11.85546875" style="1" bestFit="1" customWidth="1"/>
    <col min="19" max="19" width="6.5703125" style="1" bestFit="1" customWidth="1"/>
    <col min="20" max="20" width="9.140625" style="2" customWidth="1"/>
    <col min="21" max="21" width="14.7109375" style="1" bestFit="1" customWidth="1"/>
    <col min="22" max="22" width="14.28515625" style="1" bestFit="1" customWidth="1"/>
    <col min="23" max="23" width="9.85546875" style="1" bestFit="1" customWidth="1"/>
    <col min="24" max="24" width="14.28515625" style="1" bestFit="1" customWidth="1"/>
    <col min="25" max="25" width="13.85546875" style="1" customWidth="1"/>
    <col min="26" max="26" width="14.7109375" style="1" bestFit="1" customWidth="1"/>
    <col min="27" max="27" width="9.85546875" style="1" customWidth="1"/>
    <col min="28" max="28" width="12.28515625" style="1" customWidth="1"/>
    <col min="29" max="29" width="15.28515625" style="1" bestFit="1" customWidth="1"/>
    <col min="30" max="31" width="14.28515625" style="1" bestFit="1" customWidth="1"/>
    <col min="32" max="32" width="12.5703125" style="1" bestFit="1" customWidth="1"/>
    <col min="33" max="33" width="11.5703125" style="1" bestFit="1" customWidth="1"/>
    <col min="34" max="38" width="14.28515625" style="1" bestFit="1" customWidth="1"/>
    <col min="39" max="39" width="8.7109375" style="1" customWidth="1"/>
    <col min="40" max="40" width="12.5703125" style="1" bestFit="1" customWidth="1"/>
    <col min="41" max="16384" width="8.7109375" style="1"/>
  </cols>
  <sheetData>
    <row r="1" spans="1:39" x14ac:dyDescent="0.2">
      <c r="L1" s="209" t="s">
        <v>106</v>
      </c>
      <c r="M1" s="210">
        <v>0</v>
      </c>
      <c r="N1" s="210">
        <v>0.4</v>
      </c>
      <c r="O1" s="210">
        <v>0.4</v>
      </c>
      <c r="P1" s="210">
        <v>0.2</v>
      </c>
      <c r="Q1" s="210">
        <f>SUM(M1:P1)</f>
        <v>1</v>
      </c>
    </row>
    <row r="2" spans="1:39" ht="12.75" thickBot="1" x14ac:dyDescent="0.25">
      <c r="L2" s="209" t="s">
        <v>107</v>
      </c>
      <c r="M2" s="211">
        <v>0</v>
      </c>
      <c r="N2" s="211">
        <v>0.34</v>
      </c>
      <c r="O2" s="211">
        <v>0.33</v>
      </c>
      <c r="P2" s="211">
        <v>0.33</v>
      </c>
      <c r="Q2" s="210">
        <f>SUM(M2:P2)</f>
        <v>1</v>
      </c>
    </row>
    <row r="3" spans="1:39" s="5" customFormat="1" ht="52.5" customHeight="1" thickBot="1" x14ac:dyDescent="0.25">
      <c r="A3" s="232" t="s">
        <v>0</v>
      </c>
      <c r="B3" s="232" t="s">
        <v>1</v>
      </c>
      <c r="C3" s="232" t="s">
        <v>2</v>
      </c>
      <c r="D3" s="232" t="s">
        <v>3</v>
      </c>
      <c r="E3" s="232" t="s">
        <v>4</v>
      </c>
      <c r="F3" s="232" t="s">
        <v>121</v>
      </c>
      <c r="G3" s="232" t="s">
        <v>122</v>
      </c>
      <c r="H3" s="232" t="s">
        <v>123</v>
      </c>
      <c r="I3" s="232" t="s">
        <v>5</v>
      </c>
      <c r="J3" s="232" t="s">
        <v>6</v>
      </c>
      <c r="K3" s="232" t="s">
        <v>7</v>
      </c>
      <c r="L3" s="232" t="s">
        <v>8</v>
      </c>
      <c r="M3" s="232" t="s">
        <v>9</v>
      </c>
      <c r="N3" s="232" t="s">
        <v>10</v>
      </c>
      <c r="O3" s="232" t="s">
        <v>11</v>
      </c>
      <c r="P3" s="232" t="s">
        <v>12</v>
      </c>
      <c r="Q3" s="233" t="s">
        <v>13</v>
      </c>
      <c r="R3" s="232" t="s">
        <v>14</v>
      </c>
      <c r="S3" s="5" t="s">
        <v>124</v>
      </c>
      <c r="T3" s="212"/>
      <c r="U3" s="264" t="s">
        <v>125</v>
      </c>
      <c r="V3" s="264"/>
    </row>
    <row r="4" spans="1:39" ht="21.95" customHeight="1" thickBot="1" x14ac:dyDescent="0.3">
      <c r="A4" s="265" t="s">
        <v>15</v>
      </c>
      <c r="B4" s="268" t="s">
        <v>16</v>
      </c>
      <c r="C4" s="268" t="s">
        <v>17</v>
      </c>
      <c r="D4" s="268">
        <v>62000</v>
      </c>
      <c r="E4" s="268">
        <v>10003</v>
      </c>
      <c r="F4" s="235">
        <v>10198</v>
      </c>
      <c r="G4" s="235" t="s">
        <v>136</v>
      </c>
      <c r="H4" s="235" t="s">
        <v>137</v>
      </c>
      <c r="I4" s="235" t="s">
        <v>18</v>
      </c>
      <c r="J4" s="236" t="s">
        <v>19</v>
      </c>
      <c r="K4" s="235">
        <v>71200</v>
      </c>
      <c r="L4" s="235" t="s">
        <v>19</v>
      </c>
      <c r="M4" s="237">
        <f>ROUND(M$2*$Q4,0)</f>
        <v>0</v>
      </c>
      <c r="N4" s="237">
        <f t="shared" ref="N4:O11" si="0">ROUND(N$2*$Q4,0)</f>
        <v>0</v>
      </c>
      <c r="O4" s="237">
        <f t="shared" si="0"/>
        <v>0</v>
      </c>
      <c r="P4" s="237">
        <f>Q4-SUM(M4:O4)</f>
        <v>0</v>
      </c>
      <c r="Q4" s="237">
        <f>ROUND($V$6*S4,0)</f>
        <v>0</v>
      </c>
      <c r="R4" s="238">
        <v>2</v>
      </c>
      <c r="S4" s="9">
        <f t="shared" ref="S4:S11" si="1">VLOOKUP(K4, rpacoreratio2, 3, FALSE)*VLOOKUP(K4, rpacoreratio2, 8, FALSE)</f>
        <v>0</v>
      </c>
      <c r="U4" s="239" t="s">
        <v>128</v>
      </c>
      <c r="V4" s="240">
        <f>[3]RPA_Kris!E3</f>
        <v>456818.18</v>
      </c>
    </row>
    <row r="5" spans="1:39" ht="21.95" customHeight="1" thickBot="1" x14ac:dyDescent="0.3">
      <c r="A5" s="266"/>
      <c r="B5" s="268"/>
      <c r="C5" s="268"/>
      <c r="D5" s="268"/>
      <c r="E5" s="268"/>
      <c r="F5" s="235">
        <v>10198</v>
      </c>
      <c r="G5" s="235" t="s">
        <v>136</v>
      </c>
      <c r="H5" s="235" t="s">
        <v>137</v>
      </c>
      <c r="I5" s="235" t="s">
        <v>18</v>
      </c>
      <c r="J5" s="236" t="s">
        <v>20</v>
      </c>
      <c r="K5" s="235">
        <v>71300</v>
      </c>
      <c r="L5" s="235" t="s">
        <v>20</v>
      </c>
      <c r="M5" s="237">
        <f t="shared" ref="M5:M11" si="2">ROUND(M$2*$Q5,0)</f>
        <v>0</v>
      </c>
      <c r="N5" s="237">
        <f t="shared" si="0"/>
        <v>0</v>
      </c>
      <c r="O5" s="237">
        <f t="shared" si="0"/>
        <v>0</v>
      </c>
      <c r="P5" s="237">
        <f t="shared" ref="P5:P11" si="3">Q5-SUM(M5:O5)</f>
        <v>0</v>
      </c>
      <c r="Q5" s="237">
        <f t="shared" ref="Q5:Q11" si="4">ROUND($V$6*S5,0)</f>
        <v>0</v>
      </c>
      <c r="R5" s="238">
        <v>3</v>
      </c>
      <c r="S5" s="9">
        <f t="shared" si="1"/>
        <v>3.424230482072195E-2</v>
      </c>
      <c r="U5" s="239" t="s">
        <v>129</v>
      </c>
      <c r="V5" s="240">
        <f>[3]RPA_Kris!E4</f>
        <v>954750</v>
      </c>
    </row>
    <row r="6" spans="1:39" ht="21.95" customHeight="1" thickBot="1" x14ac:dyDescent="0.3">
      <c r="A6" s="266"/>
      <c r="B6" s="268"/>
      <c r="C6" s="268"/>
      <c r="D6" s="268"/>
      <c r="E6" s="268"/>
      <c r="F6" s="235">
        <v>10198</v>
      </c>
      <c r="G6" s="235" t="s">
        <v>136</v>
      </c>
      <c r="H6" s="235" t="s">
        <v>137</v>
      </c>
      <c r="I6" s="235" t="s">
        <v>18</v>
      </c>
      <c r="J6" s="236" t="s">
        <v>21</v>
      </c>
      <c r="K6" s="235">
        <v>71400</v>
      </c>
      <c r="L6" s="235" t="s">
        <v>22</v>
      </c>
      <c r="M6" s="237">
        <f t="shared" si="2"/>
        <v>0</v>
      </c>
      <c r="N6" s="237">
        <f t="shared" si="0"/>
        <v>0</v>
      </c>
      <c r="O6" s="237">
        <f t="shared" si="0"/>
        <v>0</v>
      </c>
      <c r="P6" s="237">
        <f t="shared" si="3"/>
        <v>0</v>
      </c>
      <c r="Q6" s="237">
        <f t="shared" si="4"/>
        <v>0</v>
      </c>
      <c r="R6" s="238">
        <v>5</v>
      </c>
      <c r="S6" s="9">
        <f t="shared" si="1"/>
        <v>0</v>
      </c>
      <c r="U6" s="239" t="s">
        <v>130</v>
      </c>
      <c r="V6" s="240">
        <f>[3]RPA_Kris!E5</f>
        <v>0</v>
      </c>
    </row>
    <row r="7" spans="1:39" ht="21.95" customHeight="1" thickBot="1" x14ac:dyDescent="0.3">
      <c r="A7" s="266"/>
      <c r="B7" s="268"/>
      <c r="C7" s="268"/>
      <c r="D7" s="268"/>
      <c r="E7" s="268"/>
      <c r="F7" s="235">
        <v>10198</v>
      </c>
      <c r="G7" s="235" t="s">
        <v>136</v>
      </c>
      <c r="H7" s="235" t="s">
        <v>137</v>
      </c>
      <c r="I7" s="235" t="s">
        <v>18</v>
      </c>
      <c r="J7" s="236" t="s">
        <v>23</v>
      </c>
      <c r="K7" s="235">
        <v>71600</v>
      </c>
      <c r="L7" s="235" t="s">
        <v>23</v>
      </c>
      <c r="M7" s="237">
        <f t="shared" si="2"/>
        <v>0</v>
      </c>
      <c r="N7" s="237">
        <f t="shared" si="0"/>
        <v>0</v>
      </c>
      <c r="O7" s="237">
        <f t="shared" si="0"/>
        <v>0</v>
      </c>
      <c r="P7" s="237">
        <f t="shared" si="3"/>
        <v>0</v>
      </c>
      <c r="Q7" s="237">
        <f t="shared" si="4"/>
        <v>0</v>
      </c>
      <c r="R7" s="238">
        <v>7</v>
      </c>
      <c r="S7" s="9">
        <f t="shared" si="1"/>
        <v>5.5951772226238802E-2</v>
      </c>
      <c r="U7" s="239" t="s">
        <v>131</v>
      </c>
      <c r="V7" s="240">
        <f>[3]RPA_Kris!E6</f>
        <v>218100</v>
      </c>
    </row>
    <row r="8" spans="1:39" ht="21.95" customHeight="1" thickBot="1" x14ac:dyDescent="0.3">
      <c r="A8" s="266"/>
      <c r="B8" s="268"/>
      <c r="C8" s="268"/>
      <c r="D8" s="268"/>
      <c r="E8" s="268"/>
      <c r="F8" s="235">
        <v>10198</v>
      </c>
      <c r="G8" s="235" t="s">
        <v>136</v>
      </c>
      <c r="H8" s="235" t="s">
        <v>137</v>
      </c>
      <c r="I8" s="235" t="s">
        <v>18</v>
      </c>
      <c r="J8" s="236" t="s">
        <v>24</v>
      </c>
      <c r="K8" s="235">
        <v>72500</v>
      </c>
      <c r="L8" s="235" t="s">
        <v>25</v>
      </c>
      <c r="M8" s="237">
        <f t="shared" si="2"/>
        <v>0</v>
      </c>
      <c r="N8" s="237">
        <f t="shared" si="0"/>
        <v>0</v>
      </c>
      <c r="O8" s="237">
        <f t="shared" si="0"/>
        <v>0</v>
      </c>
      <c r="P8" s="237">
        <f t="shared" si="3"/>
        <v>0</v>
      </c>
      <c r="Q8" s="237">
        <f t="shared" si="4"/>
        <v>0</v>
      </c>
      <c r="R8" s="238">
        <v>10</v>
      </c>
      <c r="S8" s="9">
        <f t="shared" si="1"/>
        <v>2.1619302263895272E-3</v>
      </c>
      <c r="V8" s="241">
        <f>SUM(V4:V7)</f>
        <v>1629668.18</v>
      </c>
    </row>
    <row r="9" spans="1:39" ht="21.95" customHeight="1" thickBot="1" x14ac:dyDescent="0.25">
      <c r="A9" s="266"/>
      <c r="B9" s="268"/>
      <c r="C9" s="268"/>
      <c r="D9" s="268"/>
      <c r="E9" s="268"/>
      <c r="F9" s="235">
        <v>10198</v>
      </c>
      <c r="G9" s="235" t="s">
        <v>136</v>
      </c>
      <c r="H9" s="235" t="s">
        <v>137</v>
      </c>
      <c r="I9" s="235" t="s">
        <v>18</v>
      </c>
      <c r="J9" s="236" t="s">
        <v>26</v>
      </c>
      <c r="K9" s="235">
        <v>75700</v>
      </c>
      <c r="L9" s="235" t="s">
        <v>27</v>
      </c>
      <c r="M9" s="237">
        <f t="shared" si="2"/>
        <v>0</v>
      </c>
      <c r="N9" s="237">
        <f t="shared" si="0"/>
        <v>0</v>
      </c>
      <c r="O9" s="237">
        <f t="shared" si="0"/>
        <v>0</v>
      </c>
      <c r="P9" s="237">
        <f t="shared" si="3"/>
        <v>0</v>
      </c>
      <c r="Q9" s="237">
        <f t="shared" si="4"/>
        <v>0</v>
      </c>
      <c r="R9" s="238">
        <v>6</v>
      </c>
      <c r="S9" s="9">
        <f t="shared" si="1"/>
        <v>1.0944859382741919E-2</v>
      </c>
    </row>
    <row r="10" spans="1:39" ht="21.95" customHeight="1" thickBot="1" x14ac:dyDescent="0.25">
      <c r="A10" s="266"/>
      <c r="B10" s="268"/>
      <c r="C10" s="268"/>
      <c r="D10" s="268"/>
      <c r="E10" s="268"/>
      <c r="F10" s="235">
        <v>10198</v>
      </c>
      <c r="G10" s="235" t="s">
        <v>136</v>
      </c>
      <c r="H10" s="235" t="s">
        <v>137</v>
      </c>
      <c r="I10" s="235" t="s">
        <v>18</v>
      </c>
      <c r="J10" s="236" t="s">
        <v>28</v>
      </c>
      <c r="K10" s="235">
        <v>61200</v>
      </c>
      <c r="L10" s="235" t="s">
        <v>29</v>
      </c>
      <c r="M10" s="237">
        <f t="shared" si="2"/>
        <v>0</v>
      </c>
      <c r="N10" s="237">
        <f t="shared" si="0"/>
        <v>0</v>
      </c>
      <c r="O10" s="237">
        <f t="shared" si="0"/>
        <v>0</v>
      </c>
      <c r="P10" s="237">
        <f t="shared" si="3"/>
        <v>0</v>
      </c>
      <c r="Q10" s="237">
        <f t="shared" si="4"/>
        <v>0</v>
      </c>
      <c r="R10" s="238">
        <v>4</v>
      </c>
      <c r="S10" s="9">
        <f t="shared" si="1"/>
        <v>0</v>
      </c>
    </row>
    <row r="11" spans="1:39" ht="21.95" customHeight="1" thickBot="1" x14ac:dyDescent="0.25">
      <c r="A11" s="266"/>
      <c r="B11" s="268"/>
      <c r="C11" s="268"/>
      <c r="D11" s="268"/>
      <c r="E11" s="268"/>
      <c r="F11" s="235">
        <v>10198</v>
      </c>
      <c r="G11" s="235" t="s">
        <v>136</v>
      </c>
      <c r="H11" s="235" t="s">
        <v>137</v>
      </c>
      <c r="I11" s="235" t="s">
        <v>18</v>
      </c>
      <c r="J11" s="236" t="s">
        <v>28</v>
      </c>
      <c r="K11" s="235">
        <v>61300</v>
      </c>
      <c r="L11" s="235" t="s">
        <v>30</v>
      </c>
      <c r="M11" s="237">
        <f t="shared" si="2"/>
        <v>0</v>
      </c>
      <c r="N11" s="237">
        <f t="shared" si="0"/>
        <v>0</v>
      </c>
      <c r="O11" s="237">
        <f t="shared" si="0"/>
        <v>0</v>
      </c>
      <c r="P11" s="237">
        <f t="shared" si="3"/>
        <v>0</v>
      </c>
      <c r="Q11" s="237">
        <f t="shared" si="4"/>
        <v>0</v>
      </c>
      <c r="R11" s="238">
        <v>4</v>
      </c>
      <c r="S11" s="9">
        <f t="shared" si="1"/>
        <v>0</v>
      </c>
    </row>
    <row r="12" spans="1:39" ht="21.95" customHeight="1" thickBot="1" x14ac:dyDescent="0.25">
      <c r="A12" s="266"/>
      <c r="B12" s="268"/>
      <c r="C12" s="269" t="s">
        <v>31</v>
      </c>
      <c r="D12" s="269"/>
      <c r="E12" s="269"/>
      <c r="F12" s="269"/>
      <c r="G12" s="269"/>
      <c r="H12" s="269"/>
      <c r="I12" s="269"/>
      <c r="J12" s="269"/>
      <c r="K12" s="269"/>
      <c r="L12" s="269"/>
      <c r="M12" s="237">
        <f>SUM(M4:M11)</f>
        <v>0</v>
      </c>
      <c r="N12" s="237">
        <f t="shared" ref="N12:Q12" si="5">SUM(N4:N11)</f>
        <v>0</v>
      </c>
      <c r="O12" s="237">
        <f t="shared" si="5"/>
        <v>0</v>
      </c>
      <c r="P12" s="237">
        <f t="shared" si="5"/>
        <v>0</v>
      </c>
      <c r="Q12" s="237">
        <f t="shared" si="5"/>
        <v>0</v>
      </c>
      <c r="R12" s="238"/>
      <c r="S12" s="9"/>
    </row>
    <row r="13" spans="1:39" s="2" customFormat="1" ht="21.95" customHeight="1" thickBot="1" x14ac:dyDescent="0.25">
      <c r="A13" s="266"/>
      <c r="B13" s="269" t="s">
        <v>32</v>
      </c>
      <c r="C13" s="269"/>
      <c r="D13" s="269"/>
      <c r="E13" s="269"/>
      <c r="F13" s="269"/>
      <c r="G13" s="269"/>
      <c r="H13" s="269"/>
      <c r="I13" s="269"/>
      <c r="J13" s="269"/>
      <c r="K13" s="269"/>
      <c r="L13" s="269"/>
      <c r="M13" s="237">
        <f>M12</f>
        <v>0</v>
      </c>
      <c r="N13" s="237">
        <f t="shared" ref="N13:Q13" si="6">N12</f>
        <v>0</v>
      </c>
      <c r="O13" s="237">
        <f t="shared" si="6"/>
        <v>0</v>
      </c>
      <c r="P13" s="237">
        <f t="shared" si="6"/>
        <v>0</v>
      </c>
      <c r="Q13" s="237">
        <f t="shared" si="6"/>
        <v>0</v>
      </c>
      <c r="R13" s="238"/>
      <c r="S13" s="9"/>
      <c r="U13" s="1"/>
      <c r="V13" s="1"/>
      <c r="W13" s="1"/>
      <c r="X13" s="1"/>
      <c r="Y13" s="1"/>
      <c r="Z13" s="1"/>
      <c r="AA13" s="1"/>
      <c r="AB13" s="1"/>
      <c r="AC13" s="1"/>
      <c r="AD13" s="1"/>
      <c r="AE13" s="1"/>
      <c r="AF13" s="1"/>
      <c r="AG13" s="1"/>
      <c r="AH13" s="1"/>
      <c r="AI13" s="1"/>
      <c r="AJ13" s="1"/>
      <c r="AK13" s="1"/>
      <c r="AL13" s="1"/>
      <c r="AM13" s="1"/>
    </row>
    <row r="14" spans="1:39" s="2" customFormat="1" ht="21.95" customHeight="1" thickBot="1" x14ac:dyDescent="0.25">
      <c r="A14" s="266"/>
      <c r="B14" s="265" t="s">
        <v>33</v>
      </c>
      <c r="C14" s="265" t="s">
        <v>17</v>
      </c>
      <c r="D14" s="265">
        <v>62000</v>
      </c>
      <c r="E14" s="265">
        <v>10003</v>
      </c>
      <c r="F14" s="235">
        <v>10198</v>
      </c>
      <c r="G14" s="235" t="s">
        <v>136</v>
      </c>
      <c r="H14" s="235" t="s">
        <v>137</v>
      </c>
      <c r="I14" s="234" t="s">
        <v>34</v>
      </c>
      <c r="J14" s="236" t="s">
        <v>19</v>
      </c>
      <c r="K14" s="235">
        <v>71200</v>
      </c>
      <c r="L14" s="235" t="s">
        <v>19</v>
      </c>
      <c r="M14" s="237">
        <f t="shared" ref="M14:O21" si="7">ROUND(M$2*$Q14,0)</f>
        <v>0</v>
      </c>
      <c r="N14" s="237">
        <f t="shared" si="7"/>
        <v>0</v>
      </c>
      <c r="O14" s="237">
        <f t="shared" si="7"/>
        <v>0</v>
      </c>
      <c r="P14" s="237">
        <f t="shared" ref="P14:P21" si="8">Q14-SUM(M14:O14)</f>
        <v>0</v>
      </c>
      <c r="Q14" s="237">
        <f>ROUND($V$7*S14,0)</f>
        <v>0</v>
      </c>
      <c r="R14" s="238">
        <v>2</v>
      </c>
      <c r="S14" s="9">
        <f t="shared" ref="S14:S21" si="9">VLOOKUP(K14, rpastarratio2, 3, FALSE)*VLOOKUP(K14, rpastarratio2, 8, FALSE)</f>
        <v>0</v>
      </c>
      <c r="U14" s="1"/>
      <c r="V14" s="1"/>
      <c r="W14" s="1"/>
      <c r="X14" s="1"/>
      <c r="Y14" s="1"/>
      <c r="Z14" s="1"/>
      <c r="AA14" s="1"/>
      <c r="AB14" s="1"/>
      <c r="AC14" s="1"/>
      <c r="AD14" s="1"/>
      <c r="AE14" s="1"/>
      <c r="AF14" s="1"/>
      <c r="AG14" s="1"/>
      <c r="AH14" s="1"/>
      <c r="AI14" s="1"/>
      <c r="AJ14" s="1"/>
      <c r="AK14" s="1"/>
      <c r="AL14" s="1"/>
      <c r="AM14" s="1"/>
    </row>
    <row r="15" spans="1:39" s="2" customFormat="1" ht="21.95" customHeight="1" thickBot="1" x14ac:dyDescent="0.25">
      <c r="A15" s="266"/>
      <c r="B15" s="266"/>
      <c r="C15" s="266"/>
      <c r="D15" s="266"/>
      <c r="E15" s="266"/>
      <c r="F15" s="235">
        <v>10198</v>
      </c>
      <c r="G15" s="235" t="s">
        <v>136</v>
      </c>
      <c r="H15" s="235" t="s">
        <v>137</v>
      </c>
      <c r="I15" s="234" t="s">
        <v>34</v>
      </c>
      <c r="J15" s="236" t="s">
        <v>20</v>
      </c>
      <c r="K15" s="235">
        <v>71300</v>
      </c>
      <c r="L15" s="235" t="s">
        <v>20</v>
      </c>
      <c r="M15" s="237">
        <f t="shared" si="7"/>
        <v>0</v>
      </c>
      <c r="N15" s="237">
        <f t="shared" si="7"/>
        <v>2539</v>
      </c>
      <c r="O15" s="237">
        <f t="shared" si="7"/>
        <v>2464</v>
      </c>
      <c r="P15" s="237">
        <f t="shared" si="8"/>
        <v>2465</v>
      </c>
      <c r="Q15" s="237">
        <f t="shared" ref="Q15:Q21" si="10">ROUND($V$7*S15,0)</f>
        <v>7468</v>
      </c>
      <c r="R15" s="238">
        <v>3</v>
      </c>
      <c r="S15" s="9">
        <f t="shared" si="9"/>
        <v>3.4242304820721853E-2</v>
      </c>
      <c r="U15" s="1"/>
      <c r="V15" s="1"/>
      <c r="W15" s="1"/>
      <c r="X15" s="1"/>
      <c r="Y15" s="1"/>
      <c r="Z15" s="1"/>
      <c r="AA15" s="1"/>
      <c r="AB15" s="1"/>
      <c r="AC15" s="1"/>
      <c r="AD15" s="1"/>
      <c r="AE15" s="1"/>
      <c r="AF15" s="1"/>
      <c r="AG15" s="1"/>
      <c r="AH15" s="1"/>
      <c r="AI15" s="1"/>
      <c r="AJ15" s="1"/>
      <c r="AK15" s="1"/>
      <c r="AL15" s="1"/>
      <c r="AM15" s="1"/>
    </row>
    <row r="16" spans="1:39" s="2" customFormat="1" ht="21.95" customHeight="1" thickBot="1" x14ac:dyDescent="0.25">
      <c r="A16" s="266"/>
      <c r="B16" s="266"/>
      <c r="C16" s="266"/>
      <c r="D16" s="266"/>
      <c r="E16" s="266"/>
      <c r="F16" s="235">
        <v>10198</v>
      </c>
      <c r="G16" s="235" t="s">
        <v>136</v>
      </c>
      <c r="H16" s="235" t="s">
        <v>137</v>
      </c>
      <c r="I16" s="234" t="s">
        <v>34</v>
      </c>
      <c r="J16" s="236" t="s">
        <v>21</v>
      </c>
      <c r="K16" s="235">
        <v>71400</v>
      </c>
      <c r="L16" s="235" t="s">
        <v>22</v>
      </c>
      <c r="M16" s="237">
        <f t="shared" si="7"/>
        <v>0</v>
      </c>
      <c r="N16" s="237">
        <f t="shared" si="7"/>
        <v>0</v>
      </c>
      <c r="O16" s="237">
        <f t="shared" si="7"/>
        <v>0</v>
      </c>
      <c r="P16" s="237">
        <f t="shared" si="8"/>
        <v>0</v>
      </c>
      <c r="Q16" s="237">
        <f t="shared" si="10"/>
        <v>0</v>
      </c>
      <c r="R16" s="238">
        <v>5</v>
      </c>
      <c r="S16" s="9">
        <f t="shared" si="9"/>
        <v>0</v>
      </c>
      <c r="U16" s="1"/>
      <c r="V16" s="1"/>
      <c r="W16" s="1"/>
      <c r="X16" s="1"/>
      <c r="Y16" s="1"/>
      <c r="Z16" s="1"/>
      <c r="AA16" s="1"/>
      <c r="AB16" s="1"/>
      <c r="AC16" s="1"/>
      <c r="AD16" s="1"/>
      <c r="AE16" s="1"/>
      <c r="AF16" s="1"/>
      <c r="AG16" s="1"/>
      <c r="AH16" s="1"/>
      <c r="AI16" s="1"/>
      <c r="AJ16" s="1"/>
      <c r="AK16" s="1"/>
      <c r="AL16" s="1"/>
      <c r="AM16" s="1"/>
    </row>
    <row r="17" spans="1:39" s="2" customFormat="1" ht="21.95" customHeight="1" thickBot="1" x14ac:dyDescent="0.25">
      <c r="A17" s="266"/>
      <c r="B17" s="266"/>
      <c r="C17" s="266"/>
      <c r="D17" s="266"/>
      <c r="E17" s="266"/>
      <c r="F17" s="235">
        <v>10198</v>
      </c>
      <c r="G17" s="235" t="s">
        <v>136</v>
      </c>
      <c r="H17" s="235" t="s">
        <v>137</v>
      </c>
      <c r="I17" s="234" t="s">
        <v>34</v>
      </c>
      <c r="J17" s="236" t="s">
        <v>23</v>
      </c>
      <c r="K17" s="235">
        <v>71600</v>
      </c>
      <c r="L17" s="235" t="s">
        <v>23</v>
      </c>
      <c r="M17" s="237">
        <f t="shared" si="7"/>
        <v>0</v>
      </c>
      <c r="N17" s="237">
        <f t="shared" si="7"/>
        <v>4149</v>
      </c>
      <c r="O17" s="237">
        <f t="shared" si="7"/>
        <v>4027</v>
      </c>
      <c r="P17" s="237">
        <f t="shared" si="8"/>
        <v>4027</v>
      </c>
      <c r="Q17" s="237">
        <f t="shared" si="10"/>
        <v>12203</v>
      </c>
      <c r="R17" s="238">
        <v>7</v>
      </c>
      <c r="S17" s="9">
        <f t="shared" si="9"/>
        <v>5.595177222623865E-2</v>
      </c>
      <c r="U17" s="1"/>
      <c r="V17" s="1"/>
      <c r="W17" s="1"/>
      <c r="X17" s="1"/>
      <c r="Y17" s="1"/>
      <c r="Z17" s="1"/>
      <c r="AA17" s="1"/>
      <c r="AB17" s="1"/>
      <c r="AC17" s="1"/>
      <c r="AD17" s="1"/>
      <c r="AE17" s="1"/>
      <c r="AF17" s="1"/>
      <c r="AG17" s="1"/>
      <c r="AH17" s="1"/>
      <c r="AI17" s="1"/>
      <c r="AJ17" s="1"/>
      <c r="AK17" s="1"/>
      <c r="AL17" s="1"/>
      <c r="AM17" s="1"/>
    </row>
    <row r="18" spans="1:39" s="2" customFormat="1" ht="21.95" customHeight="1" thickBot="1" x14ac:dyDescent="0.25">
      <c r="A18" s="266"/>
      <c r="B18" s="266"/>
      <c r="C18" s="266"/>
      <c r="D18" s="266"/>
      <c r="E18" s="266"/>
      <c r="F18" s="235">
        <v>10198</v>
      </c>
      <c r="G18" s="235" t="s">
        <v>136</v>
      </c>
      <c r="H18" s="235" t="s">
        <v>137</v>
      </c>
      <c r="I18" s="234" t="s">
        <v>34</v>
      </c>
      <c r="J18" s="236" t="s">
        <v>24</v>
      </c>
      <c r="K18" s="235">
        <v>72500</v>
      </c>
      <c r="L18" s="235" t="s">
        <v>25</v>
      </c>
      <c r="M18" s="237">
        <f t="shared" si="7"/>
        <v>0</v>
      </c>
      <c r="N18" s="237">
        <f t="shared" si="7"/>
        <v>160</v>
      </c>
      <c r="O18" s="237">
        <f t="shared" si="7"/>
        <v>156</v>
      </c>
      <c r="P18" s="237">
        <f t="shared" si="8"/>
        <v>156</v>
      </c>
      <c r="Q18" s="237">
        <f t="shared" si="10"/>
        <v>472</v>
      </c>
      <c r="R18" s="238">
        <v>10</v>
      </c>
      <c r="S18" s="9">
        <f t="shared" si="9"/>
        <v>2.1619302263895211E-3</v>
      </c>
      <c r="U18" s="1"/>
      <c r="V18" s="1"/>
      <c r="W18" s="1"/>
      <c r="X18" s="1"/>
      <c r="Y18" s="1"/>
      <c r="Z18" s="1"/>
      <c r="AA18" s="1"/>
      <c r="AB18" s="1"/>
      <c r="AC18" s="1"/>
      <c r="AD18" s="1"/>
      <c r="AE18" s="1"/>
      <c r="AF18" s="1"/>
      <c r="AG18" s="1"/>
      <c r="AH18" s="1"/>
      <c r="AI18" s="1"/>
      <c r="AJ18" s="1"/>
      <c r="AK18" s="1"/>
      <c r="AL18" s="1"/>
      <c r="AM18" s="1"/>
    </row>
    <row r="19" spans="1:39" s="2" customFormat="1" ht="21.95" customHeight="1" thickBot="1" x14ac:dyDescent="0.25">
      <c r="A19" s="266"/>
      <c r="B19" s="266"/>
      <c r="C19" s="266"/>
      <c r="D19" s="266"/>
      <c r="E19" s="266"/>
      <c r="F19" s="235">
        <v>10198</v>
      </c>
      <c r="G19" s="235" t="s">
        <v>136</v>
      </c>
      <c r="H19" s="235" t="s">
        <v>137</v>
      </c>
      <c r="I19" s="234" t="s">
        <v>34</v>
      </c>
      <c r="J19" s="236" t="s">
        <v>26</v>
      </c>
      <c r="K19" s="235">
        <v>75700</v>
      </c>
      <c r="L19" s="235" t="s">
        <v>27</v>
      </c>
      <c r="M19" s="237">
        <f t="shared" si="7"/>
        <v>0</v>
      </c>
      <c r="N19" s="237">
        <f t="shared" si="7"/>
        <v>812</v>
      </c>
      <c r="O19" s="237">
        <f t="shared" si="7"/>
        <v>788</v>
      </c>
      <c r="P19" s="237">
        <f t="shared" si="8"/>
        <v>787</v>
      </c>
      <c r="Q19" s="237">
        <f t="shared" si="10"/>
        <v>2387</v>
      </c>
      <c r="R19" s="238">
        <v>6</v>
      </c>
      <c r="S19" s="9">
        <f t="shared" si="9"/>
        <v>1.094485938274189E-2</v>
      </c>
      <c r="U19" s="1"/>
      <c r="V19" s="1"/>
      <c r="W19" s="1"/>
      <c r="X19" s="1"/>
      <c r="Y19" s="1"/>
      <c r="Z19" s="1"/>
      <c r="AA19" s="1"/>
      <c r="AB19" s="1"/>
      <c r="AC19" s="1"/>
      <c r="AD19" s="1"/>
      <c r="AE19" s="1"/>
      <c r="AF19" s="1"/>
      <c r="AG19" s="1"/>
      <c r="AH19" s="1"/>
      <c r="AI19" s="1"/>
      <c r="AJ19" s="1"/>
      <c r="AK19" s="1"/>
      <c r="AL19" s="1"/>
      <c r="AM19" s="1"/>
    </row>
    <row r="20" spans="1:39" s="2" customFormat="1" ht="21.95" customHeight="1" thickBot="1" x14ac:dyDescent="0.25">
      <c r="A20" s="266"/>
      <c r="B20" s="266"/>
      <c r="C20" s="266"/>
      <c r="D20" s="266"/>
      <c r="E20" s="266"/>
      <c r="F20" s="235">
        <v>10198</v>
      </c>
      <c r="G20" s="235" t="s">
        <v>136</v>
      </c>
      <c r="H20" s="235" t="s">
        <v>137</v>
      </c>
      <c r="I20" s="234" t="s">
        <v>34</v>
      </c>
      <c r="J20" s="236" t="s">
        <v>28</v>
      </c>
      <c r="K20" s="235">
        <v>61200</v>
      </c>
      <c r="L20" s="235" t="s">
        <v>29</v>
      </c>
      <c r="M20" s="237">
        <f t="shared" si="7"/>
        <v>0</v>
      </c>
      <c r="N20" s="237">
        <f t="shared" si="7"/>
        <v>0</v>
      </c>
      <c r="O20" s="237">
        <f t="shared" si="7"/>
        <v>0</v>
      </c>
      <c r="P20" s="237">
        <f t="shared" si="8"/>
        <v>0</v>
      </c>
      <c r="Q20" s="237">
        <f t="shared" si="10"/>
        <v>0</v>
      </c>
      <c r="R20" s="238">
        <v>4</v>
      </c>
      <c r="S20" s="9">
        <f t="shared" si="9"/>
        <v>0</v>
      </c>
      <c r="U20" s="1"/>
      <c r="V20" s="1"/>
      <c r="W20" s="1"/>
      <c r="X20" s="1"/>
      <c r="Y20" s="1"/>
      <c r="Z20" s="1"/>
      <c r="AA20" s="1"/>
      <c r="AB20" s="1"/>
      <c r="AC20" s="1"/>
      <c r="AD20" s="1"/>
      <c r="AE20" s="1"/>
      <c r="AF20" s="1"/>
      <c r="AG20" s="1"/>
      <c r="AH20" s="1"/>
      <c r="AI20" s="1"/>
      <c r="AJ20" s="1"/>
      <c r="AK20" s="1"/>
      <c r="AL20" s="1"/>
      <c r="AM20" s="1"/>
    </row>
    <row r="21" spans="1:39" s="2" customFormat="1" ht="21.95" customHeight="1" thickBot="1" x14ac:dyDescent="0.25">
      <c r="A21" s="266"/>
      <c r="B21" s="266"/>
      <c r="C21" s="267"/>
      <c r="D21" s="267"/>
      <c r="E21" s="267"/>
      <c r="F21" s="235">
        <v>10198</v>
      </c>
      <c r="G21" s="235" t="s">
        <v>136</v>
      </c>
      <c r="H21" s="235" t="s">
        <v>137</v>
      </c>
      <c r="I21" s="234" t="s">
        <v>34</v>
      </c>
      <c r="J21" s="236" t="s">
        <v>28</v>
      </c>
      <c r="K21" s="235">
        <v>61300</v>
      </c>
      <c r="L21" s="235" t="s">
        <v>30</v>
      </c>
      <c r="M21" s="237">
        <f t="shared" si="7"/>
        <v>0</v>
      </c>
      <c r="N21" s="237">
        <f t="shared" si="7"/>
        <v>0</v>
      </c>
      <c r="O21" s="237">
        <f t="shared" si="7"/>
        <v>0</v>
      </c>
      <c r="P21" s="237">
        <f t="shared" si="8"/>
        <v>0</v>
      </c>
      <c r="Q21" s="237">
        <f t="shared" si="10"/>
        <v>0</v>
      </c>
      <c r="R21" s="238">
        <v>4</v>
      </c>
      <c r="S21" s="9">
        <f t="shared" si="9"/>
        <v>0</v>
      </c>
      <c r="U21" s="1"/>
      <c r="V21" s="1"/>
      <c r="W21" s="1"/>
      <c r="X21" s="1"/>
      <c r="Y21" s="1"/>
      <c r="Z21" s="1"/>
      <c r="AA21" s="1"/>
      <c r="AB21" s="1"/>
      <c r="AC21" s="1"/>
      <c r="AD21" s="1"/>
      <c r="AE21" s="1"/>
      <c r="AF21" s="1"/>
      <c r="AG21" s="1"/>
      <c r="AH21" s="1"/>
      <c r="AI21" s="1"/>
      <c r="AJ21" s="1"/>
      <c r="AK21" s="1"/>
      <c r="AL21" s="1"/>
      <c r="AM21" s="1"/>
    </row>
    <row r="22" spans="1:39" s="2" customFormat="1" ht="21.95" customHeight="1" thickBot="1" x14ac:dyDescent="0.25">
      <c r="A22" s="266"/>
      <c r="B22" s="266"/>
      <c r="C22" s="270" t="s">
        <v>31</v>
      </c>
      <c r="D22" s="270"/>
      <c r="E22" s="270"/>
      <c r="F22" s="270"/>
      <c r="G22" s="270"/>
      <c r="H22" s="270"/>
      <c r="I22" s="270"/>
      <c r="J22" s="270"/>
      <c r="K22" s="270"/>
      <c r="L22" s="270"/>
      <c r="M22" s="237">
        <f>SUM(M14:M21)</f>
        <v>0</v>
      </c>
      <c r="N22" s="237">
        <f t="shared" ref="N22:Q22" si="11">SUM(N14:N21)</f>
        <v>7660</v>
      </c>
      <c r="O22" s="237">
        <f t="shared" si="11"/>
        <v>7435</v>
      </c>
      <c r="P22" s="237">
        <f t="shared" si="11"/>
        <v>7435</v>
      </c>
      <c r="Q22" s="237">
        <f t="shared" si="11"/>
        <v>22530</v>
      </c>
      <c r="R22" s="238"/>
      <c r="S22" s="9"/>
      <c r="U22" s="1"/>
      <c r="V22" s="1"/>
      <c r="W22" s="1"/>
      <c r="X22" s="1"/>
      <c r="Y22" s="1"/>
      <c r="Z22" s="1"/>
      <c r="AA22" s="1"/>
      <c r="AB22" s="1"/>
      <c r="AC22" s="1"/>
      <c r="AD22" s="1"/>
      <c r="AE22" s="1"/>
      <c r="AF22" s="1"/>
      <c r="AG22" s="1"/>
      <c r="AH22" s="1"/>
      <c r="AI22" s="1"/>
      <c r="AJ22" s="1"/>
      <c r="AK22" s="1"/>
      <c r="AL22" s="1"/>
      <c r="AM22" s="1"/>
    </row>
    <row r="23" spans="1:39" ht="21.95" customHeight="1" thickBot="1" x14ac:dyDescent="0.25">
      <c r="A23" s="267"/>
      <c r="B23" s="270" t="s">
        <v>35</v>
      </c>
      <c r="C23" s="270"/>
      <c r="D23" s="270"/>
      <c r="E23" s="270"/>
      <c r="F23" s="270"/>
      <c r="G23" s="270"/>
      <c r="H23" s="270"/>
      <c r="I23" s="270"/>
      <c r="J23" s="270"/>
      <c r="K23" s="270"/>
      <c r="L23" s="270"/>
      <c r="M23" s="237">
        <f>M22</f>
        <v>0</v>
      </c>
      <c r="N23" s="237">
        <f t="shared" ref="N23:Q23" si="12">N22</f>
        <v>7660</v>
      </c>
      <c r="O23" s="237">
        <f t="shared" si="12"/>
        <v>7435</v>
      </c>
      <c r="P23" s="237">
        <f t="shared" si="12"/>
        <v>7435</v>
      </c>
      <c r="Q23" s="237">
        <f t="shared" si="12"/>
        <v>22530</v>
      </c>
      <c r="R23" s="238"/>
      <c r="T23" s="10"/>
      <c r="AC23" s="11"/>
      <c r="AF23" s="12"/>
      <c r="AG23" s="13"/>
    </row>
    <row r="24" spans="1:39" ht="21.95" customHeight="1" thickBot="1" x14ac:dyDescent="0.25">
      <c r="A24" s="271" t="s">
        <v>36</v>
      </c>
      <c r="B24" s="272"/>
      <c r="C24" s="272"/>
      <c r="D24" s="272"/>
      <c r="E24" s="272"/>
      <c r="F24" s="272"/>
      <c r="G24" s="272"/>
      <c r="H24" s="272"/>
      <c r="I24" s="272"/>
      <c r="J24" s="272"/>
      <c r="K24" s="272"/>
      <c r="L24" s="273"/>
      <c r="M24" s="237">
        <f t="shared" ref="M24:Q24" si="13">M13+M23</f>
        <v>0</v>
      </c>
      <c r="N24" s="237">
        <f t="shared" si="13"/>
        <v>7660</v>
      </c>
      <c r="O24" s="237">
        <f t="shared" si="13"/>
        <v>7435</v>
      </c>
      <c r="P24" s="237">
        <f t="shared" si="13"/>
        <v>7435</v>
      </c>
      <c r="Q24" s="237">
        <f t="shared" si="13"/>
        <v>22530</v>
      </c>
      <c r="R24" s="238"/>
      <c r="U24" s="14"/>
      <c r="AC24" s="15"/>
      <c r="AM24" s="16"/>
    </row>
    <row r="25" spans="1:39" ht="21.95" customHeight="1" thickBot="1" x14ac:dyDescent="0.25">
      <c r="A25" s="265" t="s">
        <v>37</v>
      </c>
      <c r="B25" s="268" t="s">
        <v>38</v>
      </c>
      <c r="C25" s="268" t="s">
        <v>17</v>
      </c>
      <c r="D25" s="268">
        <v>62000</v>
      </c>
      <c r="E25" s="268">
        <v>10003</v>
      </c>
      <c r="F25" s="235">
        <v>10198</v>
      </c>
      <c r="G25" s="235" t="s">
        <v>136</v>
      </c>
      <c r="H25" s="235" t="s">
        <v>137</v>
      </c>
      <c r="I25" s="235" t="s">
        <v>39</v>
      </c>
      <c r="J25" s="236" t="s">
        <v>19</v>
      </c>
      <c r="K25" s="235">
        <v>71200</v>
      </c>
      <c r="L25" s="235" t="s">
        <v>19</v>
      </c>
      <c r="M25" s="237">
        <f t="shared" ref="M25:O32" si="14">ROUND(M$2*$Q25,0)</f>
        <v>0</v>
      </c>
      <c r="N25" s="237">
        <f t="shared" si="14"/>
        <v>0</v>
      </c>
      <c r="O25" s="237">
        <f t="shared" si="14"/>
        <v>0</v>
      </c>
      <c r="P25" s="237">
        <f t="shared" ref="P25:P32" si="15">Q25-SUM(M25:O25)</f>
        <v>0</v>
      </c>
      <c r="Q25" s="237">
        <f t="shared" ref="Q25:Q32" si="16">ROUND($V$6*S25,0)</f>
        <v>0</v>
      </c>
      <c r="R25" s="238">
        <v>2</v>
      </c>
      <c r="S25" s="9">
        <f t="shared" ref="S25:S33" si="17">VLOOKUP(K25, rpacoreratio2, 4, FALSE)*VLOOKUP(K25, rpacoreratio2, 8, FALSE)</f>
        <v>0</v>
      </c>
    </row>
    <row r="26" spans="1:39" ht="21.95" customHeight="1" thickBot="1" x14ac:dyDescent="0.25">
      <c r="A26" s="266"/>
      <c r="B26" s="268"/>
      <c r="C26" s="268"/>
      <c r="D26" s="268"/>
      <c r="E26" s="268"/>
      <c r="F26" s="235">
        <v>10198</v>
      </c>
      <c r="G26" s="235" t="s">
        <v>136</v>
      </c>
      <c r="H26" s="235" t="s">
        <v>137</v>
      </c>
      <c r="I26" s="235" t="s">
        <v>39</v>
      </c>
      <c r="J26" s="236" t="s">
        <v>20</v>
      </c>
      <c r="K26" s="235">
        <v>71300</v>
      </c>
      <c r="L26" s="235" t="s">
        <v>20</v>
      </c>
      <c r="M26" s="237">
        <f t="shared" si="14"/>
        <v>0</v>
      </c>
      <c r="N26" s="237">
        <f t="shared" si="14"/>
        <v>0</v>
      </c>
      <c r="O26" s="237">
        <f t="shared" si="14"/>
        <v>0</v>
      </c>
      <c r="P26" s="237">
        <f t="shared" si="15"/>
        <v>0</v>
      </c>
      <c r="Q26" s="237">
        <f t="shared" si="16"/>
        <v>0</v>
      </c>
      <c r="R26" s="238">
        <v>3</v>
      </c>
      <c r="S26" s="9">
        <f t="shared" si="17"/>
        <v>3.2951896359469719E-2</v>
      </c>
    </row>
    <row r="27" spans="1:39" ht="21.95" customHeight="1" thickBot="1" x14ac:dyDescent="0.25">
      <c r="A27" s="266"/>
      <c r="B27" s="268"/>
      <c r="C27" s="268"/>
      <c r="D27" s="268"/>
      <c r="E27" s="268"/>
      <c r="F27" s="235">
        <v>10198</v>
      </c>
      <c r="G27" s="235" t="s">
        <v>136</v>
      </c>
      <c r="H27" s="235" t="s">
        <v>137</v>
      </c>
      <c r="I27" s="235" t="s">
        <v>39</v>
      </c>
      <c r="J27" s="236" t="s">
        <v>21</v>
      </c>
      <c r="K27" s="235">
        <v>71400</v>
      </c>
      <c r="L27" s="235" t="s">
        <v>22</v>
      </c>
      <c r="M27" s="237">
        <f t="shared" si="14"/>
        <v>0</v>
      </c>
      <c r="N27" s="237">
        <f t="shared" si="14"/>
        <v>0</v>
      </c>
      <c r="O27" s="237">
        <f t="shared" si="14"/>
        <v>0</v>
      </c>
      <c r="P27" s="237">
        <f t="shared" si="15"/>
        <v>0</v>
      </c>
      <c r="Q27" s="237">
        <f t="shared" si="16"/>
        <v>0</v>
      </c>
      <c r="R27" s="238">
        <v>5</v>
      </c>
      <c r="S27" s="9">
        <f t="shared" si="17"/>
        <v>0</v>
      </c>
    </row>
    <row r="28" spans="1:39" ht="21.95" customHeight="1" thickBot="1" x14ac:dyDescent="0.25">
      <c r="A28" s="266"/>
      <c r="B28" s="268"/>
      <c r="C28" s="268"/>
      <c r="D28" s="268"/>
      <c r="E28" s="268"/>
      <c r="F28" s="235">
        <v>10198</v>
      </c>
      <c r="G28" s="235" t="s">
        <v>136</v>
      </c>
      <c r="H28" s="235" t="s">
        <v>137</v>
      </c>
      <c r="I28" s="235" t="s">
        <v>39</v>
      </c>
      <c r="J28" s="236" t="s">
        <v>23</v>
      </c>
      <c r="K28" s="235">
        <v>71600</v>
      </c>
      <c r="L28" s="235" t="s">
        <v>23</v>
      </c>
      <c r="M28" s="237">
        <f t="shared" si="14"/>
        <v>0</v>
      </c>
      <c r="N28" s="237">
        <f t="shared" si="14"/>
        <v>0</v>
      </c>
      <c r="O28" s="237">
        <f t="shared" si="14"/>
        <v>0</v>
      </c>
      <c r="P28" s="237">
        <f t="shared" si="15"/>
        <v>0</v>
      </c>
      <c r="Q28" s="237">
        <f t="shared" si="16"/>
        <v>0</v>
      </c>
      <c r="R28" s="238">
        <v>7</v>
      </c>
      <c r="S28" s="9">
        <f t="shared" si="17"/>
        <v>2.447003793028291E-2</v>
      </c>
    </row>
    <row r="29" spans="1:39" ht="21.95" customHeight="1" thickBot="1" x14ac:dyDescent="0.25">
      <c r="A29" s="266"/>
      <c r="B29" s="268"/>
      <c r="C29" s="268"/>
      <c r="D29" s="268"/>
      <c r="E29" s="268"/>
      <c r="F29" s="235">
        <v>10198</v>
      </c>
      <c r="G29" s="235" t="s">
        <v>136</v>
      </c>
      <c r="H29" s="235" t="s">
        <v>137</v>
      </c>
      <c r="I29" s="235" t="s">
        <v>39</v>
      </c>
      <c r="J29" s="235" t="s">
        <v>24</v>
      </c>
      <c r="K29" s="235">
        <v>72500</v>
      </c>
      <c r="L29" s="235" t="s">
        <v>25</v>
      </c>
      <c r="M29" s="237">
        <f t="shared" si="14"/>
        <v>0</v>
      </c>
      <c r="N29" s="237">
        <f t="shared" si="14"/>
        <v>0</v>
      </c>
      <c r="O29" s="237">
        <f t="shared" si="14"/>
        <v>0</v>
      </c>
      <c r="P29" s="237">
        <f t="shared" si="15"/>
        <v>0</v>
      </c>
      <c r="Q29" s="237">
        <f t="shared" si="16"/>
        <v>0</v>
      </c>
      <c r="R29" s="238">
        <v>10</v>
      </c>
      <c r="S29" s="9">
        <f t="shared" si="17"/>
        <v>2.0806850705248972E-3</v>
      </c>
    </row>
    <row r="30" spans="1:39" ht="21.95" customHeight="1" thickBot="1" x14ac:dyDescent="0.25">
      <c r="A30" s="266"/>
      <c r="B30" s="268"/>
      <c r="C30" s="268"/>
      <c r="D30" s="268"/>
      <c r="E30" s="268"/>
      <c r="F30" s="235">
        <v>10198</v>
      </c>
      <c r="G30" s="235" t="s">
        <v>136</v>
      </c>
      <c r="H30" s="235" t="s">
        <v>137</v>
      </c>
      <c r="I30" s="235" t="s">
        <v>39</v>
      </c>
      <c r="J30" s="236" t="s">
        <v>26</v>
      </c>
      <c r="K30" s="235">
        <v>75700</v>
      </c>
      <c r="L30" s="235" t="s">
        <v>27</v>
      </c>
      <c r="M30" s="237">
        <f t="shared" si="14"/>
        <v>0</v>
      </c>
      <c r="N30" s="237">
        <f t="shared" si="14"/>
        <v>0</v>
      </c>
      <c r="O30" s="237">
        <f t="shared" si="14"/>
        <v>0</v>
      </c>
      <c r="P30" s="237">
        <f t="shared" si="15"/>
        <v>0</v>
      </c>
      <c r="Q30" s="237">
        <f t="shared" si="16"/>
        <v>0</v>
      </c>
      <c r="R30" s="238">
        <v>6</v>
      </c>
      <c r="S30" s="9">
        <f t="shared" si="17"/>
        <v>1.0532316353698801E-2</v>
      </c>
    </row>
    <row r="31" spans="1:39" ht="21.95" customHeight="1" thickBot="1" x14ac:dyDescent="0.25">
      <c r="A31" s="266"/>
      <c r="B31" s="268"/>
      <c r="C31" s="268"/>
      <c r="D31" s="268"/>
      <c r="E31" s="268"/>
      <c r="F31" s="235">
        <v>10198</v>
      </c>
      <c r="G31" s="235" t="s">
        <v>136</v>
      </c>
      <c r="H31" s="235" t="s">
        <v>137</v>
      </c>
      <c r="I31" s="235" t="s">
        <v>39</v>
      </c>
      <c r="J31" s="236" t="s">
        <v>28</v>
      </c>
      <c r="K31" s="235">
        <v>61200</v>
      </c>
      <c r="L31" s="235" t="s">
        <v>29</v>
      </c>
      <c r="M31" s="237">
        <f t="shared" si="14"/>
        <v>0</v>
      </c>
      <c r="N31" s="237">
        <f t="shared" si="14"/>
        <v>0</v>
      </c>
      <c r="O31" s="237">
        <f t="shared" si="14"/>
        <v>0</v>
      </c>
      <c r="P31" s="237">
        <f t="shared" si="15"/>
        <v>0</v>
      </c>
      <c r="Q31" s="237">
        <f t="shared" si="16"/>
        <v>0</v>
      </c>
      <c r="R31" s="238">
        <v>4</v>
      </c>
      <c r="S31" s="9">
        <f t="shared" si="17"/>
        <v>0</v>
      </c>
    </row>
    <row r="32" spans="1:39" ht="21.95" customHeight="1" thickBot="1" x14ac:dyDescent="0.25">
      <c r="A32" s="266"/>
      <c r="B32" s="268"/>
      <c r="C32" s="268"/>
      <c r="D32" s="268"/>
      <c r="E32" s="268"/>
      <c r="F32" s="235">
        <v>10198</v>
      </c>
      <c r="G32" s="235" t="s">
        <v>136</v>
      </c>
      <c r="H32" s="235" t="s">
        <v>137</v>
      </c>
      <c r="I32" s="235" t="s">
        <v>39</v>
      </c>
      <c r="J32" s="236" t="s">
        <v>28</v>
      </c>
      <c r="K32" s="235">
        <v>61300</v>
      </c>
      <c r="L32" s="235" t="s">
        <v>30</v>
      </c>
      <c r="M32" s="237">
        <f t="shared" si="14"/>
        <v>0</v>
      </c>
      <c r="N32" s="237">
        <f t="shared" si="14"/>
        <v>0</v>
      </c>
      <c r="O32" s="237">
        <f t="shared" si="14"/>
        <v>0</v>
      </c>
      <c r="P32" s="237">
        <f t="shared" si="15"/>
        <v>0</v>
      </c>
      <c r="Q32" s="237">
        <f t="shared" si="16"/>
        <v>0</v>
      </c>
      <c r="R32" s="238">
        <v>4</v>
      </c>
      <c r="S32" s="9">
        <f t="shared" si="17"/>
        <v>0</v>
      </c>
    </row>
    <row r="33" spans="1:39" s="2" customFormat="1" ht="21.95" customHeight="1" thickBot="1" x14ac:dyDescent="0.25">
      <c r="A33" s="266"/>
      <c r="B33" s="268"/>
      <c r="C33" s="268"/>
      <c r="D33" s="268"/>
      <c r="E33" s="268"/>
      <c r="F33" s="235">
        <v>10198</v>
      </c>
      <c r="G33" s="235" t="s">
        <v>136</v>
      </c>
      <c r="H33" s="235" t="s">
        <v>137</v>
      </c>
      <c r="I33" s="235" t="s">
        <v>39</v>
      </c>
      <c r="J33" s="236" t="s">
        <v>40</v>
      </c>
      <c r="K33" s="235">
        <v>72600</v>
      </c>
      <c r="L33" s="235" t="s">
        <v>40</v>
      </c>
      <c r="M33" s="237">
        <f>ROUND(M$1*$Q33, 0)</f>
        <v>0</v>
      </c>
      <c r="N33" s="237">
        <f t="shared" ref="N33:O33" si="18">ROUND(N$1*$Q33, 0)</f>
        <v>182727</v>
      </c>
      <c r="O33" s="237">
        <f t="shared" si="18"/>
        <v>182727</v>
      </c>
      <c r="P33" s="237">
        <f>Q33-SUM(M33:O33)</f>
        <v>91364.18</v>
      </c>
      <c r="Q33" s="237">
        <f>V4</f>
        <v>456818.18</v>
      </c>
      <c r="R33" s="238">
        <v>1</v>
      </c>
      <c r="S33" s="9">
        <f t="shared" si="17"/>
        <v>0</v>
      </c>
      <c r="U33" s="1"/>
      <c r="V33" s="1"/>
      <c r="W33" s="1"/>
      <c r="X33" s="1"/>
      <c r="Y33" s="1"/>
      <c r="Z33" s="1"/>
      <c r="AA33" s="1"/>
      <c r="AB33" s="1"/>
      <c r="AC33" s="1"/>
      <c r="AD33" s="1"/>
      <c r="AE33" s="1"/>
      <c r="AF33" s="1"/>
      <c r="AG33" s="1"/>
      <c r="AH33" s="1"/>
      <c r="AI33" s="1"/>
      <c r="AJ33" s="1"/>
      <c r="AK33" s="1"/>
      <c r="AL33" s="1"/>
      <c r="AM33" s="1"/>
    </row>
    <row r="34" spans="1:39" s="2" customFormat="1" ht="21.95" customHeight="1" thickBot="1" x14ac:dyDescent="0.25">
      <c r="A34" s="266"/>
      <c r="B34" s="268"/>
      <c r="C34" s="269" t="s">
        <v>31</v>
      </c>
      <c r="D34" s="269"/>
      <c r="E34" s="269"/>
      <c r="F34" s="269"/>
      <c r="G34" s="269"/>
      <c r="H34" s="269"/>
      <c r="I34" s="269"/>
      <c r="J34" s="269"/>
      <c r="K34" s="269"/>
      <c r="L34" s="269"/>
      <c r="M34" s="237">
        <f>SUM(M25:M33)</f>
        <v>0</v>
      </c>
      <c r="N34" s="237">
        <f t="shared" ref="N34:Q34" si="19">SUM(N25:N33)</f>
        <v>182727</v>
      </c>
      <c r="O34" s="237">
        <f t="shared" si="19"/>
        <v>182727</v>
      </c>
      <c r="P34" s="237">
        <f t="shared" si="19"/>
        <v>91364.18</v>
      </c>
      <c r="Q34" s="237">
        <f t="shared" si="19"/>
        <v>456818.18</v>
      </c>
      <c r="R34" s="238"/>
      <c r="S34" s="9"/>
      <c r="U34" s="1"/>
      <c r="V34" s="1"/>
      <c r="W34" s="1"/>
      <c r="X34" s="1"/>
      <c r="Y34" s="1"/>
      <c r="Z34" s="1"/>
      <c r="AA34" s="1"/>
      <c r="AB34" s="1"/>
      <c r="AC34" s="1"/>
      <c r="AD34" s="1"/>
      <c r="AE34" s="1"/>
      <c r="AF34" s="1"/>
      <c r="AG34" s="1"/>
      <c r="AH34" s="1"/>
      <c r="AI34" s="1"/>
      <c r="AJ34" s="1"/>
      <c r="AK34" s="1"/>
      <c r="AL34" s="1"/>
      <c r="AM34" s="1"/>
    </row>
    <row r="35" spans="1:39" s="2" customFormat="1" ht="21.95" customHeight="1" thickBot="1" x14ac:dyDescent="0.25">
      <c r="A35" s="266"/>
      <c r="B35" s="269" t="s">
        <v>41</v>
      </c>
      <c r="C35" s="269"/>
      <c r="D35" s="269"/>
      <c r="E35" s="269"/>
      <c r="F35" s="269"/>
      <c r="G35" s="269"/>
      <c r="H35" s="269"/>
      <c r="I35" s="269"/>
      <c r="J35" s="269"/>
      <c r="K35" s="269"/>
      <c r="L35" s="269"/>
      <c r="M35" s="237">
        <f>M34</f>
        <v>0</v>
      </c>
      <c r="N35" s="237">
        <f t="shared" ref="N35:Q35" si="20">N34</f>
        <v>182727</v>
      </c>
      <c r="O35" s="237">
        <f t="shared" si="20"/>
        <v>182727</v>
      </c>
      <c r="P35" s="237">
        <f t="shared" si="20"/>
        <v>91364.18</v>
      </c>
      <c r="Q35" s="237">
        <f t="shared" si="20"/>
        <v>456818.18</v>
      </c>
      <c r="R35" s="238"/>
      <c r="S35" s="9"/>
      <c r="U35" s="1"/>
      <c r="V35" s="1"/>
      <c r="W35" s="1"/>
      <c r="X35" s="1"/>
      <c r="Y35" s="1"/>
      <c r="Z35" s="1"/>
      <c r="AA35" s="1"/>
      <c r="AB35" s="1"/>
      <c r="AC35" s="1"/>
      <c r="AD35" s="1"/>
      <c r="AE35" s="1"/>
      <c r="AF35" s="1"/>
      <c r="AG35" s="1"/>
      <c r="AH35" s="1"/>
      <c r="AI35" s="1"/>
      <c r="AJ35" s="1"/>
      <c r="AK35" s="1"/>
      <c r="AL35" s="1"/>
      <c r="AM35" s="1"/>
    </row>
    <row r="36" spans="1:39" s="2" customFormat="1" ht="21.95" customHeight="1" thickBot="1" x14ac:dyDescent="0.25">
      <c r="A36" s="266"/>
      <c r="B36" s="265" t="s">
        <v>42</v>
      </c>
      <c r="C36" s="265" t="s">
        <v>17</v>
      </c>
      <c r="D36" s="265">
        <v>62000</v>
      </c>
      <c r="E36" s="265">
        <v>10003</v>
      </c>
      <c r="F36" s="235">
        <v>10198</v>
      </c>
      <c r="G36" s="235" t="s">
        <v>136</v>
      </c>
      <c r="H36" s="235" t="s">
        <v>137</v>
      </c>
      <c r="I36" s="235" t="s">
        <v>43</v>
      </c>
      <c r="J36" s="236" t="s">
        <v>19</v>
      </c>
      <c r="K36" s="235">
        <v>71200</v>
      </c>
      <c r="L36" s="235" t="s">
        <v>19</v>
      </c>
      <c r="M36" s="237">
        <f t="shared" ref="M36:O43" si="21">ROUND(M$2*$Q36,0)</f>
        <v>0</v>
      </c>
      <c r="N36" s="237">
        <f t="shared" si="21"/>
        <v>0</v>
      </c>
      <c r="O36" s="237">
        <f t="shared" si="21"/>
        <v>0</v>
      </c>
      <c r="P36" s="237">
        <f t="shared" ref="P36:P43" si="22">Q36-SUM(M36:O36)</f>
        <v>0</v>
      </c>
      <c r="Q36" s="237">
        <f t="shared" ref="Q36:Q43" si="23">ROUND($V$7*S36,0)</f>
        <v>0</v>
      </c>
      <c r="R36" s="238">
        <v>2</v>
      </c>
      <c r="S36" s="9">
        <f t="shared" ref="S36:S44" si="24">VLOOKUP(K36, rpastarratio2, 4, FALSE)*VLOOKUP(K36, rpastarratio2, 8, FALSE)</f>
        <v>0</v>
      </c>
      <c r="U36" s="1"/>
      <c r="V36" s="1"/>
      <c r="W36" s="1"/>
      <c r="X36" s="1"/>
      <c r="Y36" s="1"/>
      <c r="Z36" s="1"/>
      <c r="AA36" s="1"/>
      <c r="AB36" s="1"/>
      <c r="AC36" s="1"/>
      <c r="AD36" s="1"/>
      <c r="AE36" s="1"/>
      <c r="AF36" s="1"/>
      <c r="AG36" s="1"/>
      <c r="AH36" s="1"/>
      <c r="AI36" s="1"/>
      <c r="AJ36" s="1"/>
      <c r="AK36" s="1"/>
      <c r="AL36" s="1"/>
      <c r="AM36" s="1"/>
    </row>
    <row r="37" spans="1:39" s="2" customFormat="1" ht="21.95" customHeight="1" thickBot="1" x14ac:dyDescent="0.25">
      <c r="A37" s="266"/>
      <c r="B37" s="266"/>
      <c r="C37" s="266"/>
      <c r="D37" s="266"/>
      <c r="E37" s="266"/>
      <c r="F37" s="235">
        <v>10198</v>
      </c>
      <c r="G37" s="235" t="s">
        <v>136</v>
      </c>
      <c r="H37" s="235" t="s">
        <v>137</v>
      </c>
      <c r="I37" s="235" t="s">
        <v>43</v>
      </c>
      <c r="J37" s="236" t="s">
        <v>20</v>
      </c>
      <c r="K37" s="235">
        <v>71300</v>
      </c>
      <c r="L37" s="235" t="s">
        <v>20</v>
      </c>
      <c r="M37" s="237">
        <f t="shared" si="21"/>
        <v>0</v>
      </c>
      <c r="N37" s="237">
        <f t="shared" si="21"/>
        <v>2444</v>
      </c>
      <c r="O37" s="237">
        <f t="shared" si="21"/>
        <v>2372</v>
      </c>
      <c r="P37" s="237">
        <f t="shared" si="22"/>
        <v>2371</v>
      </c>
      <c r="Q37" s="237">
        <f t="shared" si="23"/>
        <v>7187</v>
      </c>
      <c r="R37" s="238">
        <v>3</v>
      </c>
      <c r="S37" s="9">
        <f t="shared" si="24"/>
        <v>3.2951896359469622E-2</v>
      </c>
      <c r="U37" s="1"/>
      <c r="V37" s="1"/>
      <c r="W37" s="1"/>
      <c r="X37" s="1"/>
      <c r="Y37" s="1"/>
      <c r="Z37" s="1"/>
      <c r="AA37" s="1"/>
      <c r="AB37" s="1"/>
      <c r="AC37" s="1"/>
      <c r="AD37" s="1"/>
      <c r="AE37" s="1"/>
      <c r="AF37" s="1"/>
      <c r="AG37" s="1"/>
      <c r="AH37" s="1"/>
      <c r="AI37" s="1"/>
      <c r="AJ37" s="1"/>
      <c r="AK37" s="1"/>
      <c r="AL37" s="1"/>
      <c r="AM37" s="1"/>
    </row>
    <row r="38" spans="1:39" s="2" customFormat="1" ht="21.95" customHeight="1" thickBot="1" x14ac:dyDescent="0.25">
      <c r="A38" s="266"/>
      <c r="B38" s="266"/>
      <c r="C38" s="266"/>
      <c r="D38" s="266"/>
      <c r="E38" s="266"/>
      <c r="F38" s="235">
        <v>10198</v>
      </c>
      <c r="G38" s="235" t="s">
        <v>136</v>
      </c>
      <c r="H38" s="235" t="s">
        <v>137</v>
      </c>
      <c r="I38" s="235" t="s">
        <v>43</v>
      </c>
      <c r="J38" s="236" t="s">
        <v>21</v>
      </c>
      <c r="K38" s="235">
        <v>71400</v>
      </c>
      <c r="L38" s="235" t="s">
        <v>22</v>
      </c>
      <c r="M38" s="237">
        <f t="shared" si="21"/>
        <v>0</v>
      </c>
      <c r="N38" s="237">
        <f t="shared" si="21"/>
        <v>0</v>
      </c>
      <c r="O38" s="237">
        <f t="shared" si="21"/>
        <v>0</v>
      </c>
      <c r="P38" s="237">
        <f t="shared" si="22"/>
        <v>0</v>
      </c>
      <c r="Q38" s="237">
        <f t="shared" si="23"/>
        <v>0</v>
      </c>
      <c r="R38" s="238">
        <v>5</v>
      </c>
      <c r="S38" s="9">
        <f t="shared" si="24"/>
        <v>0</v>
      </c>
      <c r="U38" s="1"/>
      <c r="V38" s="1"/>
      <c r="W38" s="1"/>
      <c r="X38" s="1"/>
      <c r="Y38" s="1"/>
      <c r="Z38" s="1"/>
      <c r="AA38" s="1"/>
      <c r="AB38" s="1"/>
      <c r="AC38" s="1"/>
      <c r="AD38" s="1"/>
      <c r="AE38" s="1"/>
      <c r="AF38" s="1"/>
      <c r="AG38" s="1"/>
      <c r="AH38" s="1"/>
      <c r="AI38" s="1"/>
      <c r="AJ38" s="1"/>
      <c r="AK38" s="1"/>
      <c r="AL38" s="1"/>
      <c r="AM38" s="1"/>
    </row>
    <row r="39" spans="1:39" s="2" customFormat="1" ht="21.95" customHeight="1" thickBot="1" x14ac:dyDescent="0.25">
      <c r="A39" s="266"/>
      <c r="B39" s="266"/>
      <c r="C39" s="266"/>
      <c r="D39" s="266"/>
      <c r="E39" s="266"/>
      <c r="F39" s="235">
        <v>10198</v>
      </c>
      <c r="G39" s="235" t="s">
        <v>136</v>
      </c>
      <c r="H39" s="235" t="s">
        <v>137</v>
      </c>
      <c r="I39" s="235" t="s">
        <v>43</v>
      </c>
      <c r="J39" s="236" t="s">
        <v>23</v>
      </c>
      <c r="K39" s="235">
        <v>71600</v>
      </c>
      <c r="L39" s="235" t="s">
        <v>23</v>
      </c>
      <c r="M39" s="237">
        <f t="shared" si="21"/>
        <v>0</v>
      </c>
      <c r="N39" s="237">
        <f t="shared" si="21"/>
        <v>1815</v>
      </c>
      <c r="O39" s="237">
        <f t="shared" si="21"/>
        <v>1761</v>
      </c>
      <c r="P39" s="237">
        <f t="shared" si="22"/>
        <v>1761</v>
      </c>
      <c r="Q39" s="237">
        <f t="shared" si="23"/>
        <v>5337</v>
      </c>
      <c r="R39" s="238">
        <v>7</v>
      </c>
      <c r="S39" s="9">
        <f t="shared" si="24"/>
        <v>2.447003793028284E-2</v>
      </c>
      <c r="U39" s="1"/>
      <c r="V39" s="1"/>
      <c r="W39" s="1"/>
      <c r="X39" s="1"/>
      <c r="Y39" s="1"/>
      <c r="Z39" s="1"/>
      <c r="AA39" s="1"/>
      <c r="AB39" s="1"/>
      <c r="AC39" s="1"/>
      <c r="AD39" s="1"/>
      <c r="AE39" s="1"/>
      <c r="AF39" s="1"/>
      <c r="AG39" s="1"/>
      <c r="AH39" s="1"/>
      <c r="AI39" s="1"/>
      <c r="AJ39" s="1"/>
      <c r="AK39" s="1"/>
      <c r="AL39" s="1"/>
      <c r="AM39" s="1"/>
    </row>
    <row r="40" spans="1:39" s="2" customFormat="1" ht="21.95" customHeight="1" thickBot="1" x14ac:dyDescent="0.25">
      <c r="A40" s="266"/>
      <c r="B40" s="266"/>
      <c r="C40" s="266"/>
      <c r="D40" s="266"/>
      <c r="E40" s="266"/>
      <c r="F40" s="235">
        <v>10198</v>
      </c>
      <c r="G40" s="235" t="s">
        <v>136</v>
      </c>
      <c r="H40" s="235" t="s">
        <v>137</v>
      </c>
      <c r="I40" s="235" t="s">
        <v>43</v>
      </c>
      <c r="J40" s="235" t="s">
        <v>24</v>
      </c>
      <c r="K40" s="235">
        <v>72500</v>
      </c>
      <c r="L40" s="235" t="s">
        <v>25</v>
      </c>
      <c r="M40" s="237">
        <f t="shared" si="21"/>
        <v>0</v>
      </c>
      <c r="N40" s="237">
        <f t="shared" si="21"/>
        <v>154</v>
      </c>
      <c r="O40" s="237">
        <f t="shared" si="21"/>
        <v>150</v>
      </c>
      <c r="P40" s="237">
        <f t="shared" si="22"/>
        <v>150</v>
      </c>
      <c r="Q40" s="237">
        <f t="shared" si="23"/>
        <v>454</v>
      </c>
      <c r="R40" s="238">
        <v>10</v>
      </c>
      <c r="S40" s="9">
        <f t="shared" si="24"/>
        <v>2.0806850705248907E-3</v>
      </c>
      <c r="U40" s="1"/>
      <c r="V40" s="1"/>
      <c r="W40" s="1"/>
      <c r="X40" s="1"/>
      <c r="Y40" s="1"/>
      <c r="Z40" s="1"/>
      <c r="AA40" s="1"/>
      <c r="AB40" s="1"/>
      <c r="AC40" s="1"/>
      <c r="AD40" s="1"/>
      <c r="AE40" s="1"/>
      <c r="AF40" s="1"/>
      <c r="AG40" s="1"/>
      <c r="AH40" s="1"/>
      <c r="AI40" s="1"/>
      <c r="AJ40" s="1"/>
      <c r="AK40" s="1"/>
      <c r="AL40" s="1"/>
      <c r="AM40" s="1"/>
    </row>
    <row r="41" spans="1:39" ht="21.95" customHeight="1" thickBot="1" x14ac:dyDescent="0.25">
      <c r="A41" s="266"/>
      <c r="B41" s="266"/>
      <c r="C41" s="266"/>
      <c r="D41" s="266"/>
      <c r="E41" s="266"/>
      <c r="F41" s="235">
        <v>10198</v>
      </c>
      <c r="G41" s="235" t="s">
        <v>136</v>
      </c>
      <c r="H41" s="235" t="s">
        <v>137</v>
      </c>
      <c r="I41" s="235" t="s">
        <v>43</v>
      </c>
      <c r="J41" s="236" t="s">
        <v>26</v>
      </c>
      <c r="K41" s="235">
        <v>75700</v>
      </c>
      <c r="L41" s="235" t="s">
        <v>27</v>
      </c>
      <c r="M41" s="237">
        <f t="shared" si="21"/>
        <v>0</v>
      </c>
      <c r="N41" s="237">
        <f t="shared" si="21"/>
        <v>781</v>
      </c>
      <c r="O41" s="237">
        <f t="shared" si="21"/>
        <v>758</v>
      </c>
      <c r="P41" s="237">
        <f t="shared" si="22"/>
        <v>758</v>
      </c>
      <c r="Q41" s="237">
        <f t="shared" si="23"/>
        <v>2297</v>
      </c>
      <c r="R41" s="238">
        <v>6</v>
      </c>
      <c r="S41" s="9">
        <f t="shared" si="24"/>
        <v>1.0532316353698772E-2</v>
      </c>
    </row>
    <row r="42" spans="1:39" ht="21.95" customHeight="1" thickBot="1" x14ac:dyDescent="0.25">
      <c r="A42" s="266"/>
      <c r="B42" s="266"/>
      <c r="C42" s="266"/>
      <c r="D42" s="266"/>
      <c r="E42" s="266"/>
      <c r="F42" s="235">
        <v>10198</v>
      </c>
      <c r="G42" s="235" t="s">
        <v>136</v>
      </c>
      <c r="H42" s="235" t="s">
        <v>137</v>
      </c>
      <c r="I42" s="235" t="s">
        <v>43</v>
      </c>
      <c r="J42" s="236" t="s">
        <v>28</v>
      </c>
      <c r="K42" s="235">
        <v>61200</v>
      </c>
      <c r="L42" s="235" t="s">
        <v>29</v>
      </c>
      <c r="M42" s="237">
        <f t="shared" si="21"/>
        <v>0</v>
      </c>
      <c r="N42" s="237">
        <f t="shared" si="21"/>
        <v>0</v>
      </c>
      <c r="O42" s="237">
        <f t="shared" si="21"/>
        <v>0</v>
      </c>
      <c r="P42" s="237">
        <f t="shared" si="22"/>
        <v>0</v>
      </c>
      <c r="Q42" s="237">
        <f t="shared" si="23"/>
        <v>0</v>
      </c>
      <c r="R42" s="238">
        <v>4</v>
      </c>
      <c r="S42" s="9">
        <f t="shared" si="24"/>
        <v>0</v>
      </c>
    </row>
    <row r="43" spans="1:39" ht="21.95" customHeight="1" thickBot="1" x14ac:dyDescent="0.25">
      <c r="A43" s="266"/>
      <c r="B43" s="266"/>
      <c r="C43" s="266"/>
      <c r="D43" s="266"/>
      <c r="E43" s="266"/>
      <c r="F43" s="235">
        <v>10198</v>
      </c>
      <c r="G43" s="235" t="s">
        <v>136</v>
      </c>
      <c r="H43" s="235" t="s">
        <v>137</v>
      </c>
      <c r="I43" s="235" t="s">
        <v>43</v>
      </c>
      <c r="J43" s="236" t="s">
        <v>28</v>
      </c>
      <c r="K43" s="235">
        <v>61300</v>
      </c>
      <c r="L43" s="235" t="s">
        <v>30</v>
      </c>
      <c r="M43" s="237">
        <f t="shared" si="21"/>
        <v>0</v>
      </c>
      <c r="N43" s="237">
        <f t="shared" si="21"/>
        <v>0</v>
      </c>
      <c r="O43" s="237">
        <f t="shared" si="21"/>
        <v>0</v>
      </c>
      <c r="P43" s="237">
        <f t="shared" si="22"/>
        <v>0</v>
      </c>
      <c r="Q43" s="237">
        <f t="shared" si="23"/>
        <v>0</v>
      </c>
      <c r="R43" s="238">
        <v>4</v>
      </c>
      <c r="S43" s="9">
        <f t="shared" si="24"/>
        <v>0</v>
      </c>
    </row>
    <row r="44" spans="1:39" ht="21.95" customHeight="1" thickBot="1" x14ac:dyDescent="0.25">
      <c r="A44" s="266"/>
      <c r="B44" s="266"/>
      <c r="C44" s="267"/>
      <c r="D44" s="267"/>
      <c r="E44" s="267"/>
      <c r="F44" s="235">
        <v>10198</v>
      </c>
      <c r="G44" s="235" t="s">
        <v>136</v>
      </c>
      <c r="H44" s="235" t="s">
        <v>137</v>
      </c>
      <c r="I44" s="235" t="s">
        <v>43</v>
      </c>
      <c r="J44" s="236" t="s">
        <v>40</v>
      </c>
      <c r="K44" s="235">
        <v>72600</v>
      </c>
      <c r="L44" s="235" t="s">
        <v>40</v>
      </c>
      <c r="M44" s="237">
        <f>ROUND(M$1*$Q44,0)</f>
        <v>0</v>
      </c>
      <c r="N44" s="237">
        <f t="shared" ref="N44:O44" si="25">ROUND(N$1*$Q44,0)</f>
        <v>381900</v>
      </c>
      <c r="O44" s="237">
        <f t="shared" si="25"/>
        <v>381900</v>
      </c>
      <c r="P44" s="237">
        <f>Q44-SUM(M44:O44)</f>
        <v>190950</v>
      </c>
      <c r="Q44" s="237">
        <f>ROUND(V5,0)</f>
        <v>954750</v>
      </c>
      <c r="R44" s="238">
        <v>1</v>
      </c>
      <c r="S44" s="9">
        <f t="shared" si="24"/>
        <v>0</v>
      </c>
    </row>
    <row r="45" spans="1:39" ht="21.95" customHeight="1" thickBot="1" x14ac:dyDescent="0.25">
      <c r="A45" s="266"/>
      <c r="B45" s="266"/>
      <c r="C45" s="270" t="s">
        <v>31</v>
      </c>
      <c r="D45" s="270"/>
      <c r="E45" s="270"/>
      <c r="F45" s="270"/>
      <c r="G45" s="270"/>
      <c r="H45" s="270"/>
      <c r="I45" s="270"/>
      <c r="J45" s="270"/>
      <c r="K45" s="270"/>
      <c r="L45" s="270"/>
      <c r="M45" s="237">
        <f>SUM(M36:M44)</f>
        <v>0</v>
      </c>
      <c r="N45" s="237">
        <f t="shared" ref="N45:Q45" si="26">SUM(N36:N44)</f>
        <v>387094</v>
      </c>
      <c r="O45" s="237">
        <f t="shared" si="26"/>
        <v>386941</v>
      </c>
      <c r="P45" s="237">
        <f t="shared" si="26"/>
        <v>195990</v>
      </c>
      <c r="Q45" s="237">
        <f t="shared" si="26"/>
        <v>970025</v>
      </c>
      <c r="R45" s="238"/>
      <c r="S45" s="9"/>
    </row>
    <row r="46" spans="1:39" ht="21.95" customHeight="1" thickBot="1" x14ac:dyDescent="0.25">
      <c r="A46" s="267"/>
      <c r="B46" s="270" t="s">
        <v>44</v>
      </c>
      <c r="C46" s="270"/>
      <c r="D46" s="270"/>
      <c r="E46" s="270"/>
      <c r="F46" s="270"/>
      <c r="G46" s="270"/>
      <c r="H46" s="270"/>
      <c r="I46" s="270"/>
      <c r="J46" s="270"/>
      <c r="K46" s="270"/>
      <c r="L46" s="270"/>
      <c r="M46" s="237">
        <f>M45</f>
        <v>0</v>
      </c>
      <c r="N46" s="237">
        <f t="shared" ref="N46:Q46" si="27">N45</f>
        <v>387094</v>
      </c>
      <c r="O46" s="237">
        <f t="shared" si="27"/>
        <v>386941</v>
      </c>
      <c r="P46" s="237">
        <f t="shared" si="27"/>
        <v>195990</v>
      </c>
      <c r="Q46" s="237">
        <f t="shared" si="27"/>
        <v>970025</v>
      </c>
      <c r="R46" s="238"/>
      <c r="T46" s="10"/>
      <c r="AC46" s="11"/>
      <c r="AF46" s="12"/>
      <c r="AG46" s="13"/>
    </row>
    <row r="47" spans="1:39" ht="21.95" customHeight="1" thickBot="1" x14ac:dyDescent="0.25">
      <c r="A47" s="271" t="s">
        <v>45</v>
      </c>
      <c r="B47" s="272"/>
      <c r="C47" s="272"/>
      <c r="D47" s="272"/>
      <c r="E47" s="272"/>
      <c r="F47" s="272"/>
      <c r="G47" s="272"/>
      <c r="H47" s="272"/>
      <c r="I47" s="272"/>
      <c r="J47" s="272"/>
      <c r="K47" s="272"/>
      <c r="L47" s="273"/>
      <c r="M47" s="237">
        <f t="shared" ref="M47:Q47" si="28">M35+M46</f>
        <v>0</v>
      </c>
      <c r="N47" s="237">
        <f t="shared" si="28"/>
        <v>569821</v>
      </c>
      <c r="O47" s="237">
        <f t="shared" si="28"/>
        <v>569668</v>
      </c>
      <c r="P47" s="237">
        <f t="shared" si="28"/>
        <v>287354.18</v>
      </c>
      <c r="Q47" s="237">
        <f t="shared" si="28"/>
        <v>1426843.18</v>
      </c>
      <c r="R47" s="238"/>
      <c r="U47" s="14"/>
      <c r="AC47" s="15"/>
      <c r="AM47" s="16"/>
    </row>
    <row r="48" spans="1:39" s="2" customFormat="1" ht="21.95" customHeight="1" thickBot="1" x14ac:dyDescent="0.25">
      <c r="A48" s="265" t="s">
        <v>46</v>
      </c>
      <c r="B48" s="268" t="s">
        <v>47</v>
      </c>
      <c r="C48" s="268" t="s">
        <v>17</v>
      </c>
      <c r="D48" s="268">
        <v>62000</v>
      </c>
      <c r="E48" s="268">
        <v>10003</v>
      </c>
      <c r="F48" s="235">
        <v>10198</v>
      </c>
      <c r="G48" s="235" t="s">
        <v>136</v>
      </c>
      <c r="H48" s="235" t="s">
        <v>137</v>
      </c>
      <c r="I48" s="235" t="s">
        <v>48</v>
      </c>
      <c r="J48" s="236" t="s">
        <v>19</v>
      </c>
      <c r="K48" s="235">
        <v>71200</v>
      </c>
      <c r="L48" s="235" t="s">
        <v>19</v>
      </c>
      <c r="M48" s="237">
        <f t="shared" ref="M48:O56" si="29">ROUND(M$2*$Q48,0)</f>
        <v>0</v>
      </c>
      <c r="N48" s="237">
        <f t="shared" si="29"/>
        <v>0</v>
      </c>
      <c r="O48" s="237">
        <f t="shared" si="29"/>
        <v>0</v>
      </c>
      <c r="P48" s="237">
        <f t="shared" ref="P48:P56" si="30">Q48-SUM(M48:O48)</f>
        <v>0</v>
      </c>
      <c r="Q48" s="237">
        <f t="shared" ref="Q48:Q56" si="31">ROUND($V$6*S48,0)</f>
        <v>0</v>
      </c>
      <c r="R48" s="238">
        <v>2</v>
      </c>
      <c r="S48" s="9">
        <f t="shared" ref="S48:S56" si="32">VLOOKUP(K48, rpacoreratio2, 5, FALSE)*VLOOKUP(K48, rpacoreratio2, 8, FALSE)</f>
        <v>0</v>
      </c>
      <c r="U48" s="1"/>
      <c r="V48" s="1"/>
      <c r="W48" s="1"/>
      <c r="X48" s="1"/>
      <c r="Y48" s="1"/>
      <c r="Z48" s="1"/>
      <c r="AA48" s="1"/>
      <c r="AB48" s="1"/>
      <c r="AC48" s="1"/>
      <c r="AD48" s="1"/>
      <c r="AE48" s="1"/>
      <c r="AF48" s="1"/>
      <c r="AG48" s="1"/>
      <c r="AH48" s="1"/>
      <c r="AI48" s="1"/>
      <c r="AJ48" s="1"/>
      <c r="AK48" s="1"/>
      <c r="AL48" s="1"/>
      <c r="AM48" s="1"/>
    </row>
    <row r="49" spans="1:39" s="2" customFormat="1" ht="21.95" customHeight="1" thickBot="1" x14ac:dyDescent="0.25">
      <c r="A49" s="266"/>
      <c r="B49" s="268"/>
      <c r="C49" s="268"/>
      <c r="D49" s="268"/>
      <c r="E49" s="268"/>
      <c r="F49" s="235">
        <v>10198</v>
      </c>
      <c r="G49" s="235" t="s">
        <v>136</v>
      </c>
      <c r="H49" s="235" t="s">
        <v>137</v>
      </c>
      <c r="I49" s="235" t="s">
        <v>48</v>
      </c>
      <c r="J49" s="236" t="s">
        <v>20</v>
      </c>
      <c r="K49" s="235">
        <v>71300</v>
      </c>
      <c r="L49" s="235" t="s">
        <v>20</v>
      </c>
      <c r="M49" s="237">
        <f t="shared" si="29"/>
        <v>0</v>
      </c>
      <c r="N49" s="237">
        <f t="shared" si="29"/>
        <v>0</v>
      </c>
      <c r="O49" s="237">
        <f t="shared" si="29"/>
        <v>0</v>
      </c>
      <c r="P49" s="237">
        <f t="shared" si="30"/>
        <v>0</v>
      </c>
      <c r="Q49" s="237">
        <f t="shared" si="31"/>
        <v>0</v>
      </c>
      <c r="R49" s="238">
        <v>3</v>
      </c>
      <c r="S49" s="9">
        <f t="shared" si="32"/>
        <v>1.8250269044009396E-2</v>
      </c>
      <c r="U49" s="1"/>
      <c r="V49" s="1"/>
      <c r="W49" s="1"/>
      <c r="X49" s="1"/>
      <c r="Y49" s="1"/>
      <c r="Z49" s="1"/>
      <c r="AA49" s="1"/>
      <c r="AB49" s="1"/>
      <c r="AC49" s="1"/>
      <c r="AD49" s="1"/>
      <c r="AE49" s="1"/>
      <c r="AF49" s="1"/>
      <c r="AG49" s="1"/>
      <c r="AH49" s="1"/>
      <c r="AI49" s="1"/>
      <c r="AJ49" s="1"/>
      <c r="AK49" s="1"/>
      <c r="AL49" s="1"/>
      <c r="AM49" s="1"/>
    </row>
    <row r="50" spans="1:39" s="2" customFormat="1" ht="21.95" customHeight="1" thickBot="1" x14ac:dyDescent="0.25">
      <c r="A50" s="266"/>
      <c r="B50" s="268"/>
      <c r="C50" s="268"/>
      <c r="D50" s="268"/>
      <c r="E50" s="268"/>
      <c r="F50" s="235">
        <v>10198</v>
      </c>
      <c r="G50" s="235" t="s">
        <v>136</v>
      </c>
      <c r="H50" s="235" t="s">
        <v>137</v>
      </c>
      <c r="I50" s="235" t="s">
        <v>48</v>
      </c>
      <c r="J50" s="236" t="s">
        <v>21</v>
      </c>
      <c r="K50" s="235">
        <v>71400</v>
      </c>
      <c r="L50" s="235" t="s">
        <v>22</v>
      </c>
      <c r="M50" s="237">
        <f t="shared" si="29"/>
        <v>0</v>
      </c>
      <c r="N50" s="237">
        <f t="shared" si="29"/>
        <v>0</v>
      </c>
      <c r="O50" s="237">
        <f t="shared" si="29"/>
        <v>0</v>
      </c>
      <c r="P50" s="237">
        <f t="shared" si="30"/>
        <v>0</v>
      </c>
      <c r="Q50" s="237">
        <f t="shared" si="31"/>
        <v>0</v>
      </c>
      <c r="R50" s="238">
        <v>5</v>
      </c>
      <c r="S50" s="9">
        <f t="shared" si="32"/>
        <v>0</v>
      </c>
      <c r="U50" s="1"/>
      <c r="V50" s="1"/>
      <c r="W50" s="1"/>
      <c r="X50" s="1"/>
      <c r="Y50" s="1"/>
      <c r="Z50" s="1"/>
      <c r="AA50" s="1"/>
      <c r="AB50" s="1"/>
      <c r="AC50" s="1"/>
      <c r="AD50" s="1"/>
      <c r="AE50" s="1"/>
      <c r="AF50" s="1"/>
      <c r="AG50" s="1"/>
      <c r="AH50" s="1"/>
      <c r="AI50" s="1"/>
      <c r="AJ50" s="1"/>
      <c r="AK50" s="1"/>
      <c r="AL50" s="1"/>
      <c r="AM50" s="1"/>
    </row>
    <row r="51" spans="1:39" s="2" customFormat="1" ht="21.95" customHeight="1" thickBot="1" x14ac:dyDescent="0.25">
      <c r="A51" s="266"/>
      <c r="B51" s="268"/>
      <c r="C51" s="268"/>
      <c r="D51" s="268"/>
      <c r="E51" s="268"/>
      <c r="F51" s="235">
        <v>10198</v>
      </c>
      <c r="G51" s="235" t="s">
        <v>136</v>
      </c>
      <c r="H51" s="235" t="s">
        <v>137</v>
      </c>
      <c r="I51" s="235" t="s">
        <v>48</v>
      </c>
      <c r="J51" s="236" t="s">
        <v>23</v>
      </c>
      <c r="K51" s="235">
        <v>71600</v>
      </c>
      <c r="L51" s="235" t="s">
        <v>23</v>
      </c>
      <c r="M51" s="237">
        <f t="shared" si="29"/>
        <v>0</v>
      </c>
      <c r="N51" s="237">
        <f t="shared" si="29"/>
        <v>0</v>
      </c>
      <c r="O51" s="237">
        <f t="shared" si="29"/>
        <v>0</v>
      </c>
      <c r="P51" s="237">
        <f t="shared" si="30"/>
        <v>0</v>
      </c>
      <c r="Q51" s="237">
        <f t="shared" si="31"/>
        <v>0</v>
      </c>
      <c r="R51" s="238">
        <v>7</v>
      </c>
      <c r="S51" s="9">
        <f t="shared" si="32"/>
        <v>5.2733837142243598E-2</v>
      </c>
      <c r="U51" s="1"/>
      <c r="V51" s="1"/>
      <c r="W51" s="1"/>
      <c r="X51" s="1"/>
      <c r="Y51" s="1"/>
      <c r="Z51" s="1"/>
      <c r="AA51" s="1"/>
      <c r="AB51" s="1"/>
      <c r="AC51" s="1"/>
      <c r="AD51" s="1"/>
      <c r="AE51" s="1"/>
      <c r="AF51" s="1"/>
      <c r="AG51" s="1"/>
      <c r="AH51" s="1"/>
      <c r="AI51" s="1"/>
      <c r="AJ51" s="1"/>
      <c r="AK51" s="1"/>
      <c r="AL51" s="1"/>
      <c r="AM51" s="1"/>
    </row>
    <row r="52" spans="1:39" s="2" customFormat="1" ht="21.95" customHeight="1" thickBot="1" x14ac:dyDescent="0.25">
      <c r="A52" s="266"/>
      <c r="B52" s="268"/>
      <c r="C52" s="268"/>
      <c r="D52" s="268"/>
      <c r="E52" s="268"/>
      <c r="F52" s="235">
        <v>10198</v>
      </c>
      <c r="G52" s="235" t="s">
        <v>136</v>
      </c>
      <c r="H52" s="235" t="s">
        <v>137</v>
      </c>
      <c r="I52" s="235" t="s">
        <v>48</v>
      </c>
      <c r="J52" s="236" t="s">
        <v>24</v>
      </c>
      <c r="K52" s="235">
        <v>72500</v>
      </c>
      <c r="L52" s="235" t="s">
        <v>25</v>
      </c>
      <c r="M52" s="237">
        <f t="shared" si="29"/>
        <v>0</v>
      </c>
      <c r="N52" s="237">
        <f t="shared" si="29"/>
        <v>0</v>
      </c>
      <c r="O52" s="237">
        <f t="shared" si="29"/>
        <v>0</v>
      </c>
      <c r="P52" s="237">
        <f t="shared" si="30"/>
        <v>0</v>
      </c>
      <c r="Q52" s="237">
        <f t="shared" si="31"/>
        <v>0</v>
      </c>
      <c r="R52" s="238">
        <v>10</v>
      </c>
      <c r="S52" s="9">
        <f t="shared" si="32"/>
        <v>1.1523776948710745E-3</v>
      </c>
      <c r="U52" s="1"/>
      <c r="V52" s="1"/>
      <c r="W52" s="1"/>
      <c r="X52" s="1"/>
      <c r="Y52" s="1"/>
      <c r="Z52" s="1"/>
      <c r="AA52" s="1"/>
      <c r="AB52" s="1"/>
      <c r="AC52" s="1"/>
      <c r="AD52" s="1"/>
      <c r="AE52" s="1"/>
      <c r="AF52" s="1"/>
      <c r="AG52" s="1"/>
      <c r="AH52" s="1"/>
      <c r="AI52" s="1"/>
      <c r="AJ52" s="1"/>
      <c r="AK52" s="1"/>
      <c r="AL52" s="1"/>
      <c r="AM52" s="1"/>
    </row>
    <row r="53" spans="1:39" s="2" customFormat="1" ht="21.95" customHeight="1" thickBot="1" x14ac:dyDescent="0.25">
      <c r="A53" s="266"/>
      <c r="B53" s="268"/>
      <c r="C53" s="268"/>
      <c r="D53" s="268"/>
      <c r="E53" s="268"/>
      <c r="F53" s="235">
        <v>10198</v>
      </c>
      <c r="G53" s="235" t="s">
        <v>136</v>
      </c>
      <c r="H53" s="235" t="s">
        <v>137</v>
      </c>
      <c r="I53" s="235" t="s">
        <v>48</v>
      </c>
      <c r="J53" s="236" t="s">
        <v>23</v>
      </c>
      <c r="K53" s="235">
        <v>74500</v>
      </c>
      <c r="L53" s="235" t="s">
        <v>49</v>
      </c>
      <c r="M53" s="237">
        <f t="shared" si="29"/>
        <v>0</v>
      </c>
      <c r="N53" s="237">
        <f t="shared" si="29"/>
        <v>0</v>
      </c>
      <c r="O53" s="237">
        <f t="shared" si="29"/>
        <v>0</v>
      </c>
      <c r="P53" s="237">
        <f t="shared" si="30"/>
        <v>0</v>
      </c>
      <c r="Q53" s="237">
        <f t="shared" si="31"/>
        <v>0</v>
      </c>
      <c r="R53" s="238">
        <v>11</v>
      </c>
      <c r="S53" s="9">
        <f t="shared" si="32"/>
        <v>1.1996864232514471E-3</v>
      </c>
      <c r="U53" s="1"/>
      <c r="V53" s="1"/>
      <c r="W53" s="1"/>
      <c r="X53" s="1"/>
      <c r="Y53" s="1"/>
      <c r="Z53" s="1"/>
      <c r="AA53" s="1"/>
      <c r="AB53" s="1"/>
      <c r="AC53" s="1"/>
      <c r="AD53" s="1"/>
      <c r="AE53" s="1"/>
      <c r="AF53" s="1"/>
      <c r="AG53" s="1"/>
      <c r="AH53" s="1"/>
      <c r="AI53" s="1"/>
      <c r="AJ53" s="1"/>
      <c r="AK53" s="1"/>
      <c r="AL53" s="1"/>
      <c r="AM53" s="1"/>
    </row>
    <row r="54" spans="1:39" s="2" customFormat="1" ht="21.95" customHeight="1" thickBot="1" x14ac:dyDescent="0.25">
      <c r="A54" s="266"/>
      <c r="B54" s="268"/>
      <c r="C54" s="268"/>
      <c r="D54" s="268"/>
      <c r="E54" s="268"/>
      <c r="F54" s="235">
        <v>10198</v>
      </c>
      <c r="G54" s="235" t="s">
        <v>136</v>
      </c>
      <c r="H54" s="235" t="s">
        <v>137</v>
      </c>
      <c r="I54" s="235" t="s">
        <v>48</v>
      </c>
      <c r="J54" s="236" t="s">
        <v>26</v>
      </c>
      <c r="K54" s="235">
        <v>75700</v>
      </c>
      <c r="L54" s="235" t="s">
        <v>27</v>
      </c>
      <c r="M54" s="237">
        <f t="shared" si="29"/>
        <v>0</v>
      </c>
      <c r="N54" s="237">
        <f t="shared" si="29"/>
        <v>0</v>
      </c>
      <c r="O54" s="237">
        <f t="shared" si="29"/>
        <v>0</v>
      </c>
      <c r="P54" s="237">
        <f t="shared" si="30"/>
        <v>0</v>
      </c>
      <c r="Q54" s="237">
        <f t="shared" si="31"/>
        <v>0</v>
      </c>
      <c r="R54" s="238">
        <v>6</v>
      </c>
      <c r="S54" s="9">
        <f t="shared" si="32"/>
        <v>5.833244869893465E-3</v>
      </c>
      <c r="U54" s="1"/>
      <c r="V54" s="1"/>
      <c r="W54" s="1"/>
      <c r="X54" s="1"/>
      <c r="Y54" s="1"/>
      <c r="Z54" s="1"/>
      <c r="AA54" s="1"/>
      <c r="AB54" s="1"/>
      <c r="AC54" s="1"/>
      <c r="AD54" s="1"/>
      <c r="AE54" s="1"/>
      <c r="AF54" s="1"/>
      <c r="AG54" s="1"/>
      <c r="AH54" s="1"/>
      <c r="AI54" s="1"/>
      <c r="AJ54" s="1"/>
      <c r="AK54" s="1"/>
      <c r="AL54" s="1"/>
      <c r="AM54" s="1"/>
    </row>
    <row r="55" spans="1:39" s="2" customFormat="1" ht="21.95" customHeight="1" thickBot="1" x14ac:dyDescent="0.25">
      <c r="A55" s="266"/>
      <c r="B55" s="268"/>
      <c r="C55" s="268"/>
      <c r="D55" s="268"/>
      <c r="E55" s="268"/>
      <c r="F55" s="235">
        <v>10198</v>
      </c>
      <c r="G55" s="235" t="s">
        <v>136</v>
      </c>
      <c r="H55" s="235" t="s">
        <v>137</v>
      </c>
      <c r="I55" s="235" t="s">
        <v>48</v>
      </c>
      <c r="J55" s="236" t="s">
        <v>28</v>
      </c>
      <c r="K55" s="235">
        <v>61200</v>
      </c>
      <c r="L55" s="235" t="s">
        <v>29</v>
      </c>
      <c r="M55" s="237">
        <f t="shared" si="29"/>
        <v>0</v>
      </c>
      <c r="N55" s="237">
        <f t="shared" si="29"/>
        <v>0</v>
      </c>
      <c r="O55" s="237">
        <f t="shared" si="29"/>
        <v>0</v>
      </c>
      <c r="P55" s="237">
        <f t="shared" si="30"/>
        <v>0</v>
      </c>
      <c r="Q55" s="237">
        <f t="shared" si="31"/>
        <v>0</v>
      </c>
      <c r="R55" s="238">
        <v>4</v>
      </c>
      <c r="S55" s="9">
        <f t="shared" si="32"/>
        <v>0</v>
      </c>
      <c r="U55" s="1"/>
      <c r="V55" s="1"/>
      <c r="W55" s="1"/>
      <c r="X55" s="1"/>
      <c r="Y55" s="1"/>
      <c r="Z55" s="1"/>
      <c r="AA55" s="1"/>
      <c r="AB55" s="1"/>
      <c r="AC55" s="1"/>
      <c r="AD55" s="1"/>
      <c r="AE55" s="1"/>
      <c r="AF55" s="1"/>
      <c r="AG55" s="1"/>
      <c r="AH55" s="1"/>
      <c r="AI55" s="1"/>
      <c r="AJ55" s="1"/>
      <c r="AK55" s="1"/>
      <c r="AL55" s="1"/>
      <c r="AM55" s="1"/>
    </row>
    <row r="56" spans="1:39" s="2" customFormat="1" ht="21.95" customHeight="1" thickBot="1" x14ac:dyDescent="0.25">
      <c r="A56" s="266"/>
      <c r="B56" s="268"/>
      <c r="C56" s="268"/>
      <c r="D56" s="268"/>
      <c r="E56" s="268"/>
      <c r="F56" s="235">
        <v>10198</v>
      </c>
      <c r="G56" s="235" t="s">
        <v>136</v>
      </c>
      <c r="H56" s="235" t="s">
        <v>137</v>
      </c>
      <c r="I56" s="235" t="s">
        <v>48</v>
      </c>
      <c r="J56" s="236" t="s">
        <v>28</v>
      </c>
      <c r="K56" s="235">
        <v>61300</v>
      </c>
      <c r="L56" s="235" t="s">
        <v>30</v>
      </c>
      <c r="M56" s="237">
        <f t="shared" si="29"/>
        <v>0</v>
      </c>
      <c r="N56" s="237">
        <f t="shared" si="29"/>
        <v>0</v>
      </c>
      <c r="O56" s="237">
        <f t="shared" si="29"/>
        <v>0</v>
      </c>
      <c r="P56" s="237">
        <f t="shared" si="30"/>
        <v>0</v>
      </c>
      <c r="Q56" s="237">
        <f t="shared" si="31"/>
        <v>0</v>
      </c>
      <c r="R56" s="238">
        <v>4</v>
      </c>
      <c r="S56" s="9">
        <f t="shared" si="32"/>
        <v>0</v>
      </c>
      <c r="U56" s="1"/>
      <c r="V56" s="1"/>
      <c r="W56" s="1"/>
      <c r="X56" s="1"/>
      <c r="Y56" s="1"/>
      <c r="Z56" s="1"/>
      <c r="AA56" s="1"/>
      <c r="AB56" s="1"/>
      <c r="AC56" s="1"/>
      <c r="AD56" s="1"/>
      <c r="AE56" s="1"/>
      <c r="AF56" s="1"/>
      <c r="AG56" s="1"/>
      <c r="AH56" s="1"/>
      <c r="AI56" s="1"/>
      <c r="AJ56" s="1"/>
      <c r="AK56" s="1"/>
      <c r="AL56" s="1"/>
      <c r="AM56" s="1"/>
    </row>
    <row r="57" spans="1:39" s="2" customFormat="1" ht="21.95" customHeight="1" thickBot="1" x14ac:dyDescent="0.25">
      <c r="A57" s="266"/>
      <c r="B57" s="268"/>
      <c r="C57" s="269" t="s">
        <v>31</v>
      </c>
      <c r="D57" s="269"/>
      <c r="E57" s="269"/>
      <c r="F57" s="269"/>
      <c r="G57" s="269"/>
      <c r="H57" s="269"/>
      <c r="I57" s="269"/>
      <c r="J57" s="269"/>
      <c r="K57" s="269"/>
      <c r="L57" s="269"/>
      <c r="M57" s="237">
        <f>SUM(M48:M56)</f>
        <v>0</v>
      </c>
      <c r="N57" s="237">
        <f t="shared" ref="N57:Q57" si="33">SUM(N48:N56)</f>
        <v>0</v>
      </c>
      <c r="O57" s="237">
        <f t="shared" si="33"/>
        <v>0</v>
      </c>
      <c r="P57" s="237">
        <f t="shared" si="33"/>
        <v>0</v>
      </c>
      <c r="Q57" s="237">
        <f t="shared" si="33"/>
        <v>0</v>
      </c>
      <c r="R57" s="238"/>
      <c r="S57" s="9"/>
      <c r="U57" s="1"/>
      <c r="V57" s="1"/>
      <c r="W57" s="1"/>
      <c r="X57" s="1"/>
      <c r="Y57" s="1"/>
      <c r="Z57" s="1"/>
      <c r="AA57" s="1"/>
      <c r="AB57" s="1"/>
      <c r="AC57" s="1"/>
      <c r="AD57" s="1"/>
      <c r="AE57" s="1"/>
      <c r="AF57" s="1"/>
      <c r="AG57" s="1"/>
      <c r="AH57" s="1"/>
      <c r="AI57" s="1"/>
      <c r="AJ57" s="1"/>
      <c r="AK57" s="1"/>
      <c r="AL57" s="1"/>
      <c r="AM57" s="1"/>
    </row>
    <row r="58" spans="1:39" s="2" customFormat="1" ht="21.95" customHeight="1" thickBot="1" x14ac:dyDescent="0.25">
      <c r="A58" s="266"/>
      <c r="B58" s="269" t="s">
        <v>50</v>
      </c>
      <c r="C58" s="269"/>
      <c r="D58" s="269"/>
      <c r="E58" s="269"/>
      <c r="F58" s="269"/>
      <c r="G58" s="269"/>
      <c r="H58" s="269"/>
      <c r="I58" s="269"/>
      <c r="J58" s="269"/>
      <c r="K58" s="269"/>
      <c r="L58" s="269"/>
      <c r="M58" s="237">
        <f>M57</f>
        <v>0</v>
      </c>
      <c r="N58" s="237">
        <f t="shared" ref="N58:Q58" si="34">N57</f>
        <v>0</v>
      </c>
      <c r="O58" s="237">
        <f t="shared" si="34"/>
        <v>0</v>
      </c>
      <c r="P58" s="237">
        <f t="shared" si="34"/>
        <v>0</v>
      </c>
      <c r="Q58" s="237">
        <f t="shared" si="34"/>
        <v>0</v>
      </c>
      <c r="R58" s="238"/>
      <c r="S58" s="9"/>
      <c r="U58" s="1"/>
      <c r="V58" s="1"/>
      <c r="W58" s="1"/>
      <c r="X58" s="1"/>
      <c r="Y58" s="1"/>
      <c r="Z58" s="1"/>
      <c r="AA58" s="1"/>
      <c r="AB58" s="1"/>
      <c r="AC58" s="1"/>
      <c r="AD58" s="1"/>
      <c r="AE58" s="1"/>
      <c r="AF58" s="1"/>
      <c r="AG58" s="1"/>
      <c r="AH58" s="1"/>
      <c r="AI58" s="1"/>
      <c r="AJ58" s="1"/>
      <c r="AK58" s="1"/>
      <c r="AL58" s="1"/>
      <c r="AM58" s="1"/>
    </row>
    <row r="59" spans="1:39" s="2" customFormat="1" ht="21.95" customHeight="1" thickBot="1" x14ac:dyDescent="0.25">
      <c r="A59" s="266"/>
      <c r="B59" s="265" t="s">
        <v>51</v>
      </c>
      <c r="C59" s="265" t="s">
        <v>17</v>
      </c>
      <c r="D59" s="265">
        <v>62000</v>
      </c>
      <c r="E59" s="265">
        <v>10003</v>
      </c>
      <c r="F59" s="235">
        <v>10198</v>
      </c>
      <c r="G59" s="235" t="s">
        <v>136</v>
      </c>
      <c r="H59" s="235" t="s">
        <v>137</v>
      </c>
      <c r="I59" s="235" t="s">
        <v>52</v>
      </c>
      <c r="J59" s="236" t="s">
        <v>19</v>
      </c>
      <c r="K59" s="235">
        <v>71200</v>
      </c>
      <c r="L59" s="235" t="s">
        <v>19</v>
      </c>
      <c r="M59" s="237">
        <f t="shared" ref="M59:O66" si="35">ROUND(M$2*$Q59,0)</f>
        <v>0</v>
      </c>
      <c r="N59" s="237">
        <f t="shared" si="35"/>
        <v>0</v>
      </c>
      <c r="O59" s="237">
        <f t="shared" si="35"/>
        <v>0</v>
      </c>
      <c r="P59" s="237">
        <f t="shared" ref="P59:P67" si="36">Q59-SUM(M59:O59)</f>
        <v>0</v>
      </c>
      <c r="Q59" s="237">
        <f t="shared" ref="Q59:Q67" si="37">ROUND($V$7*S59,0)</f>
        <v>0</v>
      </c>
      <c r="R59" s="238">
        <v>2</v>
      </c>
      <c r="S59" s="9">
        <f t="shared" ref="S59:S67" si="38">VLOOKUP(K59, rpastarratio2, 5, FALSE)*VLOOKUP(K59, rpastarratio2, 8, FALSE)</f>
        <v>0</v>
      </c>
      <c r="U59" s="1"/>
      <c r="V59" s="1"/>
      <c r="W59" s="1"/>
      <c r="X59" s="1"/>
      <c r="Y59" s="1"/>
      <c r="Z59" s="1"/>
      <c r="AA59" s="1"/>
      <c r="AB59" s="1"/>
      <c r="AC59" s="1"/>
      <c r="AD59" s="1"/>
      <c r="AE59" s="1"/>
      <c r="AF59" s="1"/>
      <c r="AG59" s="1"/>
      <c r="AH59" s="1"/>
      <c r="AI59" s="1"/>
      <c r="AJ59" s="1"/>
      <c r="AK59" s="1"/>
      <c r="AL59" s="1"/>
      <c r="AM59" s="1"/>
    </row>
    <row r="60" spans="1:39" s="2" customFormat="1" ht="21.95" customHeight="1" thickBot="1" x14ac:dyDescent="0.25">
      <c r="A60" s="266"/>
      <c r="B60" s="266"/>
      <c r="C60" s="266"/>
      <c r="D60" s="266"/>
      <c r="E60" s="266"/>
      <c r="F60" s="235">
        <v>10198</v>
      </c>
      <c r="G60" s="235" t="s">
        <v>136</v>
      </c>
      <c r="H60" s="235" t="s">
        <v>137</v>
      </c>
      <c r="I60" s="235" t="s">
        <v>52</v>
      </c>
      <c r="J60" s="236" t="s">
        <v>20</v>
      </c>
      <c r="K60" s="235">
        <v>71300</v>
      </c>
      <c r="L60" s="235" t="s">
        <v>20</v>
      </c>
      <c r="M60" s="237">
        <f t="shared" si="35"/>
        <v>0</v>
      </c>
      <c r="N60" s="237">
        <f t="shared" si="35"/>
        <v>1353</v>
      </c>
      <c r="O60" s="237">
        <f t="shared" si="35"/>
        <v>1313</v>
      </c>
      <c r="P60" s="237">
        <f t="shared" si="36"/>
        <v>1314</v>
      </c>
      <c r="Q60" s="237">
        <f t="shared" si="37"/>
        <v>3980</v>
      </c>
      <c r="R60" s="238">
        <v>3</v>
      </c>
      <c r="S60" s="9">
        <f t="shared" si="38"/>
        <v>1.8250269044009344E-2</v>
      </c>
      <c r="U60" s="1">
        <f>Q60/2</f>
        <v>1990</v>
      </c>
      <c r="V60" s="1"/>
      <c r="W60" s="1"/>
      <c r="X60" s="1"/>
      <c r="Y60" s="1"/>
      <c r="Z60" s="1"/>
      <c r="AA60" s="1"/>
      <c r="AB60" s="1"/>
      <c r="AC60" s="1"/>
      <c r="AD60" s="1"/>
      <c r="AE60" s="1"/>
      <c r="AF60" s="1"/>
      <c r="AG60" s="1"/>
      <c r="AH60" s="1"/>
      <c r="AI60" s="1"/>
      <c r="AJ60" s="1"/>
      <c r="AK60" s="1"/>
      <c r="AL60" s="1"/>
      <c r="AM60" s="1"/>
    </row>
    <row r="61" spans="1:39" s="2" customFormat="1" ht="21.95" customHeight="1" thickBot="1" x14ac:dyDescent="0.25">
      <c r="A61" s="266"/>
      <c r="B61" s="266"/>
      <c r="C61" s="266"/>
      <c r="D61" s="266"/>
      <c r="E61" s="266"/>
      <c r="F61" s="235">
        <v>10198</v>
      </c>
      <c r="G61" s="235" t="s">
        <v>136</v>
      </c>
      <c r="H61" s="235" t="s">
        <v>137</v>
      </c>
      <c r="I61" s="235" t="s">
        <v>52</v>
      </c>
      <c r="J61" s="236" t="s">
        <v>21</v>
      </c>
      <c r="K61" s="235">
        <v>71400</v>
      </c>
      <c r="L61" s="235" t="s">
        <v>22</v>
      </c>
      <c r="M61" s="237">
        <f t="shared" si="35"/>
        <v>0</v>
      </c>
      <c r="N61" s="237">
        <f t="shared" si="35"/>
        <v>0</v>
      </c>
      <c r="O61" s="237">
        <f t="shared" si="35"/>
        <v>0</v>
      </c>
      <c r="P61" s="237">
        <f t="shared" si="36"/>
        <v>0</v>
      </c>
      <c r="Q61" s="237">
        <f t="shared" si="37"/>
        <v>0</v>
      </c>
      <c r="R61" s="238">
        <v>5</v>
      </c>
      <c r="S61" s="9">
        <f t="shared" si="38"/>
        <v>0</v>
      </c>
      <c r="U61" s="1"/>
      <c r="V61" s="1"/>
      <c r="W61" s="1"/>
      <c r="X61" s="1"/>
      <c r="Y61" s="1"/>
      <c r="Z61" s="1"/>
      <c r="AA61" s="1"/>
      <c r="AB61" s="1"/>
      <c r="AC61" s="1"/>
      <c r="AD61" s="1"/>
      <c r="AE61" s="1"/>
      <c r="AF61" s="1"/>
      <c r="AG61" s="1"/>
      <c r="AH61" s="1"/>
      <c r="AI61" s="1"/>
      <c r="AJ61" s="1"/>
      <c r="AK61" s="1"/>
      <c r="AL61" s="1"/>
      <c r="AM61" s="1"/>
    </row>
    <row r="62" spans="1:39" s="2" customFormat="1" ht="21.95" customHeight="1" thickBot="1" x14ac:dyDescent="0.25">
      <c r="A62" s="266"/>
      <c r="B62" s="266"/>
      <c r="C62" s="266"/>
      <c r="D62" s="266"/>
      <c r="E62" s="266"/>
      <c r="F62" s="235">
        <v>10198</v>
      </c>
      <c r="G62" s="235" t="s">
        <v>136</v>
      </c>
      <c r="H62" s="235" t="s">
        <v>137</v>
      </c>
      <c r="I62" s="235" t="s">
        <v>52</v>
      </c>
      <c r="J62" s="236" t="s">
        <v>23</v>
      </c>
      <c r="K62" s="235">
        <v>71600</v>
      </c>
      <c r="L62" s="235" t="s">
        <v>23</v>
      </c>
      <c r="M62" s="237">
        <f t="shared" si="35"/>
        <v>0</v>
      </c>
      <c r="N62" s="237">
        <f t="shared" si="35"/>
        <v>3910</v>
      </c>
      <c r="O62" s="237">
        <f t="shared" si="35"/>
        <v>3795</v>
      </c>
      <c r="P62" s="237">
        <f t="shared" si="36"/>
        <v>3796</v>
      </c>
      <c r="Q62" s="237">
        <f t="shared" si="37"/>
        <v>11501</v>
      </c>
      <c r="R62" s="238">
        <v>7</v>
      </c>
      <c r="S62" s="9">
        <f t="shared" si="38"/>
        <v>5.2733837142243459E-2</v>
      </c>
      <c r="U62" s="1"/>
      <c r="V62" s="1"/>
      <c r="W62" s="1"/>
      <c r="X62" s="1"/>
      <c r="Y62" s="1"/>
      <c r="Z62" s="1"/>
      <c r="AA62" s="1"/>
      <c r="AB62" s="1"/>
      <c r="AC62" s="1"/>
      <c r="AD62" s="1"/>
      <c r="AE62" s="1"/>
      <c r="AF62" s="1"/>
      <c r="AG62" s="1"/>
      <c r="AH62" s="1"/>
      <c r="AI62" s="1"/>
      <c r="AJ62" s="1"/>
      <c r="AK62" s="1"/>
      <c r="AL62" s="1"/>
      <c r="AM62" s="1"/>
    </row>
    <row r="63" spans="1:39" s="2" customFormat="1" ht="21.95" customHeight="1" thickBot="1" x14ac:dyDescent="0.25">
      <c r="A63" s="266"/>
      <c r="B63" s="266"/>
      <c r="C63" s="266"/>
      <c r="D63" s="266"/>
      <c r="E63" s="266"/>
      <c r="F63" s="235">
        <v>10198</v>
      </c>
      <c r="G63" s="235" t="s">
        <v>136</v>
      </c>
      <c r="H63" s="235" t="s">
        <v>137</v>
      </c>
      <c r="I63" s="235" t="s">
        <v>52</v>
      </c>
      <c r="J63" s="236" t="s">
        <v>24</v>
      </c>
      <c r="K63" s="235">
        <v>72500</v>
      </c>
      <c r="L63" s="235" t="s">
        <v>25</v>
      </c>
      <c r="M63" s="237">
        <f t="shared" si="35"/>
        <v>0</v>
      </c>
      <c r="N63" s="237">
        <f t="shared" si="35"/>
        <v>85</v>
      </c>
      <c r="O63" s="237">
        <f t="shared" si="35"/>
        <v>83</v>
      </c>
      <c r="P63" s="237">
        <f t="shared" si="36"/>
        <v>83</v>
      </c>
      <c r="Q63" s="237">
        <f t="shared" si="37"/>
        <v>251</v>
      </c>
      <c r="R63" s="238">
        <v>10</v>
      </c>
      <c r="S63" s="9">
        <f t="shared" si="38"/>
        <v>1.1523776948710711E-3</v>
      </c>
      <c r="U63" s="1"/>
      <c r="V63" s="1"/>
      <c r="W63" s="1"/>
      <c r="X63" s="1"/>
      <c r="Y63" s="1"/>
      <c r="Z63" s="1"/>
      <c r="AA63" s="1"/>
      <c r="AB63" s="1"/>
      <c r="AC63" s="1"/>
      <c r="AD63" s="1"/>
      <c r="AE63" s="1"/>
      <c r="AF63" s="1"/>
      <c r="AG63" s="1"/>
      <c r="AH63" s="1"/>
      <c r="AI63" s="1"/>
      <c r="AJ63" s="1"/>
      <c r="AK63" s="1"/>
      <c r="AL63" s="1"/>
      <c r="AM63" s="1"/>
    </row>
    <row r="64" spans="1:39" s="2" customFormat="1" ht="21.95" customHeight="1" thickBot="1" x14ac:dyDescent="0.25">
      <c r="A64" s="266"/>
      <c r="B64" s="266"/>
      <c r="C64" s="266"/>
      <c r="D64" s="266"/>
      <c r="E64" s="266"/>
      <c r="F64" s="235">
        <v>10198</v>
      </c>
      <c r="G64" s="235" t="s">
        <v>136</v>
      </c>
      <c r="H64" s="235" t="s">
        <v>137</v>
      </c>
      <c r="I64" s="235" t="s">
        <v>52</v>
      </c>
      <c r="J64" s="236" t="s">
        <v>23</v>
      </c>
      <c r="K64" s="235">
        <v>74500</v>
      </c>
      <c r="L64" s="235" t="s">
        <v>49</v>
      </c>
      <c r="M64" s="237">
        <f t="shared" si="35"/>
        <v>0</v>
      </c>
      <c r="N64" s="237">
        <f t="shared" si="35"/>
        <v>89</v>
      </c>
      <c r="O64" s="237">
        <f t="shared" si="35"/>
        <v>86</v>
      </c>
      <c r="P64" s="237">
        <f t="shared" si="36"/>
        <v>87</v>
      </c>
      <c r="Q64" s="237">
        <f t="shared" si="37"/>
        <v>262</v>
      </c>
      <c r="R64" s="238">
        <v>11</v>
      </c>
      <c r="S64" s="9">
        <f t="shared" si="38"/>
        <v>1.1996864232514438E-3</v>
      </c>
      <c r="U64" s="1"/>
      <c r="V64" s="1"/>
      <c r="W64" s="1"/>
      <c r="X64" s="1"/>
      <c r="Y64" s="1"/>
      <c r="Z64" s="1"/>
      <c r="AA64" s="1"/>
      <c r="AB64" s="1"/>
      <c r="AC64" s="1"/>
      <c r="AD64" s="1"/>
      <c r="AE64" s="1"/>
      <c r="AF64" s="1"/>
      <c r="AG64" s="1"/>
      <c r="AH64" s="1"/>
      <c r="AI64" s="1"/>
      <c r="AJ64" s="1"/>
      <c r="AK64" s="1"/>
      <c r="AL64" s="1"/>
      <c r="AM64" s="1"/>
    </row>
    <row r="65" spans="1:39" s="2" customFormat="1" ht="21.95" customHeight="1" thickBot="1" x14ac:dyDescent="0.25">
      <c r="A65" s="266"/>
      <c r="B65" s="266"/>
      <c r="C65" s="266"/>
      <c r="D65" s="266"/>
      <c r="E65" s="266"/>
      <c r="F65" s="235">
        <v>10198</v>
      </c>
      <c r="G65" s="235" t="s">
        <v>136</v>
      </c>
      <c r="H65" s="235" t="s">
        <v>137</v>
      </c>
      <c r="I65" s="235" t="s">
        <v>52</v>
      </c>
      <c r="J65" s="236" t="s">
        <v>26</v>
      </c>
      <c r="K65" s="235">
        <v>75700</v>
      </c>
      <c r="L65" s="235" t="s">
        <v>27</v>
      </c>
      <c r="M65" s="237">
        <f t="shared" si="35"/>
        <v>0</v>
      </c>
      <c r="N65" s="237">
        <f t="shared" si="35"/>
        <v>432</v>
      </c>
      <c r="O65" s="237">
        <f t="shared" si="35"/>
        <v>420</v>
      </c>
      <c r="P65" s="237">
        <f t="shared" si="36"/>
        <v>420</v>
      </c>
      <c r="Q65" s="237">
        <f t="shared" si="37"/>
        <v>1272</v>
      </c>
      <c r="R65" s="238">
        <v>6</v>
      </c>
      <c r="S65" s="9">
        <f t="shared" si="38"/>
        <v>5.8332448698934485E-3</v>
      </c>
      <c r="U65" s="1"/>
      <c r="V65" s="1"/>
      <c r="W65" s="1"/>
      <c r="X65" s="1"/>
      <c r="Y65" s="1"/>
      <c r="Z65" s="1"/>
      <c r="AA65" s="1"/>
      <c r="AB65" s="1"/>
      <c r="AC65" s="1"/>
      <c r="AD65" s="1"/>
      <c r="AE65" s="1"/>
      <c r="AF65" s="1"/>
      <c r="AG65" s="1"/>
      <c r="AH65" s="1"/>
      <c r="AI65" s="1"/>
      <c r="AJ65" s="1"/>
      <c r="AK65" s="1"/>
      <c r="AL65" s="1"/>
      <c r="AM65" s="1"/>
    </row>
    <row r="66" spans="1:39" s="2" customFormat="1" ht="21.95" customHeight="1" thickBot="1" x14ac:dyDescent="0.25">
      <c r="A66" s="266"/>
      <c r="B66" s="266"/>
      <c r="C66" s="266"/>
      <c r="D66" s="266"/>
      <c r="E66" s="266"/>
      <c r="F66" s="235">
        <v>10198</v>
      </c>
      <c r="G66" s="235" t="s">
        <v>136</v>
      </c>
      <c r="H66" s="235" t="s">
        <v>137</v>
      </c>
      <c r="I66" s="235" t="s">
        <v>52</v>
      </c>
      <c r="J66" s="236" t="s">
        <v>28</v>
      </c>
      <c r="K66" s="235">
        <v>61200</v>
      </c>
      <c r="L66" s="235" t="s">
        <v>29</v>
      </c>
      <c r="M66" s="237">
        <f t="shared" si="35"/>
        <v>0</v>
      </c>
      <c r="N66" s="237">
        <f t="shared" si="35"/>
        <v>0</v>
      </c>
      <c r="O66" s="237">
        <f t="shared" si="35"/>
        <v>0</v>
      </c>
      <c r="P66" s="237">
        <f t="shared" si="36"/>
        <v>0</v>
      </c>
      <c r="Q66" s="237">
        <f t="shared" si="37"/>
        <v>0</v>
      </c>
      <c r="R66" s="238">
        <v>4</v>
      </c>
      <c r="S66" s="9">
        <f t="shared" si="38"/>
        <v>0</v>
      </c>
      <c r="U66" s="1"/>
      <c r="V66" s="1"/>
      <c r="W66" s="1"/>
      <c r="X66" s="1"/>
      <c r="Y66" s="1"/>
      <c r="Z66" s="1"/>
      <c r="AA66" s="1"/>
      <c r="AB66" s="1"/>
      <c r="AC66" s="1"/>
      <c r="AD66" s="1"/>
      <c r="AE66" s="1"/>
      <c r="AF66" s="1"/>
      <c r="AG66" s="1"/>
      <c r="AH66" s="1"/>
      <c r="AI66" s="1"/>
      <c r="AJ66" s="1"/>
      <c r="AK66" s="1"/>
      <c r="AL66" s="1"/>
      <c r="AM66" s="1"/>
    </row>
    <row r="67" spans="1:39" s="2" customFormat="1" ht="21.95" customHeight="1" thickBot="1" x14ac:dyDescent="0.25">
      <c r="A67" s="266"/>
      <c r="B67" s="266"/>
      <c r="C67" s="267"/>
      <c r="D67" s="267"/>
      <c r="E67" s="267"/>
      <c r="F67" s="235">
        <v>10198</v>
      </c>
      <c r="G67" s="235" t="s">
        <v>136</v>
      </c>
      <c r="H67" s="235" t="s">
        <v>137</v>
      </c>
      <c r="I67" s="235" t="s">
        <v>52</v>
      </c>
      <c r="J67" s="236" t="s">
        <v>28</v>
      </c>
      <c r="K67" s="235">
        <v>61300</v>
      </c>
      <c r="L67" s="235" t="s">
        <v>30</v>
      </c>
      <c r="M67" s="237">
        <f t="shared" ref="M67:O67" si="39">M$2*$Q67</f>
        <v>0</v>
      </c>
      <c r="N67" s="237">
        <f t="shared" si="39"/>
        <v>0</v>
      </c>
      <c r="O67" s="237">
        <f t="shared" si="39"/>
        <v>0</v>
      </c>
      <c r="P67" s="237">
        <f t="shared" si="36"/>
        <v>0</v>
      </c>
      <c r="Q67" s="237">
        <f t="shared" si="37"/>
        <v>0</v>
      </c>
      <c r="R67" s="238">
        <v>4</v>
      </c>
      <c r="S67" s="9">
        <f t="shared" si="38"/>
        <v>0</v>
      </c>
      <c r="U67" s="1"/>
      <c r="V67" s="1"/>
      <c r="W67" s="1"/>
      <c r="X67" s="1"/>
      <c r="Y67" s="1"/>
      <c r="Z67" s="1"/>
      <c r="AA67" s="1"/>
      <c r="AB67" s="1"/>
      <c r="AC67" s="1"/>
      <c r="AD67" s="1"/>
      <c r="AE67" s="1"/>
      <c r="AF67" s="1"/>
      <c r="AG67" s="1"/>
      <c r="AH67" s="1"/>
      <c r="AI67" s="1"/>
      <c r="AJ67" s="1"/>
      <c r="AK67" s="1"/>
      <c r="AL67" s="1"/>
      <c r="AM67" s="1"/>
    </row>
    <row r="68" spans="1:39" s="2" customFormat="1" ht="21.95" customHeight="1" thickBot="1" x14ac:dyDescent="0.25">
      <c r="A68" s="266"/>
      <c r="B68" s="266"/>
      <c r="C68" s="270" t="s">
        <v>31</v>
      </c>
      <c r="D68" s="270"/>
      <c r="E68" s="270"/>
      <c r="F68" s="270"/>
      <c r="G68" s="270"/>
      <c r="H68" s="270"/>
      <c r="I68" s="270"/>
      <c r="J68" s="270"/>
      <c r="K68" s="270"/>
      <c r="L68" s="270"/>
      <c r="M68" s="237">
        <f>SUM(M59:M67)</f>
        <v>0</v>
      </c>
      <c r="N68" s="237">
        <f t="shared" ref="N68:Q68" si="40">SUM(N59:N67)</f>
        <v>5869</v>
      </c>
      <c r="O68" s="237">
        <f t="shared" si="40"/>
        <v>5697</v>
      </c>
      <c r="P68" s="237">
        <f t="shared" si="40"/>
        <v>5700</v>
      </c>
      <c r="Q68" s="237">
        <f t="shared" si="40"/>
        <v>17266</v>
      </c>
      <c r="R68" s="238"/>
      <c r="S68" s="9"/>
      <c r="U68" s="1"/>
      <c r="V68" s="1"/>
      <c r="W68" s="1"/>
      <c r="X68" s="1"/>
      <c r="Y68" s="1"/>
      <c r="Z68" s="1"/>
      <c r="AA68" s="1"/>
      <c r="AB68" s="1"/>
      <c r="AC68" s="1"/>
      <c r="AD68" s="1"/>
      <c r="AE68" s="1"/>
      <c r="AF68" s="1"/>
      <c r="AG68" s="1"/>
      <c r="AH68" s="1"/>
      <c r="AI68" s="1"/>
      <c r="AJ68" s="1"/>
      <c r="AK68" s="1"/>
      <c r="AL68" s="1"/>
      <c r="AM68" s="1"/>
    </row>
    <row r="69" spans="1:39" ht="21.95" customHeight="1" thickBot="1" x14ac:dyDescent="0.25">
      <c r="A69" s="267"/>
      <c r="B69" s="270" t="s">
        <v>53</v>
      </c>
      <c r="C69" s="270"/>
      <c r="D69" s="270"/>
      <c r="E69" s="270"/>
      <c r="F69" s="270"/>
      <c r="G69" s="270"/>
      <c r="H69" s="270"/>
      <c r="I69" s="270"/>
      <c r="J69" s="270"/>
      <c r="K69" s="270"/>
      <c r="L69" s="270"/>
      <c r="M69" s="237">
        <f>M68</f>
        <v>0</v>
      </c>
      <c r="N69" s="237">
        <f t="shared" ref="N69:Q69" si="41">N68</f>
        <v>5869</v>
      </c>
      <c r="O69" s="237">
        <f t="shared" si="41"/>
        <v>5697</v>
      </c>
      <c r="P69" s="237">
        <f t="shared" si="41"/>
        <v>5700</v>
      </c>
      <c r="Q69" s="237">
        <f t="shared" si="41"/>
        <v>17266</v>
      </c>
      <c r="R69" s="238"/>
      <c r="T69" s="10"/>
      <c r="AC69" s="11"/>
      <c r="AF69" s="12"/>
      <c r="AG69" s="13"/>
    </row>
    <row r="70" spans="1:39" ht="21.95" customHeight="1" thickBot="1" x14ac:dyDescent="0.25">
      <c r="A70" s="271" t="s">
        <v>54</v>
      </c>
      <c r="B70" s="272"/>
      <c r="C70" s="272"/>
      <c r="D70" s="272"/>
      <c r="E70" s="272"/>
      <c r="F70" s="272"/>
      <c r="G70" s="272"/>
      <c r="H70" s="272"/>
      <c r="I70" s="272"/>
      <c r="J70" s="272"/>
      <c r="K70" s="272"/>
      <c r="L70" s="273"/>
      <c r="M70" s="237">
        <f t="shared" ref="M70:Q70" si="42">M58+M69</f>
        <v>0</v>
      </c>
      <c r="N70" s="237">
        <f t="shared" si="42"/>
        <v>5869</v>
      </c>
      <c r="O70" s="237">
        <f t="shared" si="42"/>
        <v>5697</v>
      </c>
      <c r="P70" s="237">
        <f t="shared" si="42"/>
        <v>5700</v>
      </c>
      <c r="Q70" s="237">
        <f t="shared" si="42"/>
        <v>17266</v>
      </c>
      <c r="R70" s="238"/>
      <c r="U70" s="14"/>
      <c r="AC70" s="15"/>
      <c r="AM70" s="16"/>
    </row>
    <row r="71" spans="1:39" ht="21.95" customHeight="1" thickBot="1" x14ac:dyDescent="0.25">
      <c r="A71" s="265" t="s">
        <v>55</v>
      </c>
      <c r="B71" s="268" t="s">
        <v>56</v>
      </c>
      <c r="C71" s="268" t="s">
        <v>17</v>
      </c>
      <c r="D71" s="268">
        <v>62000</v>
      </c>
      <c r="E71" s="268">
        <v>10003</v>
      </c>
      <c r="F71" s="235">
        <v>10198</v>
      </c>
      <c r="G71" s="235" t="s">
        <v>136</v>
      </c>
      <c r="H71" s="235" t="s">
        <v>137</v>
      </c>
      <c r="I71" s="235" t="s">
        <v>57</v>
      </c>
      <c r="J71" s="236" t="s">
        <v>19</v>
      </c>
      <c r="K71" s="235">
        <v>71200</v>
      </c>
      <c r="L71" s="235" t="s">
        <v>19</v>
      </c>
      <c r="M71" s="237">
        <f t="shared" ref="M71:O79" si="43">ROUND(M$2*$Q71,0)</f>
        <v>0</v>
      </c>
      <c r="N71" s="237">
        <f t="shared" si="43"/>
        <v>0</v>
      </c>
      <c r="O71" s="237">
        <f t="shared" si="43"/>
        <v>0</v>
      </c>
      <c r="P71" s="237">
        <f t="shared" ref="P71:P79" si="44">Q71-SUM(M71:O71)</f>
        <v>0</v>
      </c>
      <c r="Q71" s="237">
        <f t="shared" ref="Q71:Q79" si="45">ROUND($V$6*S71,0)</f>
        <v>0</v>
      </c>
      <c r="R71" s="238">
        <v>2</v>
      </c>
      <c r="S71" s="9">
        <f t="shared" ref="S71:S79" si="46">VLOOKUP(K71, rpacoreratio2, 6, FALSE)*VLOOKUP(K71, rpacoreratio2, 8, FALSE)</f>
        <v>0</v>
      </c>
    </row>
    <row r="72" spans="1:39" ht="21.95" customHeight="1" thickBot="1" x14ac:dyDescent="0.25">
      <c r="A72" s="266"/>
      <c r="B72" s="268"/>
      <c r="C72" s="268"/>
      <c r="D72" s="268"/>
      <c r="E72" s="268"/>
      <c r="F72" s="235">
        <v>10198</v>
      </c>
      <c r="G72" s="235" t="s">
        <v>136</v>
      </c>
      <c r="H72" s="235" t="s">
        <v>137</v>
      </c>
      <c r="I72" s="235" t="s">
        <v>57</v>
      </c>
      <c r="J72" s="236" t="s">
        <v>20</v>
      </c>
      <c r="K72" s="235">
        <v>71300</v>
      </c>
      <c r="L72" s="235" t="s">
        <v>20</v>
      </c>
      <c r="M72" s="237">
        <f t="shared" si="43"/>
        <v>0</v>
      </c>
      <c r="N72" s="237">
        <f t="shared" si="43"/>
        <v>0</v>
      </c>
      <c r="O72" s="237">
        <f t="shared" si="43"/>
        <v>0</v>
      </c>
      <c r="P72" s="237">
        <f t="shared" si="44"/>
        <v>0</v>
      </c>
      <c r="Q72" s="237">
        <f t="shared" si="45"/>
        <v>0</v>
      </c>
      <c r="R72" s="238">
        <v>3</v>
      </c>
      <c r="S72" s="9">
        <f t="shared" si="46"/>
        <v>3.3050259712268285E-2</v>
      </c>
    </row>
    <row r="73" spans="1:39" ht="21.95" customHeight="1" thickBot="1" x14ac:dyDescent="0.25">
      <c r="A73" s="266"/>
      <c r="B73" s="268"/>
      <c r="C73" s="268"/>
      <c r="D73" s="268"/>
      <c r="E73" s="268"/>
      <c r="F73" s="235">
        <v>10198</v>
      </c>
      <c r="G73" s="235" t="s">
        <v>136</v>
      </c>
      <c r="H73" s="235" t="s">
        <v>137</v>
      </c>
      <c r="I73" s="235" t="s">
        <v>57</v>
      </c>
      <c r="J73" s="236" t="s">
        <v>21</v>
      </c>
      <c r="K73" s="235">
        <v>71400</v>
      </c>
      <c r="L73" s="235" t="s">
        <v>22</v>
      </c>
      <c r="M73" s="237">
        <f t="shared" si="43"/>
        <v>0</v>
      </c>
      <c r="N73" s="237">
        <f t="shared" si="43"/>
        <v>0</v>
      </c>
      <c r="O73" s="237">
        <f t="shared" si="43"/>
        <v>0</v>
      </c>
      <c r="P73" s="237">
        <f t="shared" si="44"/>
        <v>0</v>
      </c>
      <c r="Q73" s="237">
        <f t="shared" si="45"/>
        <v>0</v>
      </c>
      <c r="R73" s="238">
        <v>5</v>
      </c>
      <c r="S73" s="9">
        <f t="shared" si="46"/>
        <v>0</v>
      </c>
    </row>
    <row r="74" spans="1:39" ht="21.95" customHeight="1" thickBot="1" x14ac:dyDescent="0.25">
      <c r="A74" s="266"/>
      <c r="B74" s="268"/>
      <c r="C74" s="268"/>
      <c r="D74" s="268"/>
      <c r="E74" s="268"/>
      <c r="F74" s="235">
        <v>10198</v>
      </c>
      <c r="G74" s="235" t="s">
        <v>136</v>
      </c>
      <c r="H74" s="235" t="s">
        <v>137</v>
      </c>
      <c r="I74" s="235" t="s">
        <v>57</v>
      </c>
      <c r="J74" s="236" t="s">
        <v>23</v>
      </c>
      <c r="K74" s="235">
        <v>71600</v>
      </c>
      <c r="L74" s="235" t="s">
        <v>23</v>
      </c>
      <c r="M74" s="237">
        <f t="shared" si="43"/>
        <v>0</v>
      </c>
      <c r="N74" s="237">
        <f t="shared" si="43"/>
        <v>0</v>
      </c>
      <c r="O74" s="237">
        <f t="shared" si="43"/>
        <v>0</v>
      </c>
      <c r="P74" s="237">
        <f t="shared" si="44"/>
        <v>0</v>
      </c>
      <c r="Q74" s="237">
        <f t="shared" si="45"/>
        <v>0</v>
      </c>
      <c r="R74" s="238">
        <v>7</v>
      </c>
      <c r="S74" s="9">
        <f t="shared" si="46"/>
        <v>0.12264714790631946</v>
      </c>
    </row>
    <row r="75" spans="1:39" ht="21.95" customHeight="1" thickBot="1" x14ac:dyDescent="0.25">
      <c r="A75" s="266"/>
      <c r="B75" s="268"/>
      <c r="C75" s="268"/>
      <c r="D75" s="268"/>
      <c r="E75" s="268"/>
      <c r="F75" s="235">
        <v>10198</v>
      </c>
      <c r="G75" s="235" t="s">
        <v>136</v>
      </c>
      <c r="H75" s="235" t="s">
        <v>137</v>
      </c>
      <c r="I75" s="235" t="s">
        <v>57</v>
      </c>
      <c r="J75" s="236" t="s">
        <v>58</v>
      </c>
      <c r="K75" s="235">
        <v>72100</v>
      </c>
      <c r="L75" s="235" t="s">
        <v>59</v>
      </c>
      <c r="M75" s="237">
        <f t="shared" si="43"/>
        <v>0</v>
      </c>
      <c r="N75" s="237">
        <f t="shared" si="43"/>
        <v>0</v>
      </c>
      <c r="O75" s="237">
        <f t="shared" si="43"/>
        <v>0</v>
      </c>
      <c r="P75" s="237">
        <f t="shared" si="44"/>
        <v>0</v>
      </c>
      <c r="Q75" s="237">
        <f t="shared" si="45"/>
        <v>0</v>
      </c>
      <c r="R75" s="238">
        <v>12</v>
      </c>
      <c r="S75" s="9">
        <f t="shared" si="46"/>
        <v>0</v>
      </c>
    </row>
    <row r="76" spans="1:39" ht="21.95" customHeight="1" thickBot="1" x14ac:dyDescent="0.25">
      <c r="A76" s="266"/>
      <c r="B76" s="268"/>
      <c r="C76" s="268"/>
      <c r="D76" s="268"/>
      <c r="E76" s="268"/>
      <c r="F76" s="235">
        <v>10198</v>
      </c>
      <c r="G76" s="235" t="s">
        <v>136</v>
      </c>
      <c r="H76" s="235" t="s">
        <v>137</v>
      </c>
      <c r="I76" s="235" t="s">
        <v>57</v>
      </c>
      <c r="J76" s="236" t="s">
        <v>24</v>
      </c>
      <c r="K76" s="235">
        <v>72500</v>
      </c>
      <c r="L76" s="235" t="s">
        <v>25</v>
      </c>
      <c r="M76" s="237">
        <f t="shared" si="43"/>
        <v>0</v>
      </c>
      <c r="N76" s="237">
        <f t="shared" si="43"/>
        <v>0</v>
      </c>
      <c r="O76" s="237">
        <f t="shared" si="43"/>
        <v>0</v>
      </c>
      <c r="P76" s="237">
        <f t="shared" si="44"/>
        <v>0</v>
      </c>
      <c r="Q76" s="237">
        <f t="shared" si="45"/>
        <v>0</v>
      </c>
      <c r="R76" s="238">
        <v>10</v>
      </c>
      <c r="S76" s="9">
        <f t="shared" si="46"/>
        <v>1.0434440100921356E-2</v>
      </c>
    </row>
    <row r="77" spans="1:39" ht="21.95" customHeight="1" thickBot="1" x14ac:dyDescent="0.25">
      <c r="A77" s="266"/>
      <c r="B77" s="268"/>
      <c r="C77" s="268"/>
      <c r="D77" s="268"/>
      <c r="E77" s="268"/>
      <c r="F77" s="235">
        <v>10198</v>
      </c>
      <c r="G77" s="235" t="s">
        <v>136</v>
      </c>
      <c r="H77" s="235" t="s">
        <v>137</v>
      </c>
      <c r="I77" s="235" t="s">
        <v>57</v>
      </c>
      <c r="J77" s="236" t="s">
        <v>23</v>
      </c>
      <c r="K77" s="235">
        <v>74500</v>
      </c>
      <c r="L77" s="235" t="s">
        <v>49</v>
      </c>
      <c r="M77" s="237">
        <f t="shared" si="43"/>
        <v>0</v>
      </c>
      <c r="N77" s="237">
        <f t="shared" si="43"/>
        <v>0</v>
      </c>
      <c r="O77" s="237">
        <f t="shared" si="43"/>
        <v>0</v>
      </c>
      <c r="P77" s="237">
        <f t="shared" si="44"/>
        <v>0</v>
      </c>
      <c r="Q77" s="237">
        <f t="shared" si="45"/>
        <v>0</v>
      </c>
      <c r="R77" s="238">
        <v>11</v>
      </c>
      <c r="S77" s="9">
        <f t="shared" si="46"/>
        <v>6.8837233844906143E-2</v>
      </c>
    </row>
    <row r="78" spans="1:39" ht="21.95" customHeight="1" thickBot="1" x14ac:dyDescent="0.25">
      <c r="A78" s="266"/>
      <c r="B78" s="268"/>
      <c r="C78" s="268"/>
      <c r="D78" s="268"/>
      <c r="E78" s="268"/>
      <c r="F78" s="235">
        <v>10198</v>
      </c>
      <c r="G78" s="235" t="s">
        <v>136</v>
      </c>
      <c r="H78" s="235" t="s">
        <v>137</v>
      </c>
      <c r="I78" s="235" t="s">
        <v>57</v>
      </c>
      <c r="J78" s="236" t="s">
        <v>26</v>
      </c>
      <c r="K78" s="235">
        <v>75700</v>
      </c>
      <c r="L78" s="235" t="s">
        <v>27</v>
      </c>
      <c r="M78" s="237">
        <f t="shared" si="43"/>
        <v>0</v>
      </c>
      <c r="N78" s="237">
        <f t="shared" si="43"/>
        <v>0</v>
      </c>
      <c r="O78" s="237">
        <f t="shared" si="43"/>
        <v>0</v>
      </c>
      <c r="P78" s="237">
        <f t="shared" si="44"/>
        <v>0</v>
      </c>
      <c r="Q78" s="237">
        <f t="shared" si="45"/>
        <v>0</v>
      </c>
      <c r="R78" s="238">
        <v>6</v>
      </c>
      <c r="S78" s="9">
        <f t="shared" si="46"/>
        <v>5.3967684737532183E-2</v>
      </c>
    </row>
    <row r="79" spans="1:39" ht="21.95" customHeight="1" thickBot="1" x14ac:dyDescent="0.25">
      <c r="A79" s="266"/>
      <c r="B79" s="268"/>
      <c r="C79" s="268"/>
      <c r="D79" s="268"/>
      <c r="E79" s="268"/>
      <c r="F79" s="235">
        <v>10198</v>
      </c>
      <c r="G79" s="235" t="s">
        <v>136</v>
      </c>
      <c r="H79" s="235" t="s">
        <v>137</v>
      </c>
      <c r="I79" s="235" t="s">
        <v>57</v>
      </c>
      <c r="J79" s="236" t="s">
        <v>28</v>
      </c>
      <c r="K79" s="235">
        <v>61300</v>
      </c>
      <c r="L79" s="235" t="s">
        <v>30</v>
      </c>
      <c r="M79" s="237">
        <f t="shared" si="43"/>
        <v>0</v>
      </c>
      <c r="N79" s="237">
        <f t="shared" si="43"/>
        <v>0</v>
      </c>
      <c r="O79" s="237">
        <f t="shared" si="43"/>
        <v>0</v>
      </c>
      <c r="P79" s="237">
        <f t="shared" si="44"/>
        <v>0</v>
      </c>
      <c r="Q79" s="237">
        <f t="shared" si="45"/>
        <v>0</v>
      </c>
      <c r="R79" s="238">
        <v>4</v>
      </c>
      <c r="S79" s="9">
        <f t="shared" si="46"/>
        <v>0</v>
      </c>
    </row>
    <row r="80" spans="1:39" ht="21.95" customHeight="1" thickBot="1" x14ac:dyDescent="0.25">
      <c r="A80" s="266"/>
      <c r="B80" s="268"/>
      <c r="C80" s="269" t="s">
        <v>31</v>
      </c>
      <c r="D80" s="269"/>
      <c r="E80" s="269"/>
      <c r="F80" s="269"/>
      <c r="G80" s="269"/>
      <c r="H80" s="269"/>
      <c r="I80" s="269"/>
      <c r="J80" s="269"/>
      <c r="K80" s="269"/>
      <c r="L80" s="269"/>
      <c r="M80" s="237">
        <f>SUM(M71:M79)</f>
        <v>0</v>
      </c>
      <c r="N80" s="237">
        <f t="shared" ref="N80:Q80" si="47">SUM(N71:N79)</f>
        <v>0</v>
      </c>
      <c r="O80" s="237">
        <f t="shared" si="47"/>
        <v>0</v>
      </c>
      <c r="P80" s="237">
        <f t="shared" si="47"/>
        <v>0</v>
      </c>
      <c r="Q80" s="237">
        <f t="shared" si="47"/>
        <v>0</v>
      </c>
      <c r="R80" s="238"/>
      <c r="S80" s="9"/>
    </row>
    <row r="81" spans="1:39" ht="21.95" customHeight="1" thickBot="1" x14ac:dyDescent="0.25">
      <c r="A81" s="266"/>
      <c r="B81" s="269" t="s">
        <v>60</v>
      </c>
      <c r="C81" s="269"/>
      <c r="D81" s="269"/>
      <c r="E81" s="269"/>
      <c r="F81" s="269"/>
      <c r="G81" s="269"/>
      <c r="H81" s="269"/>
      <c r="I81" s="269"/>
      <c r="J81" s="269"/>
      <c r="K81" s="269"/>
      <c r="L81" s="269"/>
      <c r="M81" s="237">
        <f>M80</f>
        <v>0</v>
      </c>
      <c r="N81" s="237">
        <f t="shared" ref="N81:Q81" si="48">N80</f>
        <v>0</v>
      </c>
      <c r="O81" s="237">
        <f t="shared" si="48"/>
        <v>0</v>
      </c>
      <c r="P81" s="237">
        <f t="shared" si="48"/>
        <v>0</v>
      </c>
      <c r="Q81" s="237">
        <f t="shared" si="48"/>
        <v>0</v>
      </c>
      <c r="R81" s="238"/>
      <c r="S81" s="9"/>
    </row>
    <row r="82" spans="1:39" ht="21.95" customHeight="1" thickBot="1" x14ac:dyDescent="0.25">
      <c r="A82" s="266"/>
      <c r="B82" s="268" t="s">
        <v>61</v>
      </c>
      <c r="C82" s="265" t="s">
        <v>17</v>
      </c>
      <c r="D82" s="265">
        <v>62000</v>
      </c>
      <c r="E82" s="265">
        <v>10003</v>
      </c>
      <c r="F82" s="235">
        <v>10198</v>
      </c>
      <c r="G82" s="235" t="s">
        <v>136</v>
      </c>
      <c r="H82" s="235" t="s">
        <v>137</v>
      </c>
      <c r="I82" s="235" t="s">
        <v>62</v>
      </c>
      <c r="J82" s="236" t="s">
        <v>19</v>
      </c>
      <c r="K82" s="235">
        <v>71200</v>
      </c>
      <c r="L82" s="235" t="s">
        <v>19</v>
      </c>
      <c r="M82" s="237">
        <f t="shared" ref="M82:O90" si="49">ROUND(M$2*$Q82,0)</f>
        <v>0</v>
      </c>
      <c r="N82" s="237">
        <f t="shared" si="49"/>
        <v>0</v>
      </c>
      <c r="O82" s="237">
        <f t="shared" si="49"/>
        <v>0</v>
      </c>
      <c r="P82" s="237">
        <f t="shared" ref="P82:P90" si="50">Q82-SUM(M82:O82)</f>
        <v>0</v>
      </c>
      <c r="Q82" s="237">
        <f t="shared" ref="Q82:Q90" si="51">ROUND($V$7*S82,0)</f>
        <v>0</v>
      </c>
      <c r="R82" s="238">
        <v>2</v>
      </c>
      <c r="S82" s="9">
        <f t="shared" ref="S82:S90" si="52">VLOOKUP(K82, rpastarratio2, 6, FALSE)*VLOOKUP(K82, rpastarratio2, 8, FALSE)</f>
        <v>0</v>
      </c>
    </row>
    <row r="83" spans="1:39" ht="21.95" customHeight="1" thickBot="1" x14ac:dyDescent="0.25">
      <c r="A83" s="266"/>
      <c r="B83" s="268"/>
      <c r="C83" s="266"/>
      <c r="D83" s="266"/>
      <c r="E83" s="266"/>
      <c r="F83" s="235">
        <v>10198</v>
      </c>
      <c r="G83" s="235" t="s">
        <v>136</v>
      </c>
      <c r="H83" s="235" t="s">
        <v>137</v>
      </c>
      <c r="I83" s="235" t="s">
        <v>62</v>
      </c>
      <c r="J83" s="236" t="s">
        <v>20</v>
      </c>
      <c r="K83" s="235">
        <v>71300</v>
      </c>
      <c r="L83" s="235" t="s">
        <v>20</v>
      </c>
      <c r="M83" s="237">
        <f t="shared" si="49"/>
        <v>0</v>
      </c>
      <c r="N83" s="237">
        <f t="shared" si="49"/>
        <v>2451</v>
      </c>
      <c r="O83" s="237">
        <f t="shared" si="49"/>
        <v>2379</v>
      </c>
      <c r="P83" s="237">
        <f t="shared" si="50"/>
        <v>2378</v>
      </c>
      <c r="Q83" s="237">
        <f t="shared" si="51"/>
        <v>7208</v>
      </c>
      <c r="R83" s="238">
        <v>3</v>
      </c>
      <c r="S83" s="9">
        <f t="shared" si="52"/>
        <v>3.3050259712268187E-2</v>
      </c>
      <c r="U83" s="1">
        <f>Q83/2</f>
        <v>3604</v>
      </c>
    </row>
    <row r="84" spans="1:39" ht="21.95" customHeight="1" thickBot="1" x14ac:dyDescent="0.25">
      <c r="A84" s="266"/>
      <c r="B84" s="268"/>
      <c r="C84" s="266"/>
      <c r="D84" s="266"/>
      <c r="E84" s="266"/>
      <c r="F84" s="235">
        <v>10198</v>
      </c>
      <c r="G84" s="235" t="s">
        <v>136</v>
      </c>
      <c r="H84" s="235" t="s">
        <v>137</v>
      </c>
      <c r="I84" s="235" t="s">
        <v>62</v>
      </c>
      <c r="J84" s="236" t="s">
        <v>21</v>
      </c>
      <c r="K84" s="235">
        <v>71400</v>
      </c>
      <c r="L84" s="235" t="s">
        <v>22</v>
      </c>
      <c r="M84" s="237">
        <f t="shared" si="49"/>
        <v>0</v>
      </c>
      <c r="N84" s="237">
        <f t="shared" si="49"/>
        <v>0</v>
      </c>
      <c r="O84" s="237">
        <f t="shared" si="49"/>
        <v>0</v>
      </c>
      <c r="P84" s="237">
        <f t="shared" si="50"/>
        <v>0</v>
      </c>
      <c r="Q84" s="237">
        <f t="shared" si="51"/>
        <v>0</v>
      </c>
      <c r="R84" s="238">
        <v>5</v>
      </c>
      <c r="S84" s="9">
        <f t="shared" si="52"/>
        <v>0</v>
      </c>
    </row>
    <row r="85" spans="1:39" ht="21.95" customHeight="1" thickBot="1" x14ac:dyDescent="0.25">
      <c r="A85" s="266"/>
      <c r="B85" s="268"/>
      <c r="C85" s="266"/>
      <c r="D85" s="266"/>
      <c r="E85" s="266"/>
      <c r="F85" s="235">
        <v>10198</v>
      </c>
      <c r="G85" s="235" t="s">
        <v>136</v>
      </c>
      <c r="H85" s="235" t="s">
        <v>137</v>
      </c>
      <c r="I85" s="235" t="s">
        <v>62</v>
      </c>
      <c r="J85" s="236" t="s">
        <v>23</v>
      </c>
      <c r="K85" s="235">
        <v>71600</v>
      </c>
      <c r="L85" s="235" t="s">
        <v>23</v>
      </c>
      <c r="M85" s="237">
        <f t="shared" si="49"/>
        <v>0</v>
      </c>
      <c r="N85" s="237">
        <f t="shared" si="49"/>
        <v>9095</v>
      </c>
      <c r="O85" s="237">
        <f t="shared" si="49"/>
        <v>8827</v>
      </c>
      <c r="P85" s="237">
        <f t="shared" si="50"/>
        <v>8827</v>
      </c>
      <c r="Q85" s="237">
        <f t="shared" si="51"/>
        <v>26749</v>
      </c>
      <c r="R85" s="238">
        <v>7</v>
      </c>
      <c r="S85" s="9">
        <f t="shared" si="52"/>
        <v>0.12264714790631912</v>
      </c>
    </row>
    <row r="86" spans="1:39" ht="21.95" customHeight="1" thickBot="1" x14ac:dyDescent="0.25">
      <c r="A86" s="266"/>
      <c r="B86" s="268"/>
      <c r="C86" s="266"/>
      <c r="D86" s="266"/>
      <c r="E86" s="266"/>
      <c r="F86" s="235">
        <v>10198</v>
      </c>
      <c r="G86" s="235" t="s">
        <v>136</v>
      </c>
      <c r="H86" s="235" t="s">
        <v>137</v>
      </c>
      <c r="I86" s="235" t="s">
        <v>62</v>
      </c>
      <c r="J86" s="236" t="s">
        <v>58</v>
      </c>
      <c r="K86" s="235">
        <v>72100</v>
      </c>
      <c r="L86" s="235" t="s">
        <v>59</v>
      </c>
      <c r="M86" s="237">
        <f t="shared" si="49"/>
        <v>0</v>
      </c>
      <c r="N86" s="237">
        <f t="shared" si="49"/>
        <v>0</v>
      </c>
      <c r="O86" s="237">
        <f t="shared" si="49"/>
        <v>0</v>
      </c>
      <c r="P86" s="237">
        <f t="shared" si="50"/>
        <v>0</v>
      </c>
      <c r="Q86" s="237">
        <f t="shared" si="51"/>
        <v>0</v>
      </c>
      <c r="R86" s="238">
        <v>12</v>
      </c>
      <c r="S86" s="9">
        <f t="shared" si="52"/>
        <v>0</v>
      </c>
    </row>
    <row r="87" spans="1:39" ht="21.95" customHeight="1" thickBot="1" x14ac:dyDescent="0.25">
      <c r="A87" s="266"/>
      <c r="B87" s="268"/>
      <c r="C87" s="266"/>
      <c r="D87" s="266"/>
      <c r="E87" s="266"/>
      <c r="F87" s="235">
        <v>10198</v>
      </c>
      <c r="G87" s="235" t="s">
        <v>136</v>
      </c>
      <c r="H87" s="235" t="s">
        <v>137</v>
      </c>
      <c r="I87" s="235" t="s">
        <v>62</v>
      </c>
      <c r="J87" s="236" t="s">
        <v>24</v>
      </c>
      <c r="K87" s="235">
        <v>72500</v>
      </c>
      <c r="L87" s="235" t="s">
        <v>25</v>
      </c>
      <c r="M87" s="237">
        <f t="shared" si="49"/>
        <v>0</v>
      </c>
      <c r="N87" s="237">
        <f t="shared" si="49"/>
        <v>774</v>
      </c>
      <c r="O87" s="237">
        <f t="shared" si="49"/>
        <v>751</v>
      </c>
      <c r="P87" s="237">
        <f t="shared" si="50"/>
        <v>751</v>
      </c>
      <c r="Q87" s="237">
        <f t="shared" si="51"/>
        <v>2276</v>
      </c>
      <c r="R87" s="238">
        <v>10</v>
      </c>
      <c r="S87" s="9">
        <f t="shared" si="52"/>
        <v>1.0434440100921327E-2</v>
      </c>
    </row>
    <row r="88" spans="1:39" ht="21.95" customHeight="1" thickBot="1" x14ac:dyDescent="0.25">
      <c r="A88" s="266"/>
      <c r="B88" s="268"/>
      <c r="C88" s="266"/>
      <c r="D88" s="266"/>
      <c r="E88" s="266"/>
      <c r="F88" s="235">
        <v>10198</v>
      </c>
      <c r="G88" s="235" t="s">
        <v>136</v>
      </c>
      <c r="H88" s="235" t="s">
        <v>137</v>
      </c>
      <c r="I88" s="235" t="s">
        <v>62</v>
      </c>
      <c r="J88" s="236" t="s">
        <v>23</v>
      </c>
      <c r="K88" s="235">
        <v>74500</v>
      </c>
      <c r="L88" s="235" t="s">
        <v>49</v>
      </c>
      <c r="M88" s="237">
        <f t="shared" si="49"/>
        <v>0</v>
      </c>
      <c r="N88" s="237">
        <f t="shared" si="49"/>
        <v>5104</v>
      </c>
      <c r="O88" s="237">
        <f t="shared" si="49"/>
        <v>4954</v>
      </c>
      <c r="P88" s="237">
        <f t="shared" si="50"/>
        <v>4955</v>
      </c>
      <c r="Q88" s="237">
        <f t="shared" si="51"/>
        <v>15013</v>
      </c>
      <c r="R88" s="238">
        <v>11</v>
      </c>
      <c r="S88" s="9">
        <f t="shared" si="52"/>
        <v>6.8837233844905948E-2</v>
      </c>
    </row>
    <row r="89" spans="1:39" ht="21.95" customHeight="1" thickBot="1" x14ac:dyDescent="0.25">
      <c r="A89" s="266"/>
      <c r="B89" s="268"/>
      <c r="C89" s="266"/>
      <c r="D89" s="266"/>
      <c r="E89" s="266"/>
      <c r="F89" s="235">
        <v>10198</v>
      </c>
      <c r="G89" s="235" t="s">
        <v>136</v>
      </c>
      <c r="H89" s="235" t="s">
        <v>137</v>
      </c>
      <c r="I89" s="235" t="s">
        <v>62</v>
      </c>
      <c r="J89" s="236" t="s">
        <v>26</v>
      </c>
      <c r="K89" s="235">
        <v>75700</v>
      </c>
      <c r="L89" s="235" t="s">
        <v>27</v>
      </c>
      <c r="M89" s="237">
        <f t="shared" si="49"/>
        <v>0</v>
      </c>
      <c r="N89" s="237">
        <f t="shared" si="49"/>
        <v>4002</v>
      </c>
      <c r="O89" s="237">
        <f t="shared" si="49"/>
        <v>3884</v>
      </c>
      <c r="P89" s="237">
        <f t="shared" si="50"/>
        <v>3884</v>
      </c>
      <c r="Q89" s="237">
        <f t="shared" si="51"/>
        <v>11770</v>
      </c>
      <c r="R89" s="238">
        <v>6</v>
      </c>
      <c r="S89" s="9">
        <f t="shared" si="52"/>
        <v>5.396768473753203E-2</v>
      </c>
    </row>
    <row r="90" spans="1:39" ht="21.95" customHeight="1" thickBot="1" x14ac:dyDescent="0.25">
      <c r="A90" s="266"/>
      <c r="B90" s="268"/>
      <c r="C90" s="267"/>
      <c r="D90" s="267"/>
      <c r="E90" s="267"/>
      <c r="F90" s="235">
        <v>10198</v>
      </c>
      <c r="G90" s="235" t="s">
        <v>136</v>
      </c>
      <c r="H90" s="235" t="s">
        <v>137</v>
      </c>
      <c r="I90" s="235" t="s">
        <v>62</v>
      </c>
      <c r="J90" s="236" t="s">
        <v>28</v>
      </c>
      <c r="K90" s="235">
        <v>61300</v>
      </c>
      <c r="L90" s="235" t="s">
        <v>30</v>
      </c>
      <c r="M90" s="237">
        <f t="shared" si="49"/>
        <v>0</v>
      </c>
      <c r="N90" s="237">
        <f t="shared" si="49"/>
        <v>0</v>
      </c>
      <c r="O90" s="237">
        <f t="shared" si="49"/>
        <v>0</v>
      </c>
      <c r="P90" s="237">
        <f t="shared" si="50"/>
        <v>0</v>
      </c>
      <c r="Q90" s="237">
        <f t="shared" si="51"/>
        <v>0</v>
      </c>
      <c r="R90" s="238">
        <v>4</v>
      </c>
      <c r="S90" s="9">
        <f t="shared" si="52"/>
        <v>0</v>
      </c>
    </row>
    <row r="91" spans="1:39" ht="21.95" customHeight="1" thickBot="1" x14ac:dyDescent="0.25">
      <c r="A91" s="266"/>
      <c r="B91" s="268"/>
      <c r="C91" s="270" t="s">
        <v>31</v>
      </c>
      <c r="D91" s="270"/>
      <c r="E91" s="270"/>
      <c r="F91" s="270"/>
      <c r="G91" s="270"/>
      <c r="H91" s="270"/>
      <c r="I91" s="270"/>
      <c r="J91" s="270"/>
      <c r="K91" s="270"/>
      <c r="L91" s="270"/>
      <c r="M91" s="237">
        <f>SUM(M82:M90)</f>
        <v>0</v>
      </c>
      <c r="N91" s="237">
        <f t="shared" ref="N91:Q91" si="53">SUM(N82:N90)</f>
        <v>21426</v>
      </c>
      <c r="O91" s="237">
        <f t="shared" si="53"/>
        <v>20795</v>
      </c>
      <c r="P91" s="237">
        <f t="shared" si="53"/>
        <v>20795</v>
      </c>
      <c r="Q91" s="237">
        <f t="shared" si="53"/>
        <v>63016</v>
      </c>
      <c r="R91" s="238"/>
      <c r="T91" s="17"/>
      <c r="AC91" s="11"/>
      <c r="AE91" s="15"/>
      <c r="AF91" s="12"/>
      <c r="AG91" s="13"/>
    </row>
    <row r="92" spans="1:39" ht="21.95" customHeight="1" thickBot="1" x14ac:dyDescent="0.25">
      <c r="A92" s="267"/>
      <c r="B92" s="270" t="s">
        <v>63</v>
      </c>
      <c r="C92" s="270"/>
      <c r="D92" s="270"/>
      <c r="E92" s="270"/>
      <c r="F92" s="270"/>
      <c r="G92" s="270"/>
      <c r="H92" s="270"/>
      <c r="I92" s="270"/>
      <c r="J92" s="270"/>
      <c r="K92" s="270"/>
      <c r="L92" s="270"/>
      <c r="M92" s="237">
        <f>M91</f>
        <v>0</v>
      </c>
      <c r="N92" s="237">
        <f t="shared" ref="N92:Q92" si="54">N91</f>
        <v>21426</v>
      </c>
      <c r="O92" s="237">
        <f t="shared" si="54"/>
        <v>20795</v>
      </c>
      <c r="P92" s="237">
        <f t="shared" si="54"/>
        <v>20795</v>
      </c>
      <c r="Q92" s="237">
        <f t="shared" si="54"/>
        <v>63016</v>
      </c>
      <c r="R92" s="238"/>
      <c r="T92" s="10"/>
      <c r="AC92" s="11"/>
      <c r="AF92" s="12"/>
      <c r="AG92" s="13"/>
    </row>
    <row r="93" spans="1:39" ht="21.95" customHeight="1" thickBot="1" x14ac:dyDescent="0.25">
      <c r="A93" s="271" t="s">
        <v>64</v>
      </c>
      <c r="B93" s="272"/>
      <c r="C93" s="272"/>
      <c r="D93" s="272"/>
      <c r="E93" s="272"/>
      <c r="F93" s="272"/>
      <c r="G93" s="272"/>
      <c r="H93" s="272"/>
      <c r="I93" s="272"/>
      <c r="J93" s="272"/>
      <c r="K93" s="272"/>
      <c r="L93" s="273"/>
      <c r="M93" s="237">
        <f>M81+M92</f>
        <v>0</v>
      </c>
      <c r="N93" s="237">
        <f t="shared" ref="N93:Q93" si="55">N81+N92</f>
        <v>21426</v>
      </c>
      <c r="O93" s="237">
        <f t="shared" si="55"/>
        <v>20795</v>
      </c>
      <c r="P93" s="237">
        <f t="shared" si="55"/>
        <v>20795</v>
      </c>
      <c r="Q93" s="237">
        <f t="shared" si="55"/>
        <v>63016</v>
      </c>
      <c r="R93" s="238"/>
      <c r="U93" s="14"/>
      <c r="AC93" s="15"/>
      <c r="AM93" s="16"/>
    </row>
    <row r="94" spans="1:39" ht="21.95" customHeight="1" thickBot="1" x14ac:dyDescent="0.25">
      <c r="A94" s="265" t="s">
        <v>65</v>
      </c>
      <c r="B94" s="268" t="s">
        <v>66</v>
      </c>
      <c r="C94" s="268" t="s">
        <v>17</v>
      </c>
      <c r="D94" s="268">
        <v>62000</v>
      </c>
      <c r="E94" s="268">
        <v>10003</v>
      </c>
      <c r="F94" s="235">
        <v>10198</v>
      </c>
      <c r="G94" s="235" t="s">
        <v>136</v>
      </c>
      <c r="H94" s="235" t="s">
        <v>137</v>
      </c>
      <c r="I94" s="235" t="s">
        <v>66</v>
      </c>
      <c r="J94" s="236" t="s">
        <v>21</v>
      </c>
      <c r="K94" s="235">
        <v>71400</v>
      </c>
      <c r="L94" s="235" t="s">
        <v>22</v>
      </c>
      <c r="M94" s="237">
        <f t="shared" ref="M94:O108" si="56">ROUND(M$2*$Q94,0)</f>
        <v>0</v>
      </c>
      <c r="N94" s="237">
        <f t="shared" si="56"/>
        <v>0</v>
      </c>
      <c r="O94" s="237">
        <f t="shared" si="56"/>
        <v>0</v>
      </c>
      <c r="P94" s="237">
        <f t="shared" ref="P94:P108" si="57">Q94-SUM(M94:O94)</f>
        <v>0</v>
      </c>
      <c r="Q94" s="237">
        <f t="shared" ref="Q94:Q104" si="58">ROUND($V$6*S94,0)</f>
        <v>0</v>
      </c>
      <c r="R94" s="238">
        <v>5</v>
      </c>
      <c r="S94" s="9">
        <f t="shared" ref="S94:S108" si="59">VLOOKUP(K94, rpacoreratio2, 7, FALSE)*VLOOKUP(K94, rpacoreratio2, 8, FALSE)</f>
        <v>0</v>
      </c>
    </row>
    <row r="95" spans="1:39" ht="21.95" customHeight="1" thickBot="1" x14ac:dyDescent="0.25">
      <c r="A95" s="266"/>
      <c r="B95" s="268"/>
      <c r="C95" s="268"/>
      <c r="D95" s="268"/>
      <c r="E95" s="268"/>
      <c r="F95" s="235">
        <v>10198</v>
      </c>
      <c r="G95" s="235" t="s">
        <v>136</v>
      </c>
      <c r="H95" s="235" t="s">
        <v>137</v>
      </c>
      <c r="I95" s="235" t="s">
        <v>66</v>
      </c>
      <c r="J95" s="236" t="s">
        <v>23</v>
      </c>
      <c r="K95" s="235">
        <v>71600</v>
      </c>
      <c r="L95" s="235" t="s">
        <v>23</v>
      </c>
      <c r="M95" s="237">
        <f t="shared" si="56"/>
        <v>0</v>
      </c>
      <c r="N95" s="237">
        <f t="shared" si="56"/>
        <v>0</v>
      </c>
      <c r="O95" s="237">
        <f t="shared" si="56"/>
        <v>0</v>
      </c>
      <c r="P95" s="237">
        <f t="shared" si="57"/>
        <v>0</v>
      </c>
      <c r="Q95" s="237">
        <f t="shared" si="58"/>
        <v>0</v>
      </c>
      <c r="R95" s="238">
        <v>7</v>
      </c>
      <c r="S95" s="9">
        <f t="shared" si="59"/>
        <v>5.6915115380531692E-2</v>
      </c>
    </row>
    <row r="96" spans="1:39" ht="21.95" customHeight="1" thickBot="1" x14ac:dyDescent="0.25">
      <c r="A96" s="266"/>
      <c r="B96" s="268"/>
      <c r="C96" s="268"/>
      <c r="D96" s="268"/>
      <c r="E96" s="268"/>
      <c r="F96" s="235">
        <v>10198</v>
      </c>
      <c r="G96" s="235" t="s">
        <v>136</v>
      </c>
      <c r="H96" s="235" t="s">
        <v>137</v>
      </c>
      <c r="I96" s="235" t="s">
        <v>66</v>
      </c>
      <c r="J96" s="236" t="s">
        <v>58</v>
      </c>
      <c r="K96" s="235">
        <v>72200</v>
      </c>
      <c r="L96" s="235" t="s">
        <v>67</v>
      </c>
      <c r="M96" s="237">
        <f t="shared" si="56"/>
        <v>0</v>
      </c>
      <c r="N96" s="237">
        <f t="shared" si="56"/>
        <v>0</v>
      </c>
      <c r="O96" s="237">
        <f t="shared" si="56"/>
        <v>0</v>
      </c>
      <c r="P96" s="237">
        <f t="shared" si="57"/>
        <v>0</v>
      </c>
      <c r="Q96" s="237">
        <f t="shared" si="58"/>
        <v>0</v>
      </c>
      <c r="R96" s="238">
        <v>13</v>
      </c>
      <c r="S96" s="9">
        <f t="shared" si="59"/>
        <v>4.1175449532389972E-3</v>
      </c>
    </row>
    <row r="97" spans="1:39" ht="21.95" customHeight="1" thickBot="1" x14ac:dyDescent="0.25">
      <c r="A97" s="266"/>
      <c r="B97" s="268"/>
      <c r="C97" s="268"/>
      <c r="D97" s="268"/>
      <c r="E97" s="268"/>
      <c r="F97" s="235">
        <v>10198</v>
      </c>
      <c r="G97" s="235" t="s">
        <v>136</v>
      </c>
      <c r="H97" s="235" t="s">
        <v>137</v>
      </c>
      <c r="I97" s="235" t="s">
        <v>66</v>
      </c>
      <c r="J97" s="236" t="s">
        <v>58</v>
      </c>
      <c r="K97" s="235">
        <v>72300</v>
      </c>
      <c r="L97" s="235" t="s">
        <v>68</v>
      </c>
      <c r="M97" s="237">
        <f t="shared" si="56"/>
        <v>0</v>
      </c>
      <c r="N97" s="237">
        <f t="shared" si="56"/>
        <v>0</v>
      </c>
      <c r="O97" s="237">
        <f t="shared" si="56"/>
        <v>0</v>
      </c>
      <c r="P97" s="237">
        <f t="shared" si="57"/>
        <v>0</v>
      </c>
      <c r="Q97" s="237">
        <f t="shared" si="58"/>
        <v>0</v>
      </c>
      <c r="R97" s="238">
        <v>14</v>
      </c>
      <c r="S97" s="9">
        <f t="shared" si="59"/>
        <v>0</v>
      </c>
    </row>
    <row r="98" spans="1:39" ht="21.95" customHeight="1" thickBot="1" x14ac:dyDescent="0.25">
      <c r="A98" s="266"/>
      <c r="B98" s="268"/>
      <c r="C98" s="268"/>
      <c r="D98" s="268"/>
      <c r="E98" s="268"/>
      <c r="F98" s="235">
        <v>10198</v>
      </c>
      <c r="G98" s="235" t="s">
        <v>136</v>
      </c>
      <c r="H98" s="235" t="s">
        <v>137</v>
      </c>
      <c r="I98" s="235" t="s">
        <v>66</v>
      </c>
      <c r="J98" s="236" t="s">
        <v>58</v>
      </c>
      <c r="K98" s="235">
        <v>72400</v>
      </c>
      <c r="L98" s="235" t="s">
        <v>69</v>
      </c>
      <c r="M98" s="237">
        <f t="shared" si="56"/>
        <v>0</v>
      </c>
      <c r="N98" s="237">
        <f t="shared" si="56"/>
        <v>0</v>
      </c>
      <c r="O98" s="237">
        <f t="shared" si="56"/>
        <v>0</v>
      </c>
      <c r="P98" s="237">
        <f t="shared" si="57"/>
        <v>0</v>
      </c>
      <c r="Q98" s="237">
        <f t="shared" si="58"/>
        <v>0</v>
      </c>
      <c r="R98" s="238">
        <v>15</v>
      </c>
      <c r="S98" s="9">
        <f t="shared" si="59"/>
        <v>2.9308038162332007E-2</v>
      </c>
    </row>
    <row r="99" spans="1:39" ht="21.95" customHeight="1" thickBot="1" x14ac:dyDescent="0.25">
      <c r="A99" s="266"/>
      <c r="B99" s="268"/>
      <c r="C99" s="268"/>
      <c r="D99" s="268"/>
      <c r="E99" s="268"/>
      <c r="F99" s="235">
        <v>10198</v>
      </c>
      <c r="G99" s="235" t="s">
        <v>136</v>
      </c>
      <c r="H99" s="235" t="s">
        <v>137</v>
      </c>
      <c r="I99" s="235" t="s">
        <v>66</v>
      </c>
      <c r="J99" s="236" t="s">
        <v>24</v>
      </c>
      <c r="K99" s="235">
        <v>72500</v>
      </c>
      <c r="L99" s="235" t="s">
        <v>25</v>
      </c>
      <c r="M99" s="237">
        <f t="shared" si="56"/>
        <v>0</v>
      </c>
      <c r="N99" s="237">
        <f t="shared" si="56"/>
        <v>0</v>
      </c>
      <c r="O99" s="237">
        <f t="shared" si="56"/>
        <v>0</v>
      </c>
      <c r="P99" s="237">
        <f t="shared" si="57"/>
        <v>0</v>
      </c>
      <c r="Q99" s="237">
        <f t="shared" si="58"/>
        <v>0</v>
      </c>
      <c r="R99" s="238">
        <v>10</v>
      </c>
      <c r="S99" s="9">
        <f t="shared" si="59"/>
        <v>2.6641668787012567E-2</v>
      </c>
    </row>
    <row r="100" spans="1:39" ht="21.95" customHeight="1" thickBot="1" x14ac:dyDescent="0.25">
      <c r="A100" s="266"/>
      <c r="B100" s="268"/>
      <c r="C100" s="268"/>
      <c r="D100" s="268"/>
      <c r="E100" s="268"/>
      <c r="F100" s="235">
        <v>10198</v>
      </c>
      <c r="G100" s="235" t="s">
        <v>136</v>
      </c>
      <c r="H100" s="235" t="s">
        <v>137</v>
      </c>
      <c r="I100" s="235" t="s">
        <v>66</v>
      </c>
      <c r="J100" s="236" t="s">
        <v>58</v>
      </c>
      <c r="K100" s="235">
        <v>72800</v>
      </c>
      <c r="L100" s="235" t="s">
        <v>70</v>
      </c>
      <c r="M100" s="237">
        <f t="shared" si="56"/>
        <v>0</v>
      </c>
      <c r="N100" s="237">
        <f t="shared" si="56"/>
        <v>0</v>
      </c>
      <c r="O100" s="237">
        <f t="shared" si="56"/>
        <v>0</v>
      </c>
      <c r="P100" s="237">
        <f t="shared" si="57"/>
        <v>0</v>
      </c>
      <c r="Q100" s="237">
        <f t="shared" si="58"/>
        <v>0</v>
      </c>
      <c r="R100" s="238">
        <v>16</v>
      </c>
      <c r="S100" s="9">
        <f t="shared" si="59"/>
        <v>1.8691554973581184E-2</v>
      </c>
    </row>
    <row r="101" spans="1:39" ht="21.95" customHeight="1" thickBot="1" x14ac:dyDescent="0.25">
      <c r="A101" s="266"/>
      <c r="B101" s="268"/>
      <c r="C101" s="268"/>
      <c r="D101" s="268"/>
      <c r="E101" s="268"/>
      <c r="F101" s="235">
        <v>10198</v>
      </c>
      <c r="G101" s="235" t="s">
        <v>136</v>
      </c>
      <c r="H101" s="235" t="s">
        <v>137</v>
      </c>
      <c r="I101" s="235" t="s">
        <v>66</v>
      </c>
      <c r="J101" s="236" t="s">
        <v>71</v>
      </c>
      <c r="K101" s="235">
        <v>73100</v>
      </c>
      <c r="L101" s="235" t="s">
        <v>72</v>
      </c>
      <c r="M101" s="237">
        <f t="shared" si="56"/>
        <v>0</v>
      </c>
      <c r="N101" s="237">
        <f t="shared" si="56"/>
        <v>0</v>
      </c>
      <c r="O101" s="237">
        <f t="shared" si="56"/>
        <v>0</v>
      </c>
      <c r="P101" s="237">
        <f t="shared" si="57"/>
        <v>0</v>
      </c>
      <c r="Q101" s="237">
        <f t="shared" si="58"/>
        <v>0</v>
      </c>
      <c r="R101" s="238">
        <v>8</v>
      </c>
      <c r="S101" s="9">
        <f t="shared" si="59"/>
        <v>0.24067130035998208</v>
      </c>
    </row>
    <row r="102" spans="1:39" ht="21.95" customHeight="1" thickBot="1" x14ac:dyDescent="0.25">
      <c r="A102" s="266"/>
      <c r="B102" s="268"/>
      <c r="C102" s="268"/>
      <c r="D102" s="268"/>
      <c r="E102" s="268"/>
      <c r="F102" s="235">
        <v>10198</v>
      </c>
      <c r="G102" s="235" t="s">
        <v>136</v>
      </c>
      <c r="H102" s="235" t="s">
        <v>137</v>
      </c>
      <c r="I102" s="235" t="s">
        <v>66</v>
      </c>
      <c r="J102" s="236" t="s">
        <v>58</v>
      </c>
      <c r="K102" s="235">
        <v>73400</v>
      </c>
      <c r="L102" s="235" t="s">
        <v>73</v>
      </c>
      <c r="M102" s="237">
        <f t="shared" si="56"/>
        <v>0</v>
      </c>
      <c r="N102" s="237">
        <f t="shared" si="56"/>
        <v>0</v>
      </c>
      <c r="O102" s="237">
        <f t="shared" si="56"/>
        <v>0</v>
      </c>
      <c r="P102" s="237">
        <f t="shared" si="57"/>
        <v>0</v>
      </c>
      <c r="Q102" s="237">
        <f t="shared" si="58"/>
        <v>0</v>
      </c>
      <c r="R102" s="238">
        <v>17</v>
      </c>
      <c r="S102" s="9">
        <f t="shared" si="59"/>
        <v>1.4149355187683213E-2</v>
      </c>
    </row>
    <row r="103" spans="1:39" ht="21.95" customHeight="1" thickBot="1" x14ac:dyDescent="0.25">
      <c r="A103" s="266"/>
      <c r="B103" s="268"/>
      <c r="C103" s="268"/>
      <c r="D103" s="268"/>
      <c r="E103" s="268"/>
      <c r="F103" s="235">
        <v>10198</v>
      </c>
      <c r="G103" s="235" t="s">
        <v>136</v>
      </c>
      <c r="H103" s="235" t="s">
        <v>137</v>
      </c>
      <c r="I103" s="235" t="s">
        <v>66</v>
      </c>
      <c r="J103" s="236" t="s">
        <v>74</v>
      </c>
      <c r="K103" s="235">
        <v>74100</v>
      </c>
      <c r="L103" s="235" t="s">
        <v>75</v>
      </c>
      <c r="M103" s="237">
        <f t="shared" si="56"/>
        <v>0</v>
      </c>
      <c r="N103" s="237">
        <f t="shared" si="56"/>
        <v>0</v>
      </c>
      <c r="O103" s="237">
        <f t="shared" si="56"/>
        <v>0</v>
      </c>
      <c r="P103" s="237">
        <f t="shared" si="57"/>
        <v>0</v>
      </c>
      <c r="Q103" s="237">
        <f t="shared" si="58"/>
        <v>0</v>
      </c>
      <c r="R103" s="238">
        <v>9</v>
      </c>
      <c r="S103" s="9">
        <f t="shared" si="59"/>
        <v>3.815690544271403E-2</v>
      </c>
    </row>
    <row r="104" spans="1:39" ht="21.95" customHeight="1" thickBot="1" x14ac:dyDescent="0.25">
      <c r="A104" s="266"/>
      <c r="B104" s="268"/>
      <c r="C104" s="268"/>
      <c r="D104" s="268"/>
      <c r="E104" s="268"/>
      <c r="F104" s="235">
        <v>10198</v>
      </c>
      <c r="G104" s="235" t="s">
        <v>136</v>
      </c>
      <c r="H104" s="235" t="s">
        <v>137</v>
      </c>
      <c r="I104" s="235" t="s">
        <v>66</v>
      </c>
      <c r="J104" s="236" t="s">
        <v>58</v>
      </c>
      <c r="K104" s="235">
        <v>74200</v>
      </c>
      <c r="L104" s="235" t="s">
        <v>76</v>
      </c>
      <c r="M104" s="237">
        <f t="shared" si="56"/>
        <v>0</v>
      </c>
      <c r="N104" s="237">
        <f t="shared" si="56"/>
        <v>0</v>
      </c>
      <c r="O104" s="237">
        <f t="shared" si="56"/>
        <v>0</v>
      </c>
      <c r="P104" s="237">
        <f t="shared" si="57"/>
        <v>0</v>
      </c>
      <c r="Q104" s="237">
        <f t="shared" si="58"/>
        <v>0</v>
      </c>
      <c r="R104" s="238">
        <v>18</v>
      </c>
      <c r="S104" s="9">
        <f t="shared" si="59"/>
        <v>1.3277683439354114E-2</v>
      </c>
    </row>
    <row r="105" spans="1:39" ht="21.95" customHeight="1" thickBot="1" x14ac:dyDescent="0.25">
      <c r="A105" s="266"/>
      <c r="B105" s="268"/>
      <c r="C105" s="268"/>
      <c r="D105" s="268"/>
      <c r="E105" s="268"/>
      <c r="F105" s="235">
        <v>10198</v>
      </c>
      <c r="G105" s="235" t="s">
        <v>136</v>
      </c>
      <c r="H105" s="235" t="s">
        <v>137</v>
      </c>
      <c r="I105" s="235" t="s">
        <v>66</v>
      </c>
      <c r="J105" s="236" t="s">
        <v>23</v>
      </c>
      <c r="K105" s="235">
        <v>74500</v>
      </c>
      <c r="L105" s="235" t="s">
        <v>49</v>
      </c>
      <c r="M105" s="237">
        <f t="shared" si="56"/>
        <v>0</v>
      </c>
      <c r="N105" s="237">
        <f t="shared" si="56"/>
        <v>0</v>
      </c>
      <c r="O105" s="237">
        <f t="shared" si="56"/>
        <v>0</v>
      </c>
      <c r="P105" s="237">
        <f t="shared" si="57"/>
        <v>0</v>
      </c>
      <c r="Q105" s="237">
        <f>V6-SUM(Q12,Q25:Q32,Q57,Q80, Q94:Q104)</f>
        <v>0</v>
      </c>
      <c r="R105" s="238">
        <v>11</v>
      </c>
      <c r="S105" s="9">
        <f t="shared" si="59"/>
        <v>1.6628849467286357E-2</v>
      </c>
    </row>
    <row r="106" spans="1:39" ht="21.95" customHeight="1" thickBot="1" x14ac:dyDescent="0.25">
      <c r="A106" s="266"/>
      <c r="B106" s="268"/>
      <c r="C106" s="268"/>
      <c r="D106" s="268"/>
      <c r="E106" s="268"/>
      <c r="F106" s="235">
        <v>10198</v>
      </c>
      <c r="G106" s="235" t="s">
        <v>136</v>
      </c>
      <c r="H106" s="235" t="s">
        <v>137</v>
      </c>
      <c r="I106" s="235" t="s">
        <v>66</v>
      </c>
      <c r="J106" s="236" t="s">
        <v>23</v>
      </c>
      <c r="K106" s="235">
        <v>74700</v>
      </c>
      <c r="L106" s="235" t="s">
        <v>77</v>
      </c>
      <c r="M106" s="237">
        <f t="shared" si="56"/>
        <v>0</v>
      </c>
      <c r="N106" s="237">
        <f t="shared" si="56"/>
        <v>0</v>
      </c>
      <c r="O106" s="237">
        <f t="shared" si="56"/>
        <v>0</v>
      </c>
      <c r="P106" s="237">
        <f t="shared" si="57"/>
        <v>0</v>
      </c>
      <c r="Q106" s="237">
        <f t="shared" ref="Q106:Q108" si="60">$V$6*S106</f>
        <v>0</v>
      </c>
      <c r="R106" s="238">
        <v>19</v>
      </c>
      <c r="S106" s="9">
        <f t="shared" si="59"/>
        <v>0</v>
      </c>
    </row>
    <row r="107" spans="1:39" ht="21.95" customHeight="1" thickBot="1" x14ac:dyDescent="0.25">
      <c r="A107" s="266"/>
      <c r="B107" s="268"/>
      <c r="C107" s="268"/>
      <c r="D107" s="268"/>
      <c r="E107" s="268"/>
      <c r="F107" s="235">
        <v>10198</v>
      </c>
      <c r="G107" s="235" t="s">
        <v>136</v>
      </c>
      <c r="H107" s="235" t="s">
        <v>137</v>
      </c>
      <c r="I107" s="235" t="s">
        <v>66</v>
      </c>
      <c r="J107" s="236" t="s">
        <v>28</v>
      </c>
      <c r="K107" s="235">
        <v>61200</v>
      </c>
      <c r="L107" s="235" t="s">
        <v>29</v>
      </c>
      <c r="M107" s="237">
        <f t="shared" si="56"/>
        <v>0</v>
      </c>
      <c r="N107" s="237">
        <f t="shared" si="56"/>
        <v>0</v>
      </c>
      <c r="O107" s="237">
        <f t="shared" si="56"/>
        <v>0</v>
      </c>
      <c r="P107" s="237">
        <f t="shared" si="57"/>
        <v>0</v>
      </c>
      <c r="Q107" s="237">
        <f t="shared" si="60"/>
        <v>0</v>
      </c>
      <c r="R107" s="238">
        <v>4</v>
      </c>
      <c r="S107" s="9">
        <f t="shared" si="59"/>
        <v>0</v>
      </c>
    </row>
    <row r="108" spans="1:39" s="2" customFormat="1" ht="21.95" customHeight="1" thickBot="1" x14ac:dyDescent="0.25">
      <c r="A108" s="266"/>
      <c r="B108" s="268"/>
      <c r="C108" s="268"/>
      <c r="D108" s="268"/>
      <c r="E108" s="268"/>
      <c r="F108" s="235">
        <v>10198</v>
      </c>
      <c r="G108" s="235" t="s">
        <v>136</v>
      </c>
      <c r="H108" s="235" t="s">
        <v>137</v>
      </c>
      <c r="I108" s="235" t="s">
        <v>66</v>
      </c>
      <c r="J108" s="236" t="s">
        <v>28</v>
      </c>
      <c r="K108" s="235">
        <v>61300</v>
      </c>
      <c r="L108" s="235" t="s">
        <v>30</v>
      </c>
      <c r="M108" s="237">
        <f t="shared" si="56"/>
        <v>0</v>
      </c>
      <c r="N108" s="237">
        <f t="shared" si="56"/>
        <v>0</v>
      </c>
      <c r="O108" s="237">
        <f t="shared" si="56"/>
        <v>0</v>
      </c>
      <c r="P108" s="237">
        <f t="shared" si="57"/>
        <v>0</v>
      </c>
      <c r="Q108" s="237">
        <f t="shared" si="60"/>
        <v>0</v>
      </c>
      <c r="R108" s="238">
        <v>4</v>
      </c>
      <c r="S108" s="9">
        <f t="shared" si="59"/>
        <v>0</v>
      </c>
      <c r="U108" s="1"/>
      <c r="V108" s="1"/>
      <c r="W108" s="1"/>
      <c r="X108" s="1"/>
      <c r="Y108" s="1"/>
      <c r="Z108" s="1"/>
      <c r="AA108" s="1"/>
      <c r="AB108" s="1"/>
      <c r="AC108" s="1"/>
      <c r="AD108" s="1"/>
      <c r="AE108" s="1"/>
      <c r="AF108" s="1"/>
      <c r="AG108" s="1"/>
      <c r="AH108" s="1"/>
      <c r="AI108" s="1"/>
      <c r="AJ108" s="1"/>
      <c r="AK108" s="1"/>
      <c r="AL108" s="1"/>
      <c r="AM108" s="1"/>
    </row>
    <row r="109" spans="1:39" s="2" customFormat="1" ht="21.95" customHeight="1" thickBot="1" x14ac:dyDescent="0.25">
      <c r="A109" s="266"/>
      <c r="B109" s="268"/>
      <c r="C109" s="269" t="s">
        <v>31</v>
      </c>
      <c r="D109" s="269"/>
      <c r="E109" s="269"/>
      <c r="F109" s="269"/>
      <c r="G109" s="269"/>
      <c r="H109" s="269"/>
      <c r="I109" s="269"/>
      <c r="J109" s="269"/>
      <c r="K109" s="269"/>
      <c r="L109" s="269"/>
      <c r="M109" s="237">
        <f>SUM(M94:M108)</f>
        <v>0</v>
      </c>
      <c r="N109" s="237">
        <f t="shared" ref="N109:Q109" si="61">SUM(N94:N108)</f>
        <v>0</v>
      </c>
      <c r="O109" s="237">
        <f t="shared" si="61"/>
        <v>0</v>
      </c>
      <c r="P109" s="237">
        <f t="shared" si="61"/>
        <v>0</v>
      </c>
      <c r="Q109" s="237">
        <f t="shared" si="61"/>
        <v>0</v>
      </c>
      <c r="R109" s="238"/>
      <c r="S109" s="9"/>
      <c r="U109" s="1"/>
      <c r="V109" s="1"/>
      <c r="W109" s="1"/>
      <c r="X109" s="1"/>
      <c r="Y109" s="1"/>
      <c r="Z109" s="1"/>
      <c r="AA109" s="1"/>
      <c r="AB109" s="1"/>
      <c r="AC109" s="1"/>
      <c r="AD109" s="1"/>
      <c r="AE109" s="1"/>
      <c r="AF109" s="1"/>
      <c r="AG109" s="1"/>
      <c r="AH109" s="1"/>
      <c r="AI109" s="1"/>
      <c r="AJ109" s="1"/>
      <c r="AK109" s="1"/>
      <c r="AL109" s="1"/>
      <c r="AM109" s="1"/>
    </row>
    <row r="110" spans="1:39" s="2" customFormat="1" ht="21.95" customHeight="1" thickBot="1" x14ac:dyDescent="0.25">
      <c r="A110" s="266"/>
      <c r="B110" s="269" t="s">
        <v>78</v>
      </c>
      <c r="C110" s="269"/>
      <c r="D110" s="269"/>
      <c r="E110" s="269"/>
      <c r="F110" s="269"/>
      <c r="G110" s="269"/>
      <c r="H110" s="269"/>
      <c r="I110" s="269"/>
      <c r="J110" s="269"/>
      <c r="K110" s="269"/>
      <c r="L110" s="269"/>
      <c r="M110" s="237">
        <f>M109</f>
        <v>0</v>
      </c>
      <c r="N110" s="237">
        <f t="shared" ref="N110:Q110" si="62">N109</f>
        <v>0</v>
      </c>
      <c r="O110" s="237">
        <f t="shared" si="62"/>
        <v>0</v>
      </c>
      <c r="P110" s="237">
        <f t="shared" si="62"/>
        <v>0</v>
      </c>
      <c r="Q110" s="237">
        <f t="shared" si="62"/>
        <v>0</v>
      </c>
      <c r="R110" s="238"/>
      <c r="S110" s="9"/>
      <c r="U110" s="1"/>
      <c r="V110" s="1"/>
      <c r="W110" s="1"/>
      <c r="X110" s="1"/>
      <c r="Y110" s="1"/>
      <c r="Z110" s="1"/>
      <c r="AA110" s="1"/>
      <c r="AB110" s="1"/>
      <c r="AC110" s="1"/>
      <c r="AD110" s="1"/>
      <c r="AE110" s="1"/>
      <c r="AF110" s="1"/>
      <c r="AG110" s="1"/>
      <c r="AH110" s="1"/>
      <c r="AI110" s="1"/>
      <c r="AJ110" s="1"/>
      <c r="AK110" s="1"/>
      <c r="AL110" s="1"/>
      <c r="AM110" s="1"/>
    </row>
    <row r="111" spans="1:39" s="2" customFormat="1" ht="21.95" customHeight="1" thickBot="1" x14ac:dyDescent="0.25">
      <c r="A111" s="266"/>
      <c r="B111" s="265" t="s">
        <v>79</v>
      </c>
      <c r="C111" s="265" t="s">
        <v>17</v>
      </c>
      <c r="D111" s="265">
        <v>62000</v>
      </c>
      <c r="E111" s="265">
        <v>10003</v>
      </c>
      <c r="F111" s="235">
        <v>10198</v>
      </c>
      <c r="G111" s="235" t="s">
        <v>136</v>
      </c>
      <c r="H111" s="235" t="s">
        <v>137</v>
      </c>
      <c r="I111" s="235" t="s">
        <v>79</v>
      </c>
      <c r="J111" s="236" t="s">
        <v>21</v>
      </c>
      <c r="K111" s="235">
        <v>71400</v>
      </c>
      <c r="L111" s="235" t="s">
        <v>22</v>
      </c>
      <c r="M111" s="237">
        <f t="shared" ref="M111:O125" si="63">ROUND(M$2*$Q111,0)</f>
        <v>0</v>
      </c>
      <c r="N111" s="237">
        <f t="shared" si="63"/>
        <v>0</v>
      </c>
      <c r="O111" s="237">
        <f t="shared" si="63"/>
        <v>0</v>
      </c>
      <c r="P111" s="237">
        <f t="shared" ref="P111:P125" si="64">Q111-SUM(M111:O111)</f>
        <v>0</v>
      </c>
      <c r="Q111" s="237">
        <f t="shared" ref="Q111:Q121" si="65">ROUND($V$7*S111,0)</f>
        <v>0</v>
      </c>
      <c r="R111" s="238">
        <v>5</v>
      </c>
      <c r="S111" s="9">
        <f t="shared" ref="S111:S125" si="66">VLOOKUP(K111, rpastarratio2, 7, FALSE)*VLOOKUP(K111, rpastarratio2, 8, FALSE)</f>
        <v>0</v>
      </c>
      <c r="U111" s="1"/>
      <c r="V111" s="1"/>
      <c r="W111" s="1"/>
      <c r="X111" s="1"/>
      <c r="Y111" s="1"/>
      <c r="Z111" s="1"/>
      <c r="AA111" s="1"/>
      <c r="AB111" s="1"/>
      <c r="AC111" s="1"/>
      <c r="AD111" s="1"/>
      <c r="AE111" s="1"/>
      <c r="AF111" s="1"/>
      <c r="AG111" s="1"/>
      <c r="AH111" s="1"/>
      <c r="AI111" s="1"/>
      <c r="AJ111" s="1"/>
      <c r="AK111" s="1"/>
      <c r="AL111" s="1"/>
      <c r="AM111" s="1"/>
    </row>
    <row r="112" spans="1:39" s="2" customFormat="1" ht="21.95" customHeight="1" thickBot="1" x14ac:dyDescent="0.25">
      <c r="A112" s="266"/>
      <c r="B112" s="266"/>
      <c r="C112" s="266"/>
      <c r="D112" s="266"/>
      <c r="E112" s="266"/>
      <c r="F112" s="235">
        <v>10198</v>
      </c>
      <c r="G112" s="235" t="s">
        <v>136</v>
      </c>
      <c r="H112" s="235" t="s">
        <v>137</v>
      </c>
      <c r="I112" s="235" t="s">
        <v>79</v>
      </c>
      <c r="J112" s="236" t="s">
        <v>23</v>
      </c>
      <c r="K112" s="235">
        <v>71600</v>
      </c>
      <c r="L112" s="235" t="s">
        <v>23</v>
      </c>
      <c r="M112" s="237">
        <f t="shared" si="63"/>
        <v>0</v>
      </c>
      <c r="N112" s="237">
        <f t="shared" si="63"/>
        <v>4220</v>
      </c>
      <c r="O112" s="237">
        <f t="shared" si="63"/>
        <v>4096</v>
      </c>
      <c r="P112" s="237">
        <f t="shared" si="64"/>
        <v>4097</v>
      </c>
      <c r="Q112" s="237">
        <f t="shared" si="65"/>
        <v>12413</v>
      </c>
      <c r="R112" s="238">
        <v>7</v>
      </c>
      <c r="S112" s="9">
        <f t="shared" si="66"/>
        <v>5.6915115380531539E-2</v>
      </c>
      <c r="U112" s="1"/>
      <c r="V112" s="1"/>
      <c r="W112" s="1"/>
      <c r="X112" s="1"/>
      <c r="Y112" s="1"/>
      <c r="Z112" s="1"/>
      <c r="AA112" s="1"/>
      <c r="AB112" s="1"/>
      <c r="AC112" s="1"/>
      <c r="AD112" s="1"/>
      <c r="AE112" s="1"/>
      <c r="AF112" s="1"/>
      <c r="AG112" s="1"/>
      <c r="AH112" s="1"/>
      <c r="AI112" s="1"/>
      <c r="AJ112" s="1"/>
      <c r="AK112" s="1"/>
      <c r="AL112" s="1"/>
      <c r="AM112" s="1"/>
    </row>
    <row r="113" spans="1:39" s="2" customFormat="1" ht="21.95" customHeight="1" thickBot="1" x14ac:dyDescent="0.25">
      <c r="A113" s="266"/>
      <c r="B113" s="266"/>
      <c r="C113" s="266"/>
      <c r="D113" s="266"/>
      <c r="E113" s="266"/>
      <c r="F113" s="235">
        <v>10198</v>
      </c>
      <c r="G113" s="235" t="s">
        <v>136</v>
      </c>
      <c r="H113" s="235" t="s">
        <v>137</v>
      </c>
      <c r="I113" s="235" t="s">
        <v>79</v>
      </c>
      <c r="J113" s="236" t="s">
        <v>58</v>
      </c>
      <c r="K113" s="235">
        <v>72200</v>
      </c>
      <c r="L113" s="235" t="s">
        <v>67</v>
      </c>
      <c r="M113" s="237">
        <f t="shared" si="63"/>
        <v>0</v>
      </c>
      <c r="N113" s="237">
        <f t="shared" si="63"/>
        <v>305</v>
      </c>
      <c r="O113" s="237">
        <f t="shared" si="63"/>
        <v>296</v>
      </c>
      <c r="P113" s="237">
        <f t="shared" si="64"/>
        <v>297</v>
      </c>
      <c r="Q113" s="237">
        <f t="shared" si="65"/>
        <v>898</v>
      </c>
      <c r="R113" s="238">
        <v>13</v>
      </c>
      <c r="S113" s="9">
        <f t="shared" si="66"/>
        <v>4.117544953238985E-3</v>
      </c>
      <c r="U113" s="1"/>
      <c r="V113" s="1"/>
      <c r="W113" s="1"/>
      <c r="X113" s="1"/>
      <c r="Y113" s="1"/>
      <c r="Z113" s="1"/>
      <c r="AA113" s="1"/>
      <c r="AB113" s="1"/>
      <c r="AC113" s="1"/>
      <c r="AD113" s="1"/>
      <c r="AE113" s="1"/>
      <c r="AF113" s="1"/>
      <c r="AG113" s="1"/>
      <c r="AH113" s="1"/>
      <c r="AI113" s="1"/>
      <c r="AJ113" s="1"/>
      <c r="AK113" s="1"/>
      <c r="AL113" s="1"/>
      <c r="AM113" s="1"/>
    </row>
    <row r="114" spans="1:39" s="2" customFormat="1" ht="21.95" customHeight="1" thickBot="1" x14ac:dyDescent="0.25">
      <c r="A114" s="266"/>
      <c r="B114" s="266"/>
      <c r="C114" s="266"/>
      <c r="D114" s="266"/>
      <c r="E114" s="266"/>
      <c r="F114" s="235">
        <v>10198</v>
      </c>
      <c r="G114" s="235" t="s">
        <v>136</v>
      </c>
      <c r="H114" s="235" t="s">
        <v>137</v>
      </c>
      <c r="I114" s="235" t="s">
        <v>79</v>
      </c>
      <c r="J114" s="236" t="s">
        <v>58</v>
      </c>
      <c r="K114" s="235">
        <v>72300</v>
      </c>
      <c r="L114" s="235" t="s">
        <v>68</v>
      </c>
      <c r="M114" s="237">
        <f t="shared" si="63"/>
        <v>0</v>
      </c>
      <c r="N114" s="237">
        <f t="shared" si="63"/>
        <v>0</v>
      </c>
      <c r="O114" s="237">
        <f t="shared" si="63"/>
        <v>0</v>
      </c>
      <c r="P114" s="237">
        <f t="shared" si="64"/>
        <v>0</v>
      </c>
      <c r="Q114" s="237">
        <f t="shared" si="65"/>
        <v>0</v>
      </c>
      <c r="R114" s="238">
        <v>14</v>
      </c>
      <c r="S114" s="9">
        <f t="shared" si="66"/>
        <v>0</v>
      </c>
      <c r="U114" s="1"/>
      <c r="V114" s="1"/>
      <c r="W114" s="1"/>
      <c r="X114" s="1"/>
      <c r="Y114" s="1"/>
      <c r="Z114" s="1"/>
      <c r="AA114" s="1"/>
      <c r="AB114" s="1"/>
      <c r="AC114" s="1"/>
      <c r="AD114" s="1"/>
      <c r="AE114" s="1"/>
      <c r="AF114" s="1"/>
      <c r="AG114" s="1"/>
      <c r="AH114" s="1"/>
      <c r="AI114" s="1"/>
      <c r="AJ114" s="1"/>
      <c r="AK114" s="1"/>
      <c r="AL114" s="1"/>
      <c r="AM114" s="1"/>
    </row>
    <row r="115" spans="1:39" s="2" customFormat="1" ht="21.95" customHeight="1" thickBot="1" x14ac:dyDescent="0.25">
      <c r="A115" s="266"/>
      <c r="B115" s="266"/>
      <c r="C115" s="266"/>
      <c r="D115" s="266"/>
      <c r="E115" s="266"/>
      <c r="F115" s="235">
        <v>10198</v>
      </c>
      <c r="G115" s="235" t="s">
        <v>136</v>
      </c>
      <c r="H115" s="235" t="s">
        <v>137</v>
      </c>
      <c r="I115" s="235" t="s">
        <v>79</v>
      </c>
      <c r="J115" s="236" t="s">
        <v>58</v>
      </c>
      <c r="K115" s="235">
        <v>72400</v>
      </c>
      <c r="L115" s="235" t="s">
        <v>69</v>
      </c>
      <c r="M115" s="237">
        <f t="shared" si="63"/>
        <v>0</v>
      </c>
      <c r="N115" s="237">
        <f t="shared" si="63"/>
        <v>2173</v>
      </c>
      <c r="O115" s="237">
        <f t="shared" si="63"/>
        <v>2109</v>
      </c>
      <c r="P115" s="237">
        <f t="shared" si="64"/>
        <v>2110</v>
      </c>
      <c r="Q115" s="237">
        <f t="shared" si="65"/>
        <v>6392</v>
      </c>
      <c r="R115" s="238">
        <v>15</v>
      </c>
      <c r="S115" s="9">
        <f t="shared" si="66"/>
        <v>2.930803816233192E-2</v>
      </c>
      <c r="U115" s="1"/>
      <c r="V115" s="1"/>
      <c r="W115" s="1"/>
      <c r="X115" s="1"/>
      <c r="Y115" s="1"/>
      <c r="Z115" s="1"/>
      <c r="AA115" s="1"/>
      <c r="AB115" s="1"/>
      <c r="AC115" s="1"/>
      <c r="AD115" s="1"/>
      <c r="AE115" s="1"/>
      <c r="AF115" s="1"/>
      <c r="AG115" s="1"/>
      <c r="AH115" s="1"/>
      <c r="AI115" s="1"/>
      <c r="AJ115" s="1"/>
      <c r="AK115" s="1"/>
      <c r="AL115" s="1"/>
      <c r="AM115" s="1"/>
    </row>
    <row r="116" spans="1:39" s="2" customFormat="1" ht="21.95" customHeight="1" thickBot="1" x14ac:dyDescent="0.25">
      <c r="A116" s="266"/>
      <c r="B116" s="266"/>
      <c r="C116" s="266"/>
      <c r="D116" s="266"/>
      <c r="E116" s="266"/>
      <c r="F116" s="235">
        <v>10198</v>
      </c>
      <c r="G116" s="235" t="s">
        <v>136</v>
      </c>
      <c r="H116" s="235" t="s">
        <v>137</v>
      </c>
      <c r="I116" s="235" t="s">
        <v>79</v>
      </c>
      <c r="J116" s="236" t="s">
        <v>24</v>
      </c>
      <c r="K116" s="235">
        <v>72500</v>
      </c>
      <c r="L116" s="235" t="s">
        <v>25</v>
      </c>
      <c r="M116" s="237">
        <f t="shared" si="63"/>
        <v>0</v>
      </c>
      <c r="N116" s="237">
        <f t="shared" si="63"/>
        <v>1976</v>
      </c>
      <c r="O116" s="237">
        <f t="shared" si="63"/>
        <v>1918</v>
      </c>
      <c r="P116" s="237">
        <f t="shared" si="64"/>
        <v>1917</v>
      </c>
      <c r="Q116" s="237">
        <f t="shared" si="65"/>
        <v>5811</v>
      </c>
      <c r="R116" s="238">
        <v>10</v>
      </c>
      <c r="S116" s="9">
        <f t="shared" si="66"/>
        <v>2.6641668787012487E-2</v>
      </c>
      <c r="U116" s="1"/>
      <c r="V116" s="1"/>
      <c r="W116" s="1"/>
      <c r="X116" s="1"/>
      <c r="Y116" s="1"/>
      <c r="Z116" s="1"/>
      <c r="AA116" s="1"/>
      <c r="AB116" s="1"/>
      <c r="AC116" s="1"/>
      <c r="AD116" s="1"/>
      <c r="AE116" s="1"/>
      <c r="AF116" s="1"/>
      <c r="AG116" s="1"/>
      <c r="AH116" s="1"/>
      <c r="AI116" s="1"/>
      <c r="AJ116" s="1"/>
      <c r="AK116" s="1"/>
      <c r="AL116" s="1"/>
      <c r="AM116" s="1"/>
    </row>
    <row r="117" spans="1:39" s="2" customFormat="1" ht="21.95" customHeight="1" thickBot="1" x14ac:dyDescent="0.25">
      <c r="A117" s="266"/>
      <c r="B117" s="266"/>
      <c r="C117" s="266"/>
      <c r="D117" s="266"/>
      <c r="E117" s="266"/>
      <c r="F117" s="235">
        <v>10198</v>
      </c>
      <c r="G117" s="235" t="s">
        <v>136</v>
      </c>
      <c r="H117" s="235" t="s">
        <v>137</v>
      </c>
      <c r="I117" s="235" t="s">
        <v>79</v>
      </c>
      <c r="J117" s="236" t="s">
        <v>58</v>
      </c>
      <c r="K117" s="235">
        <v>72800</v>
      </c>
      <c r="L117" s="235" t="s">
        <v>70</v>
      </c>
      <c r="M117" s="237">
        <f t="shared" si="63"/>
        <v>0</v>
      </c>
      <c r="N117" s="237">
        <f t="shared" si="63"/>
        <v>1386</v>
      </c>
      <c r="O117" s="237">
        <f t="shared" si="63"/>
        <v>1345</v>
      </c>
      <c r="P117" s="237">
        <f t="shared" si="64"/>
        <v>1346</v>
      </c>
      <c r="Q117" s="237">
        <f t="shared" si="65"/>
        <v>4077</v>
      </c>
      <c r="R117" s="238">
        <v>16</v>
      </c>
      <c r="S117" s="9">
        <f t="shared" si="66"/>
        <v>1.8691554973581131E-2</v>
      </c>
      <c r="U117" s="1"/>
      <c r="V117" s="1"/>
      <c r="W117" s="1"/>
      <c r="X117" s="1"/>
      <c r="Y117" s="1"/>
      <c r="Z117" s="1"/>
      <c r="AA117" s="1"/>
      <c r="AB117" s="1"/>
      <c r="AC117" s="1"/>
      <c r="AD117" s="1"/>
      <c r="AE117" s="1"/>
      <c r="AF117" s="1"/>
      <c r="AG117" s="1"/>
      <c r="AH117" s="1"/>
      <c r="AI117" s="1"/>
      <c r="AJ117" s="1"/>
      <c r="AK117" s="1"/>
      <c r="AL117" s="1"/>
      <c r="AM117" s="1"/>
    </row>
    <row r="118" spans="1:39" s="2" customFormat="1" ht="21.95" customHeight="1" thickBot="1" x14ac:dyDescent="0.25">
      <c r="A118" s="266"/>
      <c r="B118" s="266"/>
      <c r="C118" s="266"/>
      <c r="D118" s="266"/>
      <c r="E118" s="266"/>
      <c r="F118" s="235">
        <v>10198</v>
      </c>
      <c r="G118" s="235" t="s">
        <v>136</v>
      </c>
      <c r="H118" s="235" t="s">
        <v>137</v>
      </c>
      <c r="I118" s="235" t="s">
        <v>79</v>
      </c>
      <c r="J118" s="236" t="s">
        <v>71</v>
      </c>
      <c r="K118" s="235">
        <v>73100</v>
      </c>
      <c r="L118" s="235" t="s">
        <v>72</v>
      </c>
      <c r="M118" s="237">
        <f t="shared" si="63"/>
        <v>0</v>
      </c>
      <c r="N118" s="237">
        <f t="shared" si="63"/>
        <v>17847</v>
      </c>
      <c r="O118" s="237">
        <f t="shared" si="63"/>
        <v>17322</v>
      </c>
      <c r="P118" s="237">
        <f t="shared" si="64"/>
        <v>17321</v>
      </c>
      <c r="Q118" s="237">
        <f t="shared" si="65"/>
        <v>52490</v>
      </c>
      <c r="R118" s="238">
        <v>8</v>
      </c>
      <c r="S118" s="9">
        <f t="shared" si="66"/>
        <v>0.24067130035998141</v>
      </c>
      <c r="U118" s="1"/>
      <c r="V118" s="1"/>
      <c r="W118" s="1"/>
      <c r="X118" s="1"/>
      <c r="Y118" s="1"/>
      <c r="Z118" s="1"/>
      <c r="AA118" s="1"/>
      <c r="AB118" s="1"/>
      <c r="AC118" s="1"/>
      <c r="AD118" s="1"/>
      <c r="AE118" s="1"/>
      <c r="AF118" s="1"/>
      <c r="AG118" s="1"/>
      <c r="AH118" s="1"/>
      <c r="AI118" s="1"/>
      <c r="AJ118" s="1"/>
      <c r="AK118" s="1"/>
      <c r="AL118" s="1"/>
      <c r="AM118" s="1"/>
    </row>
    <row r="119" spans="1:39" s="2" customFormat="1" ht="21.95" customHeight="1" thickBot="1" x14ac:dyDescent="0.25">
      <c r="A119" s="266"/>
      <c r="B119" s="266"/>
      <c r="C119" s="266"/>
      <c r="D119" s="266"/>
      <c r="E119" s="266"/>
      <c r="F119" s="235">
        <v>10198</v>
      </c>
      <c r="G119" s="235" t="s">
        <v>136</v>
      </c>
      <c r="H119" s="235" t="s">
        <v>137</v>
      </c>
      <c r="I119" s="235" t="s">
        <v>79</v>
      </c>
      <c r="J119" s="236" t="s">
        <v>58</v>
      </c>
      <c r="K119" s="235">
        <v>73400</v>
      </c>
      <c r="L119" s="235" t="s">
        <v>73</v>
      </c>
      <c r="M119" s="237">
        <f t="shared" si="63"/>
        <v>0</v>
      </c>
      <c r="N119" s="237">
        <f t="shared" si="63"/>
        <v>1049</v>
      </c>
      <c r="O119" s="237">
        <f t="shared" si="63"/>
        <v>1018</v>
      </c>
      <c r="P119" s="237">
        <f t="shared" si="64"/>
        <v>1019</v>
      </c>
      <c r="Q119" s="237">
        <f t="shared" si="65"/>
        <v>3086</v>
      </c>
      <c r="R119" s="238">
        <v>17</v>
      </c>
      <c r="S119" s="9">
        <f t="shared" si="66"/>
        <v>1.4149355187683173E-2</v>
      </c>
      <c r="U119" s="1"/>
      <c r="V119" s="1"/>
      <c r="W119" s="1"/>
      <c r="X119" s="1"/>
      <c r="Y119" s="1"/>
      <c r="Z119" s="1"/>
      <c r="AA119" s="1"/>
      <c r="AB119" s="1"/>
      <c r="AC119" s="1"/>
      <c r="AD119" s="1"/>
      <c r="AE119" s="1"/>
      <c r="AF119" s="1"/>
      <c r="AG119" s="1"/>
      <c r="AH119" s="1"/>
      <c r="AI119" s="1"/>
      <c r="AJ119" s="1"/>
      <c r="AK119" s="1"/>
      <c r="AL119" s="1"/>
      <c r="AM119" s="1"/>
    </row>
    <row r="120" spans="1:39" s="2" customFormat="1" ht="21.95" customHeight="1" thickBot="1" x14ac:dyDescent="0.25">
      <c r="A120" s="266"/>
      <c r="B120" s="266"/>
      <c r="C120" s="266"/>
      <c r="D120" s="266"/>
      <c r="E120" s="266"/>
      <c r="F120" s="235">
        <v>10198</v>
      </c>
      <c r="G120" s="235" t="s">
        <v>136</v>
      </c>
      <c r="H120" s="235" t="s">
        <v>137</v>
      </c>
      <c r="I120" s="235" t="s">
        <v>79</v>
      </c>
      <c r="J120" s="236" t="s">
        <v>74</v>
      </c>
      <c r="K120" s="235">
        <v>74100</v>
      </c>
      <c r="L120" s="235" t="s">
        <v>75</v>
      </c>
      <c r="M120" s="237">
        <f t="shared" si="63"/>
        <v>0</v>
      </c>
      <c r="N120" s="237">
        <f t="shared" si="63"/>
        <v>2829</v>
      </c>
      <c r="O120" s="237">
        <f t="shared" si="63"/>
        <v>2746</v>
      </c>
      <c r="P120" s="237">
        <f t="shared" si="64"/>
        <v>2747</v>
      </c>
      <c r="Q120" s="237">
        <f t="shared" si="65"/>
        <v>8322</v>
      </c>
      <c r="R120" s="238">
        <v>9</v>
      </c>
      <c r="S120" s="9">
        <f t="shared" si="66"/>
        <v>3.8156905442713912E-2</v>
      </c>
      <c r="U120" s="1"/>
      <c r="V120" s="1"/>
      <c r="W120" s="1"/>
      <c r="X120" s="1"/>
      <c r="Y120" s="1"/>
      <c r="Z120" s="1"/>
      <c r="AA120" s="1"/>
      <c r="AB120" s="1"/>
      <c r="AC120" s="1"/>
      <c r="AD120" s="1"/>
      <c r="AE120" s="1"/>
      <c r="AF120" s="1"/>
      <c r="AG120" s="1"/>
      <c r="AH120" s="1"/>
      <c r="AI120" s="1"/>
      <c r="AJ120" s="1"/>
      <c r="AK120" s="1"/>
      <c r="AL120" s="1"/>
      <c r="AM120" s="1"/>
    </row>
    <row r="121" spans="1:39" s="2" customFormat="1" ht="21.95" customHeight="1" thickBot="1" x14ac:dyDescent="0.25">
      <c r="A121" s="266"/>
      <c r="B121" s="266"/>
      <c r="C121" s="266"/>
      <c r="D121" s="266"/>
      <c r="E121" s="266"/>
      <c r="F121" s="235">
        <v>10198</v>
      </c>
      <c r="G121" s="235" t="s">
        <v>136</v>
      </c>
      <c r="H121" s="235" t="s">
        <v>137</v>
      </c>
      <c r="I121" s="235" t="s">
        <v>79</v>
      </c>
      <c r="J121" s="236" t="s">
        <v>58</v>
      </c>
      <c r="K121" s="235">
        <v>74200</v>
      </c>
      <c r="L121" s="235" t="s">
        <v>76</v>
      </c>
      <c r="M121" s="237">
        <f t="shared" si="63"/>
        <v>0</v>
      </c>
      <c r="N121" s="237">
        <f t="shared" si="63"/>
        <v>985</v>
      </c>
      <c r="O121" s="237">
        <f t="shared" si="63"/>
        <v>956</v>
      </c>
      <c r="P121" s="237">
        <f t="shared" si="64"/>
        <v>955</v>
      </c>
      <c r="Q121" s="237">
        <f t="shared" si="65"/>
        <v>2896</v>
      </c>
      <c r="R121" s="238">
        <v>18</v>
      </c>
      <c r="S121" s="9">
        <f t="shared" si="66"/>
        <v>1.3277683439354076E-2</v>
      </c>
      <c r="U121" s="1"/>
      <c r="V121" s="1"/>
      <c r="W121" s="1"/>
      <c r="X121" s="1"/>
      <c r="Y121" s="1"/>
      <c r="Z121" s="1"/>
      <c r="AA121" s="1"/>
      <c r="AB121" s="1"/>
      <c r="AC121" s="1"/>
      <c r="AD121" s="1"/>
      <c r="AE121" s="1"/>
      <c r="AF121" s="1"/>
      <c r="AG121" s="1"/>
      <c r="AH121" s="1"/>
      <c r="AI121" s="1"/>
      <c r="AJ121" s="1"/>
      <c r="AK121" s="1"/>
      <c r="AL121" s="1"/>
      <c r="AM121" s="1"/>
    </row>
    <row r="122" spans="1:39" s="2" customFormat="1" ht="21.95" customHeight="1" thickBot="1" x14ac:dyDescent="0.25">
      <c r="A122" s="266"/>
      <c r="B122" s="266"/>
      <c r="C122" s="266"/>
      <c r="D122" s="266"/>
      <c r="E122" s="266"/>
      <c r="F122" s="235">
        <v>10198</v>
      </c>
      <c r="G122" s="235" t="s">
        <v>136</v>
      </c>
      <c r="H122" s="235" t="s">
        <v>137</v>
      </c>
      <c r="I122" s="235" t="s">
        <v>79</v>
      </c>
      <c r="J122" s="236" t="s">
        <v>23</v>
      </c>
      <c r="K122" s="235">
        <v>74500</v>
      </c>
      <c r="L122" s="235" t="s">
        <v>49</v>
      </c>
      <c r="M122" s="237">
        <f t="shared" si="63"/>
        <v>0</v>
      </c>
      <c r="N122" s="237">
        <f t="shared" si="63"/>
        <v>1234</v>
      </c>
      <c r="O122" s="237">
        <f t="shared" si="63"/>
        <v>1197</v>
      </c>
      <c r="P122" s="237">
        <f t="shared" si="64"/>
        <v>1197</v>
      </c>
      <c r="Q122" s="237">
        <f>V7-SUM(Q22,Q36:Q43,Q68,Q91,Q111:Q121)</f>
        <v>3628</v>
      </c>
      <c r="R122" s="238">
        <v>11</v>
      </c>
      <c r="S122" s="9">
        <f t="shared" si="66"/>
        <v>1.6628849467286311E-2</v>
      </c>
      <c r="U122" s="1"/>
      <c r="V122" s="1"/>
      <c r="W122" s="1"/>
      <c r="X122" s="1"/>
      <c r="Y122" s="1"/>
      <c r="Z122" s="1"/>
      <c r="AA122" s="1"/>
      <c r="AB122" s="1"/>
      <c r="AC122" s="1"/>
      <c r="AD122" s="1"/>
      <c r="AE122" s="1"/>
      <c r="AF122" s="1"/>
      <c r="AG122" s="1"/>
      <c r="AH122" s="1"/>
      <c r="AI122" s="1"/>
      <c r="AJ122" s="1"/>
      <c r="AK122" s="1"/>
      <c r="AL122" s="1"/>
      <c r="AM122" s="1"/>
    </row>
    <row r="123" spans="1:39" s="2" customFormat="1" ht="21.95" customHeight="1" thickBot="1" x14ac:dyDescent="0.25">
      <c r="A123" s="266"/>
      <c r="B123" s="266"/>
      <c r="C123" s="266"/>
      <c r="D123" s="266"/>
      <c r="E123" s="266"/>
      <c r="F123" s="235">
        <v>10198</v>
      </c>
      <c r="G123" s="235" t="s">
        <v>136</v>
      </c>
      <c r="H123" s="235" t="s">
        <v>137</v>
      </c>
      <c r="I123" s="235" t="s">
        <v>79</v>
      </c>
      <c r="J123" s="236" t="s">
        <v>23</v>
      </c>
      <c r="K123" s="235">
        <v>74700</v>
      </c>
      <c r="L123" s="235" t="s">
        <v>77</v>
      </c>
      <c r="M123" s="237">
        <f t="shared" si="63"/>
        <v>0</v>
      </c>
      <c r="N123" s="237">
        <f t="shared" si="63"/>
        <v>0</v>
      </c>
      <c r="O123" s="237">
        <f t="shared" si="63"/>
        <v>0</v>
      </c>
      <c r="P123" s="237">
        <f t="shared" si="64"/>
        <v>0</v>
      </c>
      <c r="Q123" s="237">
        <f t="shared" ref="Q123:Q125" si="67">$V$7*S123</f>
        <v>0</v>
      </c>
      <c r="R123" s="238">
        <v>19</v>
      </c>
      <c r="S123" s="9">
        <f t="shared" si="66"/>
        <v>0</v>
      </c>
      <c r="U123" s="1"/>
      <c r="V123" s="1"/>
      <c r="W123" s="1"/>
      <c r="X123" s="1"/>
      <c r="Y123" s="1"/>
      <c r="Z123" s="1"/>
      <c r="AA123" s="1"/>
      <c r="AB123" s="1"/>
      <c r="AC123" s="1"/>
      <c r="AD123" s="1"/>
      <c r="AE123" s="1"/>
      <c r="AF123" s="1"/>
      <c r="AG123" s="1"/>
      <c r="AH123" s="1"/>
      <c r="AI123" s="1"/>
      <c r="AJ123" s="1"/>
      <c r="AK123" s="1"/>
      <c r="AL123" s="1"/>
      <c r="AM123" s="1"/>
    </row>
    <row r="124" spans="1:39" s="2" customFormat="1" ht="21.95" customHeight="1" thickBot="1" x14ac:dyDescent="0.25">
      <c r="A124" s="266"/>
      <c r="B124" s="266"/>
      <c r="C124" s="266"/>
      <c r="D124" s="266"/>
      <c r="E124" s="266"/>
      <c r="F124" s="235">
        <v>10198</v>
      </c>
      <c r="G124" s="235" t="s">
        <v>136</v>
      </c>
      <c r="H124" s="235" t="s">
        <v>137</v>
      </c>
      <c r="I124" s="235" t="s">
        <v>79</v>
      </c>
      <c r="J124" s="236" t="s">
        <v>28</v>
      </c>
      <c r="K124" s="235">
        <v>61200</v>
      </c>
      <c r="L124" s="235" t="s">
        <v>29</v>
      </c>
      <c r="M124" s="237">
        <f t="shared" si="63"/>
        <v>0</v>
      </c>
      <c r="N124" s="237">
        <f t="shared" si="63"/>
        <v>0</v>
      </c>
      <c r="O124" s="237">
        <f t="shared" si="63"/>
        <v>0</v>
      </c>
      <c r="P124" s="237">
        <f t="shared" si="64"/>
        <v>0</v>
      </c>
      <c r="Q124" s="237">
        <f t="shared" si="67"/>
        <v>0</v>
      </c>
      <c r="R124" s="238">
        <v>4</v>
      </c>
      <c r="S124" s="9">
        <f t="shared" si="66"/>
        <v>0</v>
      </c>
      <c r="U124" s="1"/>
      <c r="V124" s="1"/>
      <c r="W124" s="1"/>
      <c r="X124" s="1"/>
      <c r="Y124" s="1"/>
      <c r="Z124" s="1"/>
      <c r="AA124" s="1"/>
      <c r="AB124" s="1"/>
      <c r="AC124" s="1"/>
      <c r="AD124" s="1"/>
      <c r="AE124" s="1"/>
      <c r="AF124" s="1"/>
      <c r="AG124" s="1"/>
      <c r="AH124" s="1"/>
      <c r="AI124" s="1"/>
      <c r="AJ124" s="1"/>
      <c r="AK124" s="1"/>
      <c r="AL124" s="1"/>
      <c r="AM124" s="1"/>
    </row>
    <row r="125" spans="1:39" s="2" customFormat="1" ht="21.95" customHeight="1" thickBot="1" x14ac:dyDescent="0.25">
      <c r="A125" s="266"/>
      <c r="B125" s="266"/>
      <c r="C125" s="267"/>
      <c r="D125" s="267"/>
      <c r="E125" s="267"/>
      <c r="F125" s="235">
        <v>10198</v>
      </c>
      <c r="G125" s="235" t="s">
        <v>136</v>
      </c>
      <c r="H125" s="235" t="s">
        <v>137</v>
      </c>
      <c r="I125" s="235" t="s">
        <v>79</v>
      </c>
      <c r="J125" s="236" t="s">
        <v>28</v>
      </c>
      <c r="K125" s="235">
        <v>61300</v>
      </c>
      <c r="L125" s="235" t="s">
        <v>30</v>
      </c>
      <c r="M125" s="237">
        <f t="shared" si="63"/>
        <v>0</v>
      </c>
      <c r="N125" s="237">
        <f t="shared" si="63"/>
        <v>0</v>
      </c>
      <c r="O125" s="237">
        <f t="shared" si="63"/>
        <v>0</v>
      </c>
      <c r="P125" s="237">
        <f t="shared" si="64"/>
        <v>0</v>
      </c>
      <c r="Q125" s="237">
        <f t="shared" si="67"/>
        <v>0</v>
      </c>
      <c r="R125" s="238">
        <v>4</v>
      </c>
      <c r="S125" s="9">
        <f t="shared" si="66"/>
        <v>0</v>
      </c>
      <c r="U125" s="1"/>
      <c r="V125" s="1"/>
      <c r="W125" s="1"/>
      <c r="X125" s="1"/>
      <c r="Y125" s="1"/>
      <c r="Z125" s="1"/>
      <c r="AA125" s="1"/>
      <c r="AB125" s="1"/>
      <c r="AC125" s="1"/>
      <c r="AD125" s="1"/>
      <c r="AE125" s="1"/>
      <c r="AF125" s="1"/>
      <c r="AG125" s="1"/>
      <c r="AH125" s="1"/>
      <c r="AI125" s="1"/>
      <c r="AJ125" s="1"/>
      <c r="AK125" s="1"/>
      <c r="AL125" s="1"/>
      <c r="AM125" s="1"/>
    </row>
    <row r="126" spans="1:39" s="2" customFormat="1" ht="21.95" customHeight="1" thickBot="1" x14ac:dyDescent="0.25">
      <c r="A126" s="266"/>
      <c r="B126" s="266"/>
      <c r="C126" s="270" t="s">
        <v>31</v>
      </c>
      <c r="D126" s="270"/>
      <c r="E126" s="270"/>
      <c r="F126" s="270"/>
      <c r="G126" s="270"/>
      <c r="H126" s="270"/>
      <c r="I126" s="270"/>
      <c r="J126" s="270"/>
      <c r="K126" s="270"/>
      <c r="L126" s="270"/>
      <c r="M126" s="237">
        <f>SUM(M111:M125)</f>
        <v>0</v>
      </c>
      <c r="N126" s="237">
        <f t="shared" ref="N126:Q126" si="68">SUM(N111:N125)</f>
        <v>34004</v>
      </c>
      <c r="O126" s="237">
        <f t="shared" si="68"/>
        <v>33003</v>
      </c>
      <c r="P126" s="237">
        <f t="shared" si="68"/>
        <v>33006</v>
      </c>
      <c r="Q126" s="237">
        <f t="shared" si="68"/>
        <v>100013</v>
      </c>
      <c r="R126" s="238"/>
      <c r="S126" s="9"/>
      <c r="U126" s="1"/>
      <c r="V126" s="1"/>
      <c r="W126" s="1"/>
      <c r="X126" s="1"/>
      <c r="Y126" s="1"/>
      <c r="Z126" s="1"/>
      <c r="AA126" s="1"/>
      <c r="AB126" s="1"/>
      <c r="AC126" s="1"/>
      <c r="AD126" s="1"/>
      <c r="AE126" s="1"/>
      <c r="AF126" s="1"/>
      <c r="AG126" s="1"/>
      <c r="AH126" s="1"/>
      <c r="AI126" s="1"/>
      <c r="AJ126" s="1"/>
      <c r="AK126" s="1"/>
      <c r="AL126" s="1"/>
      <c r="AM126" s="1"/>
    </row>
    <row r="127" spans="1:39" ht="21.95" customHeight="1" thickBot="1" x14ac:dyDescent="0.25">
      <c r="A127" s="267"/>
      <c r="B127" s="270" t="s">
        <v>80</v>
      </c>
      <c r="C127" s="270"/>
      <c r="D127" s="270"/>
      <c r="E127" s="270"/>
      <c r="F127" s="270"/>
      <c r="G127" s="270"/>
      <c r="H127" s="270"/>
      <c r="I127" s="270"/>
      <c r="J127" s="270"/>
      <c r="K127" s="270"/>
      <c r="L127" s="270"/>
      <c r="M127" s="237">
        <f>M126</f>
        <v>0</v>
      </c>
      <c r="N127" s="237">
        <f t="shared" ref="N127:Q127" si="69">N126</f>
        <v>34004</v>
      </c>
      <c r="O127" s="237">
        <f t="shared" si="69"/>
        <v>33003</v>
      </c>
      <c r="P127" s="237">
        <f t="shared" si="69"/>
        <v>33006</v>
      </c>
      <c r="Q127" s="237">
        <f t="shared" si="69"/>
        <v>100013</v>
      </c>
      <c r="R127" s="238"/>
      <c r="T127" s="10"/>
      <c r="AC127" s="11"/>
      <c r="AF127" s="12"/>
      <c r="AG127" s="13"/>
    </row>
    <row r="128" spans="1:39" ht="21.95" customHeight="1" thickBot="1" x14ac:dyDescent="0.25">
      <c r="A128" s="271" t="s">
        <v>81</v>
      </c>
      <c r="B128" s="272"/>
      <c r="C128" s="272"/>
      <c r="D128" s="272"/>
      <c r="E128" s="272"/>
      <c r="F128" s="272"/>
      <c r="G128" s="272"/>
      <c r="H128" s="272"/>
      <c r="I128" s="272"/>
      <c r="J128" s="272"/>
      <c r="K128" s="272"/>
      <c r="L128" s="273"/>
      <c r="M128" s="237">
        <f t="shared" ref="M128:Q128" si="70">M110+M127</f>
        <v>0</v>
      </c>
      <c r="N128" s="237">
        <f t="shared" si="70"/>
        <v>34004</v>
      </c>
      <c r="O128" s="237">
        <f t="shared" si="70"/>
        <v>33003</v>
      </c>
      <c r="P128" s="237">
        <f t="shared" si="70"/>
        <v>33006</v>
      </c>
      <c r="Q128" s="237">
        <f t="shared" si="70"/>
        <v>100013</v>
      </c>
      <c r="R128" s="238"/>
      <c r="U128" s="14"/>
      <c r="AC128" s="15"/>
      <c r="AM128" s="16"/>
    </row>
    <row r="129" spans="1:39" ht="21.95" customHeight="1" thickBot="1" x14ac:dyDescent="0.25">
      <c r="A129" s="271" t="s">
        <v>82</v>
      </c>
      <c r="B129" s="272"/>
      <c r="C129" s="272"/>
      <c r="D129" s="272"/>
      <c r="E129" s="272"/>
      <c r="F129" s="272"/>
      <c r="G129" s="272"/>
      <c r="H129" s="272"/>
      <c r="I129" s="272"/>
      <c r="J129" s="272"/>
      <c r="K129" s="272"/>
      <c r="L129" s="273"/>
      <c r="M129" s="237">
        <f t="shared" ref="M129:P129" si="71">M24+M47+M70+M93+M128</f>
        <v>0</v>
      </c>
      <c r="N129" s="237">
        <f t="shared" si="71"/>
        <v>638780</v>
      </c>
      <c r="O129" s="237">
        <f t="shared" si="71"/>
        <v>636598</v>
      </c>
      <c r="P129" s="237">
        <f t="shared" si="71"/>
        <v>354290.18</v>
      </c>
      <c r="Q129" s="242">
        <f>SUM(M129:P129)</f>
        <v>1629668.18</v>
      </c>
      <c r="R129" s="243"/>
      <c r="S129" s="14"/>
      <c r="T129" s="18"/>
      <c r="U129" s="19"/>
    </row>
    <row r="131" spans="1:39" ht="12.6" hidden="1" customHeight="1" x14ac:dyDescent="0.2"/>
    <row r="132" spans="1:39" ht="12.6" hidden="1" customHeight="1" x14ac:dyDescent="0.2">
      <c r="A132" s="1" t="s">
        <v>7</v>
      </c>
      <c r="B132" s="1" t="s">
        <v>110</v>
      </c>
    </row>
    <row r="133" spans="1:39" ht="12.6" hidden="1" customHeight="1" x14ac:dyDescent="0.2">
      <c r="J133" s="1" t="s">
        <v>23</v>
      </c>
    </row>
    <row r="134" spans="1:39" ht="12.6" hidden="1" customHeight="1" x14ac:dyDescent="0.2">
      <c r="A134" s="22" t="s">
        <v>111</v>
      </c>
      <c r="B134" s="22" t="s">
        <v>112</v>
      </c>
      <c r="C134" s="23"/>
      <c r="E134" s="24" t="s">
        <v>113</v>
      </c>
      <c r="F134" s="24"/>
      <c r="G134" s="24"/>
      <c r="H134" s="24"/>
      <c r="I134" s="24"/>
      <c r="J134" s="24">
        <v>2</v>
      </c>
    </row>
    <row r="135" spans="1:39" ht="12.6" hidden="1" customHeight="1" x14ac:dyDescent="0.2">
      <c r="A135" s="22" t="s">
        <v>49</v>
      </c>
      <c r="B135" s="22">
        <v>814869</v>
      </c>
      <c r="C135" s="23"/>
      <c r="E135" s="24" t="s">
        <v>114</v>
      </c>
      <c r="F135" s="24"/>
      <c r="G135" s="24"/>
      <c r="H135" s="24"/>
      <c r="I135" s="24"/>
      <c r="J135" s="24">
        <v>-5</v>
      </c>
    </row>
    <row r="136" spans="1:39" ht="12.6" hidden="1" customHeight="1" x14ac:dyDescent="0.2">
      <c r="A136" s="22" t="s">
        <v>77</v>
      </c>
      <c r="B136" s="22">
        <v>47589</v>
      </c>
      <c r="C136" s="23"/>
      <c r="E136" s="24" t="s">
        <v>115</v>
      </c>
      <c r="F136" s="24"/>
      <c r="G136" s="24"/>
      <c r="H136" s="24"/>
      <c r="I136" s="24"/>
      <c r="J136" s="24">
        <v>-3</v>
      </c>
    </row>
    <row r="137" spans="1:39" ht="12.6" hidden="1" customHeight="1" x14ac:dyDescent="0.2">
      <c r="A137" s="22" t="s">
        <v>23</v>
      </c>
      <c r="B137" s="22">
        <v>2731487.162</v>
      </c>
      <c r="C137" s="23"/>
      <c r="E137" s="24" t="s">
        <v>116</v>
      </c>
      <c r="F137" s="24"/>
      <c r="G137" s="24"/>
      <c r="H137" s="24"/>
      <c r="I137" s="24"/>
      <c r="J137" s="24">
        <v>0</v>
      </c>
    </row>
    <row r="138" spans="1:39" ht="12.6" hidden="1" customHeight="1" x14ac:dyDescent="0.2">
      <c r="A138" s="22" t="s">
        <v>117</v>
      </c>
      <c r="B138" s="22">
        <v>3593945.162</v>
      </c>
      <c r="C138" s="23"/>
      <c r="E138" s="24" t="s">
        <v>118</v>
      </c>
      <c r="F138" s="24"/>
      <c r="G138" s="24"/>
      <c r="H138" s="24"/>
      <c r="I138" s="24"/>
      <c r="J138" s="24">
        <v>-3</v>
      </c>
    </row>
    <row r="139" spans="1:39" ht="12.95" hidden="1" customHeight="1" x14ac:dyDescent="0.2">
      <c r="A139" s="23"/>
      <c r="B139" s="23"/>
      <c r="C139" s="23"/>
      <c r="E139" s="24" t="s">
        <v>119</v>
      </c>
      <c r="F139" s="24"/>
      <c r="G139" s="24"/>
      <c r="H139" s="24"/>
      <c r="I139" s="24"/>
      <c r="J139" s="24">
        <v>-9</v>
      </c>
    </row>
    <row r="140" spans="1:39" s="2" customFormat="1" x14ac:dyDescent="0.2">
      <c r="A140" s="23"/>
      <c r="B140" s="23"/>
      <c r="C140" s="23"/>
      <c r="D140" s="1"/>
      <c r="E140" s="1"/>
      <c r="F140" s="1"/>
      <c r="G140" s="1"/>
      <c r="H140" s="1"/>
      <c r="I140" s="1"/>
      <c r="J140" s="1"/>
      <c r="K140" s="1"/>
      <c r="L140" s="1"/>
      <c r="M140" s="1"/>
      <c r="N140" s="1"/>
      <c r="O140" s="1"/>
      <c r="P140" s="1"/>
      <c r="Q140" s="15"/>
      <c r="R140" s="15"/>
      <c r="S140" s="25"/>
      <c r="U140" s="1"/>
      <c r="V140" s="1"/>
      <c r="W140" s="1"/>
      <c r="X140" s="1"/>
      <c r="Y140" s="1"/>
      <c r="Z140" s="1"/>
      <c r="AA140" s="1"/>
      <c r="AB140" s="1"/>
      <c r="AC140" s="1"/>
      <c r="AD140" s="1"/>
      <c r="AE140" s="1"/>
      <c r="AF140" s="1"/>
      <c r="AG140" s="1"/>
      <c r="AH140" s="1"/>
      <c r="AI140" s="1"/>
      <c r="AJ140" s="1"/>
      <c r="AK140" s="1"/>
      <c r="AL140" s="1"/>
      <c r="AM140" s="1"/>
    </row>
    <row r="141" spans="1:39" s="2" customFormat="1" x14ac:dyDescent="0.2">
      <c r="A141" s="26" t="s">
        <v>83</v>
      </c>
      <c r="B141" s="1"/>
      <c r="C141" s="1"/>
      <c r="D141" s="1"/>
      <c r="E141" s="1"/>
      <c r="F141" s="1"/>
      <c r="G141" s="1"/>
      <c r="H141" s="1"/>
      <c r="I141" s="1"/>
      <c r="J141" s="1"/>
      <c r="K141" s="1"/>
      <c r="L141" s="1"/>
      <c r="M141" s="1"/>
      <c r="N141" s="1"/>
      <c r="O141" s="1"/>
      <c r="P141" s="1"/>
      <c r="Q141" s="15"/>
      <c r="R141" s="15"/>
      <c r="S141" s="1"/>
      <c r="U141" s="1"/>
      <c r="V141" s="1"/>
      <c r="W141" s="1"/>
      <c r="X141" s="1"/>
      <c r="Y141" s="1"/>
      <c r="Z141" s="1"/>
      <c r="AA141" s="1"/>
      <c r="AB141" s="1"/>
      <c r="AC141" s="1"/>
      <c r="AD141" s="1"/>
      <c r="AE141" s="1"/>
      <c r="AF141" s="1"/>
      <c r="AG141" s="1"/>
      <c r="AH141" s="1"/>
      <c r="AI141" s="1"/>
      <c r="AJ141" s="1"/>
      <c r="AK141" s="1"/>
      <c r="AL141" s="1"/>
      <c r="AM141" s="1"/>
    </row>
    <row r="142" spans="1:39" s="2" customFormat="1" x14ac:dyDescent="0.2">
      <c r="A142" s="26" t="s">
        <v>85</v>
      </c>
      <c r="B142" s="1"/>
      <c r="C142" s="1"/>
      <c r="D142" s="1"/>
      <c r="E142" s="1"/>
      <c r="F142" s="1"/>
      <c r="G142" s="1"/>
      <c r="H142" s="1"/>
      <c r="I142" s="1"/>
      <c r="J142" s="1"/>
      <c r="K142" s="1"/>
      <c r="L142" s="1"/>
      <c r="M142" s="1"/>
      <c r="N142" s="1"/>
      <c r="O142" s="1"/>
      <c r="P142" s="1"/>
      <c r="Q142" s="15"/>
      <c r="R142" s="15"/>
      <c r="S142" s="1"/>
      <c r="U142" s="1"/>
      <c r="V142" s="1"/>
      <c r="W142" s="1"/>
      <c r="X142" s="1"/>
      <c r="Y142" s="1"/>
      <c r="Z142" s="1"/>
      <c r="AA142" s="1"/>
      <c r="AB142" s="1"/>
      <c r="AC142" s="1"/>
      <c r="AD142" s="1"/>
      <c r="AE142" s="1"/>
      <c r="AF142" s="1"/>
      <c r="AG142" s="1"/>
      <c r="AH142" s="1"/>
      <c r="AI142" s="1"/>
      <c r="AJ142" s="1"/>
      <c r="AK142" s="1"/>
      <c r="AL142" s="1"/>
      <c r="AM142" s="1"/>
    </row>
    <row r="143" spans="1:39" s="2" customFormat="1" x14ac:dyDescent="0.2">
      <c r="A143" s="27" t="s">
        <v>87</v>
      </c>
      <c r="B143" s="1"/>
      <c r="C143" s="1"/>
      <c r="D143" s="1"/>
      <c r="E143" s="1"/>
      <c r="F143" s="1"/>
      <c r="G143" s="1"/>
      <c r="H143" s="1"/>
      <c r="I143" s="1"/>
      <c r="J143" s="1"/>
      <c r="K143" s="1"/>
      <c r="L143" s="1"/>
      <c r="M143" s="1"/>
      <c r="N143" s="1"/>
      <c r="O143" s="1"/>
      <c r="P143" s="1"/>
      <c r="Q143" s="1"/>
      <c r="R143" s="1"/>
      <c r="S143" s="1"/>
      <c r="U143" s="1"/>
      <c r="V143" s="1"/>
      <c r="W143" s="1"/>
      <c r="X143" s="1"/>
      <c r="Y143" s="1"/>
      <c r="Z143" s="1"/>
      <c r="AA143" s="1"/>
      <c r="AB143" s="1"/>
      <c r="AC143" s="1"/>
      <c r="AD143" s="1"/>
      <c r="AE143" s="1"/>
      <c r="AF143" s="1"/>
      <c r="AG143" s="1"/>
      <c r="AH143" s="1"/>
      <c r="AI143" s="1"/>
      <c r="AJ143" s="1"/>
      <c r="AK143" s="1"/>
      <c r="AL143" s="1"/>
      <c r="AM143" s="1"/>
    </row>
    <row r="144" spans="1:39" s="2" customFormat="1" x14ac:dyDescent="0.2">
      <c r="A144" s="27" t="s">
        <v>88</v>
      </c>
      <c r="B144" s="1"/>
      <c r="C144" s="1"/>
      <c r="D144" s="1"/>
      <c r="E144" s="1"/>
      <c r="F144" s="1"/>
      <c r="G144" s="1"/>
      <c r="H144" s="1"/>
      <c r="I144" s="1"/>
      <c r="J144" s="1"/>
      <c r="K144" s="1"/>
      <c r="L144" s="1"/>
      <c r="M144" s="1"/>
      <c r="N144" s="1"/>
      <c r="O144" s="1"/>
      <c r="P144" s="1"/>
      <c r="Q144" s="1"/>
      <c r="R144" s="1"/>
      <c r="S144" s="1"/>
      <c r="U144" s="1"/>
      <c r="V144" s="1"/>
      <c r="W144" s="1"/>
      <c r="X144" s="1"/>
      <c r="Y144" s="1"/>
      <c r="Z144" s="1"/>
      <c r="AA144" s="1"/>
      <c r="AB144" s="1"/>
      <c r="AC144" s="1"/>
      <c r="AD144" s="1"/>
      <c r="AE144" s="1"/>
      <c r="AF144" s="1"/>
      <c r="AG144" s="1"/>
      <c r="AH144" s="1"/>
      <c r="AI144" s="1"/>
      <c r="AJ144" s="1"/>
      <c r="AK144" s="1"/>
      <c r="AL144" s="1"/>
      <c r="AM144" s="1"/>
    </row>
    <row r="145" spans="1:39" s="2" customFormat="1" x14ac:dyDescent="0.2">
      <c r="A145" s="27" t="s">
        <v>89</v>
      </c>
      <c r="B145" s="1"/>
      <c r="C145" s="1"/>
      <c r="D145" s="1"/>
      <c r="E145" s="1"/>
      <c r="F145" s="1"/>
      <c r="G145" s="1"/>
      <c r="H145" s="1"/>
      <c r="I145" s="1"/>
      <c r="J145" s="1"/>
      <c r="K145" s="1"/>
      <c r="L145" s="1"/>
      <c r="M145" s="1"/>
      <c r="N145" s="1"/>
      <c r="O145" s="1"/>
      <c r="P145" s="1"/>
      <c r="Q145" s="1"/>
      <c r="R145" s="1"/>
      <c r="S145" s="1"/>
      <c r="U145" s="1"/>
      <c r="V145" s="1"/>
      <c r="W145" s="1"/>
      <c r="X145" s="1"/>
      <c r="Y145" s="1"/>
      <c r="Z145" s="1"/>
      <c r="AA145" s="1"/>
      <c r="AB145" s="1"/>
      <c r="AC145" s="1"/>
      <c r="AD145" s="1"/>
      <c r="AE145" s="1"/>
      <c r="AF145" s="1"/>
      <c r="AG145" s="1"/>
      <c r="AH145" s="1"/>
      <c r="AI145" s="1"/>
      <c r="AJ145" s="1"/>
      <c r="AK145" s="1"/>
      <c r="AL145" s="1"/>
      <c r="AM145" s="1"/>
    </row>
    <row r="146" spans="1:39" s="2" customFormat="1" x14ac:dyDescent="0.2">
      <c r="A146" s="27" t="s">
        <v>90</v>
      </c>
      <c r="B146" s="1"/>
      <c r="C146" s="1"/>
      <c r="D146" s="1"/>
      <c r="E146" s="1"/>
      <c r="F146" s="1"/>
      <c r="G146" s="1"/>
      <c r="H146" s="1"/>
      <c r="I146" s="1"/>
      <c r="J146" s="1"/>
      <c r="K146" s="1"/>
      <c r="L146" s="1"/>
      <c r="M146" s="1"/>
      <c r="N146" s="1"/>
      <c r="O146" s="1"/>
      <c r="P146" s="1"/>
      <c r="Q146" s="1"/>
      <c r="R146" s="1"/>
      <c r="S146" s="1"/>
      <c r="U146" s="1"/>
      <c r="V146" s="1"/>
      <c r="W146" s="1"/>
      <c r="X146" s="1"/>
      <c r="Y146" s="1"/>
      <c r="Z146" s="1"/>
      <c r="AA146" s="1"/>
      <c r="AB146" s="1"/>
      <c r="AC146" s="1"/>
      <c r="AD146" s="1"/>
      <c r="AE146" s="1"/>
      <c r="AF146" s="1"/>
      <c r="AG146" s="1"/>
      <c r="AH146" s="1"/>
      <c r="AI146" s="1"/>
      <c r="AJ146" s="1"/>
      <c r="AK146" s="1"/>
      <c r="AL146" s="1"/>
      <c r="AM146" s="1"/>
    </row>
    <row r="147" spans="1:39" s="2" customFormat="1" x14ac:dyDescent="0.2">
      <c r="A147" s="27" t="s">
        <v>91</v>
      </c>
      <c r="B147" s="1"/>
      <c r="C147" s="1"/>
      <c r="D147" s="1"/>
      <c r="E147" s="1"/>
      <c r="F147" s="1"/>
      <c r="G147" s="1"/>
      <c r="H147" s="1"/>
      <c r="I147" s="1"/>
      <c r="J147" s="1"/>
      <c r="K147" s="1"/>
      <c r="L147" s="1"/>
      <c r="M147" s="1"/>
      <c r="N147" s="1"/>
      <c r="O147" s="1"/>
      <c r="P147" s="1"/>
      <c r="Q147" s="1"/>
      <c r="R147" s="1"/>
      <c r="S147" s="1"/>
      <c r="U147" s="1"/>
      <c r="V147" s="1"/>
      <c r="W147" s="1"/>
      <c r="X147" s="1"/>
      <c r="Y147" s="1"/>
      <c r="Z147" s="1"/>
      <c r="AA147" s="1"/>
      <c r="AB147" s="1"/>
      <c r="AC147" s="1"/>
      <c r="AD147" s="1"/>
      <c r="AE147" s="1"/>
      <c r="AF147" s="1"/>
      <c r="AG147" s="1"/>
      <c r="AH147" s="1"/>
      <c r="AI147" s="1"/>
      <c r="AJ147" s="1"/>
      <c r="AK147" s="1"/>
      <c r="AL147" s="1"/>
      <c r="AM147" s="1"/>
    </row>
    <row r="148" spans="1:39" s="2" customFormat="1" x14ac:dyDescent="0.2">
      <c r="A148" s="27" t="s">
        <v>92</v>
      </c>
      <c r="B148" s="1"/>
      <c r="C148" s="1"/>
      <c r="D148" s="1"/>
      <c r="E148" s="1"/>
      <c r="F148" s="1"/>
      <c r="G148" s="1"/>
      <c r="H148" s="1"/>
      <c r="I148" s="1"/>
      <c r="J148" s="1"/>
      <c r="K148" s="1"/>
      <c r="L148" s="1"/>
      <c r="M148" s="1"/>
      <c r="N148" s="1"/>
      <c r="O148" s="1"/>
      <c r="P148" s="1"/>
      <c r="Q148" s="1"/>
      <c r="R148" s="1"/>
      <c r="S148" s="1"/>
      <c r="U148" s="1"/>
      <c r="V148" s="1"/>
      <c r="W148" s="1"/>
      <c r="X148" s="1"/>
      <c r="Y148" s="1"/>
      <c r="Z148" s="1"/>
      <c r="AA148" s="1"/>
      <c r="AB148" s="1"/>
      <c r="AC148" s="1"/>
      <c r="AD148" s="1"/>
      <c r="AE148" s="1"/>
      <c r="AF148" s="1"/>
      <c r="AG148" s="1"/>
      <c r="AH148" s="1"/>
      <c r="AI148" s="1"/>
      <c r="AJ148" s="1"/>
      <c r="AK148" s="1"/>
      <c r="AL148" s="1"/>
      <c r="AM148" s="1"/>
    </row>
    <row r="149" spans="1:39" s="2" customFormat="1" x14ac:dyDescent="0.2">
      <c r="A149" s="27" t="s">
        <v>93</v>
      </c>
      <c r="B149" s="1"/>
      <c r="C149" s="1"/>
      <c r="D149" s="1"/>
      <c r="E149" s="1"/>
      <c r="F149" s="1"/>
      <c r="G149" s="1"/>
      <c r="H149" s="1"/>
      <c r="I149" s="1"/>
      <c r="J149" s="1"/>
      <c r="K149" s="1"/>
      <c r="L149" s="1"/>
      <c r="M149" s="1"/>
      <c r="N149" s="1"/>
      <c r="O149" s="1"/>
      <c r="P149" s="1"/>
      <c r="Q149" s="1"/>
      <c r="R149" s="1"/>
      <c r="S149" s="1"/>
      <c r="U149" s="1"/>
      <c r="V149" s="1"/>
      <c r="W149" s="1"/>
      <c r="X149" s="1"/>
      <c r="Y149" s="1"/>
      <c r="Z149" s="1"/>
      <c r="AA149" s="1"/>
      <c r="AB149" s="1"/>
      <c r="AC149" s="1"/>
      <c r="AD149" s="1"/>
      <c r="AE149" s="1"/>
      <c r="AF149" s="1"/>
      <c r="AG149" s="1"/>
      <c r="AH149" s="1"/>
      <c r="AI149" s="1"/>
      <c r="AJ149" s="1"/>
      <c r="AK149" s="1"/>
      <c r="AL149" s="1"/>
      <c r="AM149" s="1"/>
    </row>
    <row r="150" spans="1:39" s="2" customFormat="1" x14ac:dyDescent="0.2">
      <c r="A150" s="27" t="s">
        <v>94</v>
      </c>
      <c r="B150" s="1"/>
      <c r="C150" s="1"/>
      <c r="D150" s="1"/>
      <c r="E150" s="1"/>
      <c r="F150" s="1"/>
      <c r="G150" s="1"/>
      <c r="H150" s="1"/>
      <c r="I150" s="1"/>
      <c r="J150" s="1"/>
      <c r="K150" s="1"/>
      <c r="L150" s="1"/>
      <c r="M150" s="1"/>
      <c r="N150" s="1"/>
      <c r="O150" s="1"/>
      <c r="P150" s="1"/>
      <c r="Q150" s="1"/>
      <c r="R150" s="1"/>
      <c r="S150" s="1"/>
      <c r="U150" s="1"/>
      <c r="V150" s="1"/>
      <c r="W150" s="1"/>
      <c r="X150" s="1"/>
      <c r="Y150" s="1"/>
      <c r="Z150" s="1"/>
      <c r="AA150" s="1"/>
      <c r="AB150" s="1"/>
      <c r="AC150" s="1"/>
      <c r="AD150" s="1"/>
      <c r="AE150" s="1"/>
      <c r="AF150" s="1"/>
      <c r="AG150" s="1"/>
      <c r="AH150" s="1"/>
      <c r="AI150" s="1"/>
      <c r="AJ150" s="1"/>
      <c r="AK150" s="1"/>
      <c r="AL150" s="1"/>
      <c r="AM150" s="1"/>
    </row>
    <row r="151" spans="1:39" s="2" customFormat="1" x14ac:dyDescent="0.2">
      <c r="A151" s="27" t="s">
        <v>95</v>
      </c>
      <c r="B151" s="1"/>
      <c r="C151" s="1"/>
      <c r="D151" s="1"/>
      <c r="E151" s="1"/>
      <c r="F151" s="1"/>
      <c r="G151" s="1"/>
      <c r="H151" s="1"/>
      <c r="I151" s="1"/>
      <c r="J151" s="1"/>
      <c r="K151" s="1"/>
      <c r="L151" s="1"/>
      <c r="M151" s="1"/>
      <c r="N151" s="1"/>
      <c r="O151" s="1"/>
      <c r="P151" s="1"/>
      <c r="Q151" s="1"/>
      <c r="R151" s="1"/>
      <c r="S151" s="1"/>
      <c r="U151" s="1"/>
      <c r="V151" s="1"/>
      <c r="W151" s="1"/>
      <c r="X151" s="1"/>
      <c r="Y151" s="1"/>
      <c r="Z151" s="1"/>
      <c r="AA151" s="1"/>
      <c r="AB151" s="1"/>
      <c r="AC151" s="1"/>
      <c r="AD151" s="1"/>
      <c r="AE151" s="1"/>
      <c r="AF151" s="1"/>
      <c r="AG151" s="1"/>
      <c r="AH151" s="1"/>
      <c r="AI151" s="1"/>
      <c r="AJ151" s="1"/>
      <c r="AK151" s="1"/>
      <c r="AL151" s="1"/>
      <c r="AM151" s="1"/>
    </row>
    <row r="152" spans="1:39" s="2" customFormat="1" x14ac:dyDescent="0.2">
      <c r="A152" s="27" t="s">
        <v>96</v>
      </c>
      <c r="B152" s="1"/>
      <c r="C152" s="1"/>
      <c r="D152" s="1"/>
      <c r="E152" s="1"/>
      <c r="F152" s="1"/>
      <c r="G152" s="1"/>
      <c r="H152" s="1"/>
      <c r="I152" s="1"/>
      <c r="J152" s="1"/>
      <c r="K152" s="1"/>
      <c r="L152" s="1"/>
      <c r="M152" s="1"/>
      <c r="N152" s="1"/>
      <c r="O152" s="1"/>
      <c r="P152" s="1"/>
      <c r="Q152" s="1"/>
      <c r="R152" s="1"/>
      <c r="S152" s="1"/>
      <c r="U152" s="1"/>
      <c r="V152" s="1"/>
      <c r="W152" s="1"/>
      <c r="X152" s="1"/>
      <c r="Y152" s="1"/>
      <c r="Z152" s="1"/>
      <c r="AA152" s="1"/>
      <c r="AB152" s="1"/>
      <c r="AC152" s="1"/>
      <c r="AD152" s="1"/>
      <c r="AE152" s="1"/>
      <c r="AF152" s="1"/>
      <c r="AG152" s="1"/>
      <c r="AH152" s="1"/>
      <c r="AI152" s="1"/>
      <c r="AJ152" s="1"/>
      <c r="AK152" s="1"/>
      <c r="AL152" s="1"/>
      <c r="AM152" s="1"/>
    </row>
    <row r="153" spans="1:39" s="2" customFormat="1" x14ac:dyDescent="0.2">
      <c r="A153" s="27" t="s">
        <v>97</v>
      </c>
      <c r="B153" s="1"/>
      <c r="C153" s="1"/>
      <c r="D153" s="1"/>
      <c r="E153" s="1"/>
      <c r="F153" s="1"/>
      <c r="G153" s="1"/>
      <c r="H153" s="1"/>
      <c r="I153" s="1"/>
      <c r="J153" s="1"/>
      <c r="K153" s="1"/>
      <c r="L153" s="1"/>
      <c r="M153" s="1"/>
      <c r="N153" s="1"/>
      <c r="O153" s="1"/>
      <c r="P153" s="1"/>
      <c r="Q153" s="1"/>
      <c r="R153" s="1"/>
      <c r="S153" s="1"/>
      <c r="U153" s="1"/>
      <c r="V153" s="1"/>
      <c r="W153" s="1"/>
      <c r="X153" s="1"/>
      <c r="Y153" s="1"/>
      <c r="Z153" s="1"/>
      <c r="AA153" s="1"/>
      <c r="AB153" s="1"/>
      <c r="AC153" s="1"/>
      <c r="AD153" s="1"/>
      <c r="AE153" s="1"/>
      <c r="AF153" s="1"/>
      <c r="AG153" s="1"/>
      <c r="AH153" s="1"/>
      <c r="AI153" s="1"/>
      <c r="AJ153" s="1"/>
      <c r="AK153" s="1"/>
      <c r="AL153" s="1"/>
      <c r="AM153" s="1"/>
    </row>
    <row r="154" spans="1:39" s="2" customFormat="1" x14ac:dyDescent="0.2">
      <c r="A154" s="27" t="s">
        <v>98</v>
      </c>
      <c r="B154" s="1"/>
      <c r="C154" s="1"/>
      <c r="D154" s="1"/>
      <c r="E154" s="1"/>
      <c r="F154" s="1"/>
      <c r="G154" s="1"/>
      <c r="H154" s="1"/>
      <c r="I154" s="1"/>
      <c r="J154" s="1"/>
      <c r="K154" s="1"/>
      <c r="L154" s="1"/>
      <c r="M154" s="1"/>
      <c r="N154" s="1"/>
      <c r="O154" s="1"/>
      <c r="P154" s="1"/>
      <c r="Q154" s="1"/>
      <c r="R154" s="1"/>
      <c r="S154" s="1"/>
      <c r="U154" s="1"/>
      <c r="V154" s="1"/>
      <c r="W154" s="1"/>
      <c r="X154" s="1"/>
      <c r="Y154" s="1"/>
      <c r="Z154" s="1"/>
      <c r="AA154" s="1"/>
      <c r="AB154" s="1"/>
      <c r="AC154" s="1"/>
      <c r="AD154" s="1"/>
      <c r="AE154" s="1"/>
      <c r="AF154" s="1"/>
      <c r="AG154" s="1"/>
      <c r="AH154" s="1"/>
      <c r="AI154" s="1"/>
      <c r="AJ154" s="1"/>
      <c r="AK154" s="1"/>
      <c r="AL154" s="1"/>
      <c r="AM154" s="1"/>
    </row>
    <row r="155" spans="1:39" s="2" customFormat="1" x14ac:dyDescent="0.2">
      <c r="A155" s="27" t="s">
        <v>99</v>
      </c>
      <c r="B155" s="1"/>
      <c r="C155" s="1"/>
      <c r="D155" s="1"/>
      <c r="E155" s="1"/>
      <c r="F155" s="1"/>
      <c r="G155" s="1"/>
      <c r="H155" s="1"/>
      <c r="I155" s="1"/>
      <c r="J155" s="1"/>
      <c r="K155" s="1"/>
      <c r="L155" s="1"/>
      <c r="M155" s="1"/>
      <c r="N155" s="1"/>
      <c r="O155" s="1"/>
      <c r="P155" s="1"/>
      <c r="Q155" s="1"/>
      <c r="R155" s="1"/>
      <c r="S155" s="1"/>
      <c r="U155" s="1"/>
      <c r="V155" s="1"/>
      <c r="W155" s="1"/>
      <c r="X155" s="1"/>
      <c r="Y155" s="1"/>
      <c r="Z155" s="1"/>
      <c r="AA155" s="1"/>
      <c r="AB155" s="1"/>
      <c r="AC155" s="1"/>
      <c r="AD155" s="1"/>
      <c r="AE155" s="1"/>
      <c r="AF155" s="1"/>
      <c r="AG155" s="1"/>
      <c r="AH155" s="1"/>
      <c r="AI155" s="1"/>
      <c r="AJ155" s="1"/>
      <c r="AK155" s="1"/>
      <c r="AL155" s="1"/>
      <c r="AM155" s="1"/>
    </row>
    <row r="156" spans="1:39" x14ac:dyDescent="0.2">
      <c r="A156" s="27" t="s">
        <v>100</v>
      </c>
    </row>
    <row r="157" spans="1:39" x14ac:dyDescent="0.2">
      <c r="A157" s="27" t="s">
        <v>101</v>
      </c>
    </row>
    <row r="158" spans="1:39" x14ac:dyDescent="0.2">
      <c r="A158" s="27" t="s">
        <v>102</v>
      </c>
    </row>
    <row r="159" spans="1:39" x14ac:dyDescent="0.2">
      <c r="A159" s="27" t="s">
        <v>103</v>
      </c>
    </row>
    <row r="160" spans="1:39" x14ac:dyDescent="0.2">
      <c r="A160" s="27" t="s">
        <v>104</v>
      </c>
    </row>
    <row r="161" spans="1:1" x14ac:dyDescent="0.2">
      <c r="A161" s="27" t="s">
        <v>105</v>
      </c>
    </row>
  </sheetData>
  <sheetProtection formatCells="0" formatColumns="0" formatRows="0" insertColumns="0" insertRows="0" insertHyperlinks="0" deleteColumns="0" deleteRows="0" sort="0" autoFilter="0" pivotTables="0"/>
  <mergeCells count="72">
    <mergeCell ref="A128:L128"/>
    <mergeCell ref="A129:L129"/>
    <mergeCell ref="B110:L110"/>
    <mergeCell ref="B111:B126"/>
    <mergeCell ref="C111:C125"/>
    <mergeCell ref="D111:D125"/>
    <mergeCell ref="E111:E125"/>
    <mergeCell ref="C126:L126"/>
    <mergeCell ref="B92:L92"/>
    <mergeCell ref="A93:L93"/>
    <mergeCell ref="A94:A127"/>
    <mergeCell ref="B94:B109"/>
    <mergeCell ref="C94:C108"/>
    <mergeCell ref="D94:D108"/>
    <mergeCell ref="E94:E108"/>
    <mergeCell ref="C109:L109"/>
    <mergeCell ref="A71:A92"/>
    <mergeCell ref="B71:B80"/>
    <mergeCell ref="C71:C79"/>
    <mergeCell ref="D71:D79"/>
    <mergeCell ref="E71:E79"/>
    <mergeCell ref="C80:L80"/>
    <mergeCell ref="B127:L127"/>
    <mergeCell ref="B81:L81"/>
    <mergeCell ref="A70:L70"/>
    <mergeCell ref="E82:E90"/>
    <mergeCell ref="B82:B91"/>
    <mergeCell ref="C82:C90"/>
    <mergeCell ref="D82:D90"/>
    <mergeCell ref="C91:L91"/>
    <mergeCell ref="B46:L46"/>
    <mergeCell ref="A47:L47"/>
    <mergeCell ref="A48:A69"/>
    <mergeCell ref="B48:B57"/>
    <mergeCell ref="C48:C56"/>
    <mergeCell ref="D48:D56"/>
    <mergeCell ref="E48:E56"/>
    <mergeCell ref="C57:L57"/>
    <mergeCell ref="B58:L58"/>
    <mergeCell ref="B59:B68"/>
    <mergeCell ref="A25:A46"/>
    <mergeCell ref="E59:E67"/>
    <mergeCell ref="C68:L68"/>
    <mergeCell ref="B69:L69"/>
    <mergeCell ref="C59:C67"/>
    <mergeCell ref="D59:D67"/>
    <mergeCell ref="A24:L24"/>
    <mergeCell ref="C34:L34"/>
    <mergeCell ref="B35:L35"/>
    <mergeCell ref="B36:B45"/>
    <mergeCell ref="C36:C44"/>
    <mergeCell ref="D36:D44"/>
    <mergeCell ref="E36:E44"/>
    <mergeCell ref="C45:L45"/>
    <mergeCell ref="B25:B34"/>
    <mergeCell ref="C25:C33"/>
    <mergeCell ref="D25:D33"/>
    <mergeCell ref="E25:E33"/>
    <mergeCell ref="U3:V3"/>
    <mergeCell ref="A4:A23"/>
    <mergeCell ref="B4:B12"/>
    <mergeCell ref="C4:C11"/>
    <mergeCell ref="D4:D11"/>
    <mergeCell ref="E4:E11"/>
    <mergeCell ref="C12:L12"/>
    <mergeCell ref="B13:L13"/>
    <mergeCell ref="B14:B22"/>
    <mergeCell ref="C14:C21"/>
    <mergeCell ref="D14:D21"/>
    <mergeCell ref="E14:E21"/>
    <mergeCell ref="C22:L22"/>
    <mergeCell ref="B23:L2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5E562-4FF2-4A52-AD32-FBB0B6F51D33}">
  <dimension ref="A1:AJ169"/>
  <sheetViews>
    <sheetView topLeftCell="A124" zoomScale="70" zoomScaleNormal="70" workbookViewId="0">
      <selection activeCell="M4" sqref="M4"/>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425781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29"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29" ht="15" x14ac:dyDescent="0.25">
      <c r="A2" s="218"/>
      <c r="B2" s="218"/>
      <c r="C2" s="219"/>
      <c r="D2" s="219"/>
      <c r="E2" s="219"/>
      <c r="F2" s="219"/>
      <c r="G2" s="219"/>
      <c r="H2" s="219"/>
      <c r="I2" s="219"/>
      <c r="J2" s="219"/>
      <c r="K2" s="219"/>
      <c r="L2" s="219"/>
      <c r="M2" s="219"/>
      <c r="N2" s="220"/>
      <c r="O2" s="221"/>
      <c r="P2" s="28"/>
      <c r="Q2" s="28"/>
      <c r="R2" s="28"/>
      <c r="S2" s="28"/>
      <c r="T2" s="28"/>
      <c r="U2" s="28"/>
      <c r="V2" s="28"/>
      <c r="W2" s="28"/>
      <c r="X2" s="28"/>
      <c r="Y2" s="28"/>
      <c r="Z2" s="28"/>
      <c r="AA2" s="28"/>
      <c r="AB2" s="28"/>
      <c r="AC2" s="28"/>
    </row>
    <row r="3" spans="1:29" s="225" customFormat="1" ht="12" customHeight="1" x14ac:dyDescent="0.25">
      <c r="A3" s="274"/>
      <c r="B3" s="223"/>
      <c r="C3" s="224"/>
      <c r="D3" s="224"/>
      <c r="E3" s="224"/>
      <c r="F3" s="224"/>
      <c r="G3" s="224"/>
      <c r="H3" s="224"/>
      <c r="I3" s="224"/>
      <c r="J3" s="224"/>
      <c r="K3" s="224"/>
      <c r="L3" s="224"/>
      <c r="M3" s="224"/>
      <c r="O3" s="226"/>
      <c r="P3" s="28"/>
      <c r="Q3" s="28"/>
      <c r="R3" s="28"/>
      <c r="S3" s="28"/>
      <c r="T3" s="28"/>
      <c r="U3" s="28"/>
      <c r="V3" s="28"/>
      <c r="W3" s="28"/>
      <c r="X3" s="28"/>
      <c r="Y3" s="28"/>
      <c r="Z3" s="28"/>
      <c r="AA3" s="28"/>
      <c r="AB3" s="28"/>
      <c r="AC3" s="28"/>
    </row>
    <row r="4" spans="1:29" s="225" customFormat="1" ht="12" customHeight="1" x14ac:dyDescent="0.25">
      <c r="A4" s="274"/>
      <c r="B4" s="223"/>
      <c r="C4" s="224"/>
      <c r="D4" s="224"/>
      <c r="E4" s="224"/>
      <c r="F4" s="224"/>
      <c r="G4" s="224"/>
      <c r="H4" s="224"/>
      <c r="I4" s="224"/>
      <c r="J4" s="224"/>
      <c r="K4" s="224"/>
      <c r="L4" s="224"/>
      <c r="M4" s="224"/>
      <c r="O4" s="226"/>
      <c r="P4" s="28"/>
      <c r="Q4" s="28"/>
      <c r="R4" s="28"/>
      <c r="S4" s="28"/>
      <c r="T4" s="28"/>
      <c r="U4" s="28"/>
      <c r="V4" s="28"/>
      <c r="W4" s="28"/>
      <c r="X4" s="28"/>
      <c r="Y4" s="28"/>
      <c r="Z4" s="28"/>
      <c r="AA4" s="28"/>
      <c r="AB4" s="28"/>
      <c r="AC4" s="28"/>
    </row>
    <row r="5" spans="1:29" s="225" customFormat="1" ht="12" customHeight="1" x14ac:dyDescent="0.25">
      <c r="A5" s="274"/>
      <c r="B5" s="222"/>
      <c r="C5" s="227"/>
      <c r="D5" s="227"/>
      <c r="E5" s="227"/>
      <c r="F5" s="227"/>
      <c r="G5" s="227"/>
      <c r="H5" s="227"/>
      <c r="I5" s="227"/>
      <c r="J5" s="227"/>
      <c r="K5" s="227"/>
      <c r="L5" s="227"/>
      <c r="M5" s="227"/>
      <c r="N5" s="227"/>
      <c r="O5" s="227"/>
      <c r="P5" s="28"/>
      <c r="Q5" s="28"/>
      <c r="R5" s="28"/>
      <c r="S5" s="28"/>
      <c r="T5" s="28"/>
      <c r="U5" s="28"/>
      <c r="V5" s="28"/>
      <c r="W5" s="28"/>
      <c r="X5" s="28"/>
      <c r="Y5" s="28"/>
      <c r="Z5" s="28"/>
      <c r="AA5" s="28"/>
      <c r="AB5" s="28"/>
      <c r="AC5" s="28"/>
    </row>
    <row r="6" spans="1:29" x14ac:dyDescent="0.2">
      <c r="I6" s="31"/>
      <c r="J6" s="33"/>
      <c r="K6" s="33"/>
      <c r="L6" s="33"/>
      <c r="M6" s="33"/>
      <c r="N6" s="32"/>
    </row>
    <row r="7" spans="1:29"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138</v>
      </c>
      <c r="Q7" s="30"/>
    </row>
    <row r="8" spans="1:29" s="5" customFormat="1" x14ac:dyDescent="0.2">
      <c r="A8" s="3"/>
      <c r="B8" s="3"/>
      <c r="C8" s="3"/>
      <c r="D8" s="3"/>
      <c r="E8" s="3"/>
      <c r="F8" s="3"/>
      <c r="G8" s="3"/>
      <c r="H8" s="244">
        <v>71200</v>
      </c>
      <c r="I8" s="3"/>
      <c r="J8" s="3"/>
      <c r="K8" s="3"/>
      <c r="L8" s="3"/>
      <c r="M8" s="3"/>
      <c r="N8" s="4"/>
      <c r="O8" s="3"/>
      <c r="P8" s="29"/>
      <c r="Q8" s="30"/>
      <c r="R8" s="245"/>
    </row>
    <row r="9" spans="1:29" s="5" customFormat="1" x14ac:dyDescent="0.2">
      <c r="A9" s="3"/>
      <c r="B9" s="3"/>
      <c r="C9" s="3"/>
      <c r="D9" s="3"/>
      <c r="E9" s="3"/>
      <c r="F9" s="3"/>
      <c r="G9" s="3"/>
      <c r="H9" s="244">
        <v>71300</v>
      </c>
      <c r="I9" s="3"/>
      <c r="J9" s="3"/>
      <c r="K9" s="3"/>
      <c r="L9" s="3"/>
      <c r="M9" s="3"/>
      <c r="N9" s="4"/>
      <c r="O9" s="3"/>
      <c r="P9" s="29"/>
      <c r="Q9" s="30"/>
      <c r="R9" s="245"/>
    </row>
    <row r="10" spans="1:29" s="5" customFormat="1" x14ac:dyDescent="0.2">
      <c r="A10" s="3"/>
      <c r="B10" s="3"/>
      <c r="C10" s="3"/>
      <c r="D10" s="3"/>
      <c r="E10" s="3"/>
      <c r="F10" s="3"/>
      <c r="G10" s="3"/>
      <c r="H10" s="244">
        <v>71400</v>
      </c>
      <c r="I10" s="3"/>
      <c r="J10" s="3"/>
      <c r="K10" s="3"/>
      <c r="L10" s="3"/>
      <c r="M10" s="3"/>
      <c r="N10" s="4"/>
      <c r="O10" s="3"/>
      <c r="P10" s="29"/>
      <c r="Q10" s="30"/>
      <c r="R10" s="245"/>
    </row>
    <row r="11" spans="1:29" ht="21.95" customHeight="1" x14ac:dyDescent="0.2">
      <c r="A11" s="262" t="s">
        <v>15</v>
      </c>
      <c r="B11" s="262" t="s">
        <v>16</v>
      </c>
      <c r="C11" s="262" t="s">
        <v>17</v>
      </c>
      <c r="D11" s="262">
        <v>62000</v>
      </c>
      <c r="E11" s="262">
        <v>10003</v>
      </c>
      <c r="F11" s="6" t="s">
        <v>18</v>
      </c>
      <c r="G11" s="7" t="s">
        <v>23</v>
      </c>
      <c r="H11" s="6">
        <v>71600</v>
      </c>
      <c r="I11" s="6" t="s">
        <v>23</v>
      </c>
      <c r="J11" s="34">
        <f>SUM(Albania:Zimbabwe!J8)</f>
        <v>0</v>
      </c>
      <c r="K11" s="34">
        <f>SUM(Albania:Zimbabwe!K8)</f>
        <v>0</v>
      </c>
      <c r="L11" s="34">
        <f>SUM(Albania:Zimbabwe!L8)</f>
        <v>0</v>
      </c>
      <c r="M11" s="34">
        <f>SUM(Albania:Zimbabwe!M8)</f>
        <v>0</v>
      </c>
      <c r="N11" s="34">
        <f>SUM(J11:M11)</f>
        <v>0</v>
      </c>
      <c r="O11" s="8"/>
      <c r="P11" s="9">
        <v>0.17892111637333896</v>
      </c>
      <c r="Q11" s="9"/>
      <c r="R11" s="245"/>
    </row>
    <row r="12" spans="1:29" ht="21.95" customHeight="1" x14ac:dyDescent="0.2">
      <c r="A12" s="262"/>
      <c r="B12" s="262"/>
      <c r="C12" s="262"/>
      <c r="D12" s="262"/>
      <c r="E12" s="262"/>
      <c r="F12" s="6" t="s">
        <v>18</v>
      </c>
      <c r="G12" s="7" t="s">
        <v>24</v>
      </c>
      <c r="H12" s="6">
        <v>72500</v>
      </c>
      <c r="I12" s="6" t="s">
        <v>25</v>
      </c>
      <c r="J12" s="34">
        <f>SUM(Albania:Zimbabwe!J9)</f>
        <v>0</v>
      </c>
      <c r="K12" s="34">
        <f>SUM(Albania:Zimbabwe!K9)</f>
        <v>0</v>
      </c>
      <c r="L12" s="34">
        <f>SUM(Albania:Zimbabwe!L9)</f>
        <v>0</v>
      </c>
      <c r="M12" s="34">
        <f>SUM(Albania:Zimbabwe!M9)</f>
        <v>0</v>
      </c>
      <c r="N12" s="34">
        <f t="shared" ref="N12:N13" si="0">SUM(J12:M12)</f>
        <v>0</v>
      </c>
      <c r="O12" s="8"/>
      <c r="P12" s="9">
        <v>5.0905483580528467E-2</v>
      </c>
      <c r="Q12" s="9"/>
      <c r="R12" s="245"/>
    </row>
    <row r="13" spans="1:29" ht="21.95" customHeight="1" x14ac:dyDescent="0.2">
      <c r="A13" s="262"/>
      <c r="B13" s="262"/>
      <c r="C13" s="262"/>
      <c r="D13" s="262"/>
      <c r="E13" s="262"/>
      <c r="F13" s="6" t="s">
        <v>18</v>
      </c>
      <c r="G13" s="7" t="s">
        <v>26</v>
      </c>
      <c r="H13" s="6">
        <v>75700</v>
      </c>
      <c r="I13" s="6" t="s">
        <v>27</v>
      </c>
      <c r="J13" s="34">
        <f>SUM(Albania:Zimbabwe!J10)</f>
        <v>0</v>
      </c>
      <c r="K13" s="34">
        <f>SUM(Albania:Zimbabwe!K10)</f>
        <v>0</v>
      </c>
      <c r="L13" s="34">
        <f>SUM(Albania:Zimbabwe!L10)</f>
        <v>0</v>
      </c>
      <c r="M13" s="34">
        <f>SUM(Albania:Zimbabwe!M10)</f>
        <v>0</v>
      </c>
      <c r="N13" s="34">
        <f t="shared" si="0"/>
        <v>0</v>
      </c>
      <c r="O13" s="8"/>
      <c r="P13" s="9">
        <v>0.13466024340770791</v>
      </c>
      <c r="Q13" s="9"/>
      <c r="R13" s="245"/>
    </row>
    <row r="14" spans="1:29" ht="21.95" customHeight="1" x14ac:dyDescent="0.2">
      <c r="A14" s="262"/>
      <c r="B14" s="262"/>
      <c r="C14" s="6"/>
      <c r="D14" s="6"/>
      <c r="E14" s="6"/>
      <c r="F14" s="6"/>
      <c r="G14" s="7"/>
      <c r="H14" s="6">
        <v>61200</v>
      </c>
      <c r="I14" s="6"/>
      <c r="J14" s="34"/>
      <c r="K14" s="34"/>
      <c r="L14" s="34"/>
      <c r="M14" s="34"/>
      <c r="N14" s="34"/>
      <c r="O14" s="8"/>
      <c r="P14" s="9"/>
      <c r="Q14" s="9"/>
      <c r="R14" s="245"/>
    </row>
    <row r="15" spans="1:29" ht="21.95" customHeight="1" x14ac:dyDescent="0.2">
      <c r="A15" s="262"/>
      <c r="B15" s="262"/>
      <c r="C15" s="6"/>
      <c r="D15" s="6"/>
      <c r="E15" s="6"/>
      <c r="F15" s="6"/>
      <c r="G15" s="7"/>
      <c r="H15" s="6">
        <v>61300</v>
      </c>
      <c r="I15" s="6"/>
      <c r="J15" s="34"/>
      <c r="K15" s="34"/>
      <c r="L15" s="34"/>
      <c r="M15" s="34"/>
      <c r="N15" s="34"/>
      <c r="O15" s="8"/>
      <c r="P15" s="9"/>
      <c r="Q15" s="9"/>
      <c r="R15" s="245"/>
    </row>
    <row r="16" spans="1:29" ht="21.95" customHeight="1" x14ac:dyDescent="0.2">
      <c r="A16" s="262"/>
      <c r="B16" s="262"/>
      <c r="C16" s="261" t="s">
        <v>31</v>
      </c>
      <c r="D16" s="261"/>
      <c r="E16" s="261"/>
      <c r="F16" s="261"/>
      <c r="G16" s="261"/>
      <c r="H16" s="261"/>
      <c r="I16" s="261"/>
      <c r="J16" s="34">
        <f>SUM(J11:J13)</f>
        <v>0</v>
      </c>
      <c r="K16" s="34">
        <f>SUM(K11:K13)</f>
        <v>0</v>
      </c>
      <c r="L16" s="34">
        <f>SUM(L11:L13)</f>
        <v>0</v>
      </c>
      <c r="M16" s="34">
        <f>SUM(M11:M13)</f>
        <v>0</v>
      </c>
      <c r="N16" s="34">
        <f>SUM(N11:N13)</f>
        <v>0</v>
      </c>
      <c r="O16" s="8"/>
      <c r="P16" s="9"/>
      <c r="R16" s="245"/>
    </row>
    <row r="17" spans="1:36" s="2" customFormat="1" ht="21.95" customHeight="1" x14ac:dyDescent="0.2">
      <c r="A17" s="262"/>
      <c r="B17" s="261" t="s">
        <v>32</v>
      </c>
      <c r="C17" s="261"/>
      <c r="D17" s="261"/>
      <c r="E17" s="261"/>
      <c r="F17" s="261"/>
      <c r="G17" s="261"/>
      <c r="H17" s="261"/>
      <c r="I17" s="261"/>
      <c r="J17" s="34">
        <f>J16</f>
        <v>0</v>
      </c>
      <c r="K17" s="34">
        <f t="shared" ref="K17:N17" si="1">K16</f>
        <v>0</v>
      </c>
      <c r="L17" s="34">
        <f t="shared" si="1"/>
        <v>0</v>
      </c>
      <c r="M17" s="34">
        <f t="shared" si="1"/>
        <v>0</v>
      </c>
      <c r="N17" s="34">
        <f t="shared" si="1"/>
        <v>0</v>
      </c>
      <c r="O17" s="8"/>
      <c r="P17" s="9"/>
      <c r="R17" s="245"/>
      <c r="S17" s="1"/>
      <c r="T17" s="1"/>
      <c r="U17" s="1"/>
      <c r="V17" s="1"/>
      <c r="W17" s="1"/>
      <c r="X17" s="1"/>
      <c r="Y17" s="1"/>
      <c r="Z17" s="1"/>
      <c r="AA17" s="1"/>
      <c r="AB17" s="1"/>
      <c r="AC17" s="1"/>
      <c r="AD17" s="1"/>
      <c r="AE17" s="1"/>
      <c r="AF17" s="1"/>
      <c r="AG17" s="1"/>
      <c r="AH17" s="1"/>
      <c r="AI17" s="1"/>
      <c r="AJ17" s="1"/>
    </row>
    <row r="18" spans="1:36" s="2" customFormat="1" ht="21.95" customHeight="1" x14ac:dyDescent="0.2">
      <c r="A18" s="262"/>
      <c r="B18" s="7"/>
      <c r="C18" s="7"/>
      <c r="D18" s="7"/>
      <c r="E18" s="7"/>
      <c r="F18" s="7"/>
      <c r="G18" s="7"/>
      <c r="H18" s="6">
        <v>71200</v>
      </c>
      <c r="I18" s="7"/>
      <c r="J18" s="34"/>
      <c r="K18" s="34"/>
      <c r="L18" s="34"/>
      <c r="M18" s="34"/>
      <c r="N18" s="34"/>
      <c r="O18" s="8"/>
      <c r="P18" s="9"/>
      <c r="R18" s="245"/>
      <c r="S18" s="1"/>
      <c r="T18" s="1"/>
      <c r="U18" s="1"/>
      <c r="V18" s="1"/>
      <c r="W18" s="1"/>
      <c r="X18" s="1"/>
      <c r="Y18" s="1"/>
      <c r="Z18" s="1"/>
      <c r="AA18" s="1"/>
      <c r="AB18" s="1"/>
      <c r="AC18" s="1"/>
      <c r="AD18" s="1"/>
      <c r="AE18" s="1"/>
      <c r="AF18" s="1"/>
      <c r="AG18" s="1"/>
      <c r="AH18" s="1"/>
      <c r="AI18" s="1"/>
      <c r="AJ18" s="1"/>
    </row>
    <row r="19" spans="1:36" s="2" customFormat="1" ht="21.95" customHeight="1" x14ac:dyDescent="0.2">
      <c r="A19" s="262"/>
      <c r="B19" s="7"/>
      <c r="C19" s="7"/>
      <c r="D19" s="7"/>
      <c r="E19" s="7"/>
      <c r="F19" s="7"/>
      <c r="G19" s="7"/>
      <c r="H19" s="6">
        <v>71300</v>
      </c>
      <c r="I19" s="7"/>
      <c r="J19" s="34"/>
      <c r="K19" s="34"/>
      <c r="L19" s="34"/>
      <c r="M19" s="34"/>
      <c r="N19" s="34"/>
      <c r="O19" s="8"/>
      <c r="P19" s="9"/>
      <c r="R19" s="245"/>
      <c r="S19" s="1"/>
      <c r="T19" s="1"/>
      <c r="U19" s="1"/>
      <c r="V19" s="1"/>
      <c r="W19" s="1"/>
      <c r="X19" s="1"/>
      <c r="Y19" s="1"/>
      <c r="Z19" s="1"/>
      <c r="AA19" s="1"/>
      <c r="AB19" s="1"/>
      <c r="AC19" s="1"/>
      <c r="AD19" s="1"/>
      <c r="AE19" s="1"/>
      <c r="AF19" s="1"/>
      <c r="AG19" s="1"/>
      <c r="AH19" s="1"/>
      <c r="AI19" s="1"/>
      <c r="AJ19" s="1"/>
    </row>
    <row r="20" spans="1:36" s="2" customFormat="1" ht="21.95" customHeight="1" x14ac:dyDescent="0.2">
      <c r="A20" s="262"/>
      <c r="B20" s="7"/>
      <c r="C20" s="7"/>
      <c r="D20" s="7"/>
      <c r="E20" s="7"/>
      <c r="F20" s="7"/>
      <c r="G20" s="7"/>
      <c r="H20" s="6">
        <v>71400</v>
      </c>
      <c r="I20" s="7"/>
      <c r="J20" s="34"/>
      <c r="K20" s="34"/>
      <c r="L20" s="34"/>
      <c r="M20" s="34"/>
      <c r="N20" s="34"/>
      <c r="O20" s="8"/>
      <c r="P20" s="9"/>
      <c r="R20" s="245"/>
      <c r="S20" s="1"/>
      <c r="T20" s="1"/>
      <c r="U20" s="1"/>
      <c r="V20" s="1"/>
      <c r="W20" s="1"/>
      <c r="X20" s="1"/>
      <c r="Y20" s="1"/>
      <c r="Z20" s="1"/>
      <c r="AA20" s="1"/>
      <c r="AB20" s="1"/>
      <c r="AC20" s="1"/>
      <c r="AD20" s="1"/>
      <c r="AE20" s="1"/>
      <c r="AF20" s="1"/>
      <c r="AG20" s="1"/>
      <c r="AH20" s="1"/>
      <c r="AI20" s="1"/>
      <c r="AJ20" s="1"/>
    </row>
    <row r="21" spans="1:36" s="2" customFormat="1" ht="21.95" customHeight="1" x14ac:dyDescent="0.2">
      <c r="A21" s="262"/>
      <c r="B21" s="262" t="s">
        <v>33</v>
      </c>
      <c r="C21" s="262" t="s">
        <v>17</v>
      </c>
      <c r="D21" s="262">
        <v>62000</v>
      </c>
      <c r="E21" s="262">
        <v>10003</v>
      </c>
      <c r="F21" s="6" t="s">
        <v>34</v>
      </c>
      <c r="G21" s="7" t="s">
        <v>23</v>
      </c>
      <c r="H21" s="6">
        <v>71600</v>
      </c>
      <c r="I21" s="6" t="s">
        <v>23</v>
      </c>
      <c r="J21" s="34">
        <f>SUM(Albania:Zimbabwe!J13)</f>
        <v>0</v>
      </c>
      <c r="K21" s="34">
        <f>SUM(Albania:Zimbabwe!K13)</f>
        <v>0</v>
      </c>
      <c r="L21" s="34">
        <f>SUM(Albania:Zimbabwe!L13)</f>
        <v>0</v>
      </c>
      <c r="M21" s="34">
        <f>SUM(Albania:Zimbabwe!M13)</f>
        <v>0</v>
      </c>
      <c r="N21" s="34">
        <f t="shared" ref="N21:N23" si="2">SUM(J21:M21)</f>
        <v>0</v>
      </c>
      <c r="O21" s="8"/>
      <c r="P21" s="9">
        <v>0.17892104459107502</v>
      </c>
      <c r="R21" s="245"/>
      <c r="S21" s="1"/>
      <c r="T21" s="1"/>
      <c r="U21" s="1"/>
      <c r="V21" s="1"/>
      <c r="W21" s="1"/>
      <c r="X21" s="1"/>
      <c r="Y21" s="1"/>
      <c r="Z21" s="1"/>
      <c r="AA21" s="1"/>
      <c r="AB21" s="1"/>
      <c r="AC21" s="1"/>
      <c r="AD21" s="1"/>
      <c r="AE21" s="1"/>
      <c r="AF21" s="1"/>
      <c r="AG21" s="1"/>
      <c r="AH21" s="1"/>
      <c r="AI21" s="1"/>
      <c r="AJ21" s="1"/>
    </row>
    <row r="22" spans="1:36" s="2" customFormat="1" ht="21.95" customHeight="1" x14ac:dyDescent="0.2">
      <c r="A22" s="262"/>
      <c r="B22" s="262"/>
      <c r="C22" s="262"/>
      <c r="D22" s="262"/>
      <c r="E22" s="262"/>
      <c r="F22" s="6" t="s">
        <v>34</v>
      </c>
      <c r="G22" s="7" t="s">
        <v>24</v>
      </c>
      <c r="H22" s="6">
        <v>72500</v>
      </c>
      <c r="I22" s="6" t="s">
        <v>25</v>
      </c>
      <c r="J22" s="34">
        <f>SUM(Albania:Zimbabwe!J14)</f>
        <v>0</v>
      </c>
      <c r="K22" s="34">
        <f>SUM(Albania:Zimbabwe!K14)</f>
        <v>0</v>
      </c>
      <c r="L22" s="34">
        <f>SUM(Albania:Zimbabwe!L14)</f>
        <v>0</v>
      </c>
      <c r="M22" s="34">
        <f>SUM(Albania:Zimbabwe!M14)</f>
        <v>0</v>
      </c>
      <c r="N22" s="34">
        <f t="shared" si="2"/>
        <v>0</v>
      </c>
      <c r="O22" s="8"/>
      <c r="P22" s="9">
        <v>5.0901703650977563E-2</v>
      </c>
      <c r="R22" s="245"/>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2"/>
      <c r="D23" s="262"/>
      <c r="E23" s="262"/>
      <c r="F23" s="6" t="s">
        <v>34</v>
      </c>
      <c r="G23" s="7" t="s">
        <v>26</v>
      </c>
      <c r="H23" s="6">
        <v>75700</v>
      </c>
      <c r="I23" s="6" t="s">
        <v>27</v>
      </c>
      <c r="J23" s="34">
        <f>SUM(Albania:Zimbabwe!J15)</f>
        <v>0</v>
      </c>
      <c r="K23" s="34">
        <f>SUM(Albania:Zimbabwe!K15)</f>
        <v>0</v>
      </c>
      <c r="L23" s="34">
        <f>SUM(Albania:Zimbabwe!L15)</f>
        <v>0</v>
      </c>
      <c r="M23" s="34">
        <f>SUM(Albania:Zimbabwe!M15)</f>
        <v>0</v>
      </c>
      <c r="N23" s="34">
        <f t="shared" si="2"/>
        <v>0</v>
      </c>
      <c r="O23" s="8"/>
      <c r="P23" s="9">
        <v>0.13466038975495068</v>
      </c>
      <c r="R23" s="245"/>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2"/>
      <c r="C24" s="6"/>
      <c r="D24" s="6"/>
      <c r="E24" s="6"/>
      <c r="F24" s="6"/>
      <c r="G24" s="7"/>
      <c r="H24" s="6">
        <v>61200</v>
      </c>
      <c r="I24" s="6"/>
      <c r="J24" s="34"/>
      <c r="K24" s="34"/>
      <c r="L24" s="34"/>
      <c r="M24" s="34"/>
      <c r="N24" s="34"/>
      <c r="O24" s="8"/>
      <c r="P24" s="9"/>
      <c r="R24" s="245"/>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c r="C25" s="6"/>
      <c r="D25" s="6"/>
      <c r="E25" s="6"/>
      <c r="F25" s="6"/>
      <c r="G25" s="7"/>
      <c r="H25" s="6">
        <v>61300</v>
      </c>
      <c r="I25" s="6"/>
      <c r="J25" s="34"/>
      <c r="K25" s="34"/>
      <c r="L25" s="34"/>
      <c r="M25" s="34"/>
      <c r="N25" s="34"/>
      <c r="O25" s="8"/>
      <c r="P25" s="9"/>
      <c r="R25" s="245"/>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3" t="s">
        <v>31</v>
      </c>
      <c r="D26" s="263"/>
      <c r="E26" s="263"/>
      <c r="F26" s="263"/>
      <c r="G26" s="263"/>
      <c r="H26" s="263"/>
      <c r="I26" s="263"/>
      <c r="J26" s="34">
        <f>SUM(J21:J23)</f>
        <v>0</v>
      </c>
      <c r="K26" s="34">
        <f>SUM(K21:K23)</f>
        <v>0</v>
      </c>
      <c r="L26" s="34">
        <f>SUM(L21:L23)</f>
        <v>0</v>
      </c>
      <c r="M26" s="34">
        <f>SUM(M21:M23)</f>
        <v>0</v>
      </c>
      <c r="N26" s="34">
        <f>SUM(N21:N23)</f>
        <v>0</v>
      </c>
      <c r="O26" s="8"/>
      <c r="P26" s="9"/>
      <c r="R26" s="245"/>
      <c r="S26" s="1"/>
      <c r="T26" s="1"/>
      <c r="U26" s="1"/>
      <c r="V26" s="1"/>
      <c r="W26" s="1"/>
      <c r="X26" s="1"/>
      <c r="Y26" s="1"/>
      <c r="Z26" s="1"/>
      <c r="AA26" s="1"/>
      <c r="AB26" s="1"/>
      <c r="AC26" s="1"/>
      <c r="AD26" s="1"/>
      <c r="AE26" s="1"/>
      <c r="AF26" s="1"/>
      <c r="AG26" s="1"/>
      <c r="AH26" s="1"/>
      <c r="AI26" s="1"/>
      <c r="AJ26" s="1"/>
    </row>
    <row r="27" spans="1:36" ht="21.95" customHeight="1" x14ac:dyDescent="0.2">
      <c r="A27" s="262"/>
      <c r="B27" s="263" t="s">
        <v>35</v>
      </c>
      <c r="C27" s="263"/>
      <c r="D27" s="263"/>
      <c r="E27" s="263"/>
      <c r="F27" s="263"/>
      <c r="G27" s="263"/>
      <c r="H27" s="263"/>
      <c r="I27" s="263"/>
      <c r="J27" s="34">
        <f>J26</f>
        <v>0</v>
      </c>
      <c r="K27" s="34">
        <f t="shared" ref="K27:N27" si="3">K26</f>
        <v>0</v>
      </c>
      <c r="L27" s="34">
        <f t="shared" si="3"/>
        <v>0</v>
      </c>
      <c r="M27" s="34">
        <f t="shared" si="3"/>
        <v>0</v>
      </c>
      <c r="N27" s="34">
        <f t="shared" si="3"/>
        <v>0</v>
      </c>
      <c r="O27" s="8"/>
      <c r="Q27" s="10"/>
      <c r="R27" s="245"/>
      <c r="Z27" s="11"/>
      <c r="AC27" s="12"/>
      <c r="AD27" s="13"/>
    </row>
    <row r="28" spans="1:36" ht="21.95" customHeight="1" x14ac:dyDescent="0.2">
      <c r="A28" s="261" t="s">
        <v>36</v>
      </c>
      <c r="B28" s="261"/>
      <c r="C28" s="261"/>
      <c r="D28" s="261"/>
      <c r="E28" s="261"/>
      <c r="F28" s="261"/>
      <c r="G28" s="261"/>
      <c r="H28" s="261"/>
      <c r="I28" s="261"/>
      <c r="J28" s="34">
        <f>J17+J27</f>
        <v>0</v>
      </c>
      <c r="K28" s="34">
        <f>K17+K27</f>
        <v>0</v>
      </c>
      <c r="L28" s="34">
        <f>L17+L27</f>
        <v>0</v>
      </c>
      <c r="M28" s="34">
        <f>M17+M27</f>
        <v>0</v>
      </c>
      <c r="N28" s="34">
        <f>N17+N27</f>
        <v>0</v>
      </c>
      <c r="O28" s="8"/>
      <c r="R28" s="245"/>
      <c r="Z28" s="15"/>
      <c r="AJ28" s="16"/>
    </row>
    <row r="29" spans="1:36" ht="21.95" customHeight="1" x14ac:dyDescent="0.2">
      <c r="A29" s="7"/>
      <c r="B29" s="7"/>
      <c r="C29" s="7"/>
      <c r="D29" s="7"/>
      <c r="E29" s="7"/>
      <c r="F29" s="7"/>
      <c r="G29" s="7"/>
      <c r="H29" s="6">
        <v>71200</v>
      </c>
      <c r="I29" s="7"/>
      <c r="J29" s="34"/>
      <c r="K29" s="34"/>
      <c r="L29" s="34"/>
      <c r="M29" s="34"/>
      <c r="N29" s="34"/>
      <c r="O29" s="8"/>
      <c r="R29" s="245"/>
      <c r="Z29" s="15"/>
      <c r="AJ29" s="16"/>
    </row>
    <row r="30" spans="1:36" ht="21.95" customHeight="1" x14ac:dyDescent="0.2">
      <c r="A30" s="7"/>
      <c r="B30" s="7"/>
      <c r="C30" s="7"/>
      <c r="D30" s="7"/>
      <c r="E30" s="7"/>
      <c r="F30" s="7"/>
      <c r="G30" s="7"/>
      <c r="H30" s="6">
        <v>71300</v>
      </c>
      <c r="I30" s="7"/>
      <c r="J30" s="34"/>
      <c r="K30" s="34"/>
      <c r="L30" s="34"/>
      <c r="M30" s="34"/>
      <c r="N30" s="34"/>
      <c r="O30" s="8"/>
      <c r="R30" s="245"/>
      <c r="Z30" s="15"/>
      <c r="AJ30" s="16"/>
    </row>
    <row r="31" spans="1:36" ht="21.95" customHeight="1" x14ac:dyDescent="0.2">
      <c r="A31" s="7"/>
      <c r="B31" s="7"/>
      <c r="C31" s="7"/>
      <c r="D31" s="7"/>
      <c r="E31" s="7"/>
      <c r="F31" s="7"/>
      <c r="G31" s="7"/>
      <c r="H31" s="6">
        <v>71400</v>
      </c>
      <c r="I31" s="7"/>
      <c r="J31" s="34"/>
      <c r="K31" s="34"/>
      <c r="L31" s="34"/>
      <c r="M31" s="34"/>
      <c r="N31" s="34"/>
      <c r="O31" s="8"/>
      <c r="R31" s="245"/>
      <c r="Z31" s="15"/>
      <c r="AJ31" s="16"/>
    </row>
    <row r="32" spans="1:36" ht="21.95" customHeight="1" x14ac:dyDescent="0.2">
      <c r="A32" s="262" t="s">
        <v>37</v>
      </c>
      <c r="B32" s="262" t="s">
        <v>38</v>
      </c>
      <c r="C32" s="262" t="s">
        <v>17</v>
      </c>
      <c r="D32" s="262">
        <v>62000</v>
      </c>
      <c r="E32" s="262">
        <v>10003</v>
      </c>
      <c r="F32" s="6" t="s">
        <v>39</v>
      </c>
      <c r="G32" s="7" t="s">
        <v>23</v>
      </c>
      <c r="H32" s="6">
        <v>71600</v>
      </c>
      <c r="I32" s="6" t="s">
        <v>23</v>
      </c>
      <c r="J32" s="34">
        <f>SUM(Albania:Zimbabwe!J19)</f>
        <v>0</v>
      </c>
      <c r="K32" s="34">
        <f>SUM(Albania:Zimbabwe!K19)</f>
        <v>99443.890000000014</v>
      </c>
      <c r="L32" s="34">
        <f>SUM(Albania:Zimbabwe!L19)</f>
        <v>0</v>
      </c>
      <c r="M32" s="34">
        <f>SUM(Albania:Zimbabwe!M19)</f>
        <v>0</v>
      </c>
      <c r="N32" s="34">
        <f t="shared" ref="N32:N37" si="4">SUM(J32:M32)</f>
        <v>99443.890000000014</v>
      </c>
      <c r="O32" s="8"/>
      <c r="P32" s="9">
        <v>7.8249523324165932E-2</v>
      </c>
      <c r="Q32" s="9"/>
      <c r="R32" s="245"/>
    </row>
    <row r="33" spans="1:36" ht="21.95" customHeight="1" x14ac:dyDescent="0.2">
      <c r="A33" s="262"/>
      <c r="B33" s="262"/>
      <c r="C33" s="262"/>
      <c r="D33" s="262"/>
      <c r="E33" s="262"/>
      <c r="F33" s="6" t="s">
        <v>39</v>
      </c>
      <c r="G33" s="6" t="s">
        <v>24</v>
      </c>
      <c r="H33" s="6">
        <v>72500</v>
      </c>
      <c r="I33" s="6" t="s">
        <v>25</v>
      </c>
      <c r="J33" s="34">
        <f>SUM(Albania:Zimbabwe!J20)</f>
        <v>0</v>
      </c>
      <c r="K33" s="34">
        <f>SUM(Albania:Zimbabwe!K20)</f>
        <v>0</v>
      </c>
      <c r="L33" s="34">
        <f>SUM(Albania:Zimbabwe!L20)</f>
        <v>0</v>
      </c>
      <c r="M33" s="34">
        <f>SUM(Albania:Zimbabwe!M20)</f>
        <v>0</v>
      </c>
      <c r="N33" s="34">
        <f t="shared" si="4"/>
        <v>0</v>
      </c>
      <c r="O33" s="8"/>
      <c r="P33" s="9">
        <v>4.8991540912546296E-2</v>
      </c>
      <c r="Q33" s="9"/>
      <c r="R33" s="245"/>
    </row>
    <row r="34" spans="1:36" ht="21.95" customHeight="1" x14ac:dyDescent="0.2">
      <c r="A34" s="262"/>
      <c r="B34" s="262"/>
      <c r="C34" s="262"/>
      <c r="D34" s="262"/>
      <c r="E34" s="262"/>
      <c r="F34" s="6" t="s">
        <v>39</v>
      </c>
      <c r="G34" s="7" t="s">
        <v>26</v>
      </c>
      <c r="H34" s="6">
        <v>75700</v>
      </c>
      <c r="I34" s="6" t="s">
        <v>27</v>
      </c>
      <c r="J34" s="34">
        <f>SUM(Albania:Zimbabwe!J21)</f>
        <v>0</v>
      </c>
      <c r="K34" s="34">
        <f>SUM(Albania:Zimbabwe!K21)</f>
        <v>0</v>
      </c>
      <c r="L34" s="34">
        <f>SUM(Albania:Zimbabwe!L21)</f>
        <v>0</v>
      </c>
      <c r="M34" s="34">
        <f>SUM(Albania:Zimbabwe!M21)</f>
        <v>0</v>
      </c>
      <c r="N34" s="34">
        <f t="shared" si="4"/>
        <v>0</v>
      </c>
      <c r="O34" s="8"/>
      <c r="P34" s="9">
        <v>0.12958361505521748</v>
      </c>
      <c r="Q34" s="9"/>
      <c r="R34" s="245"/>
    </row>
    <row r="35" spans="1:36" ht="21.95" customHeight="1" x14ac:dyDescent="0.2">
      <c r="A35" s="262"/>
      <c r="B35" s="262"/>
      <c r="C35" s="262"/>
      <c r="D35" s="262"/>
      <c r="E35" s="262"/>
      <c r="F35" s="6"/>
      <c r="G35" s="7"/>
      <c r="H35" s="6">
        <v>61200</v>
      </c>
      <c r="I35" s="6"/>
      <c r="J35" s="34"/>
      <c r="K35" s="34"/>
      <c r="L35" s="34"/>
      <c r="M35" s="34"/>
      <c r="N35" s="34"/>
      <c r="O35" s="8"/>
      <c r="P35" s="9"/>
      <c r="Q35" s="9"/>
      <c r="R35" s="245"/>
    </row>
    <row r="36" spans="1:36" ht="21.95" customHeight="1" x14ac:dyDescent="0.2">
      <c r="A36" s="262"/>
      <c r="B36" s="262"/>
      <c r="C36" s="262"/>
      <c r="D36" s="262"/>
      <c r="E36" s="262"/>
      <c r="F36" s="6"/>
      <c r="G36" s="7"/>
      <c r="H36" s="6">
        <v>61300</v>
      </c>
      <c r="I36" s="6"/>
      <c r="J36" s="34"/>
      <c r="K36" s="34"/>
      <c r="L36" s="34"/>
      <c r="M36" s="34"/>
      <c r="N36" s="34"/>
      <c r="O36" s="8"/>
      <c r="P36" s="9"/>
      <c r="Q36" s="9"/>
      <c r="R36" s="245"/>
    </row>
    <row r="37" spans="1:36" s="2" customFormat="1" ht="21.95" customHeight="1" x14ac:dyDescent="0.2">
      <c r="A37" s="262"/>
      <c r="B37" s="262"/>
      <c r="C37" s="262"/>
      <c r="D37" s="262"/>
      <c r="E37" s="262"/>
      <c r="F37" s="6" t="s">
        <v>39</v>
      </c>
      <c r="G37" s="7" t="s">
        <v>40</v>
      </c>
      <c r="H37" s="6">
        <v>72600</v>
      </c>
      <c r="I37" s="6" t="s">
        <v>40</v>
      </c>
      <c r="J37" s="34">
        <f>SUM(Albania:Zimbabwe!J22)</f>
        <v>4339772.7099999981</v>
      </c>
      <c r="K37" s="34">
        <f>SUM(Albania:Zimbabwe!K22)</f>
        <v>17359090.839999992</v>
      </c>
      <c r="L37" s="34">
        <f>SUM(Albania:Zimbabwe!L22)</f>
        <v>15189204.484999992</v>
      </c>
      <c r="M37" s="34">
        <f>SUM(Albania:Zimbabwe!M22)</f>
        <v>6509659.0649999967</v>
      </c>
      <c r="N37" s="34">
        <f t="shared" si="4"/>
        <v>43397727.099999979</v>
      </c>
      <c r="O37" s="8"/>
      <c r="P37" s="9">
        <v>0</v>
      </c>
      <c r="Q37" s="9"/>
      <c r="R37" s="245"/>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c r="C38" s="261" t="s">
        <v>31</v>
      </c>
      <c r="D38" s="261"/>
      <c r="E38" s="261"/>
      <c r="F38" s="261"/>
      <c r="G38" s="261"/>
      <c r="H38" s="261"/>
      <c r="I38" s="261"/>
      <c r="J38" s="34">
        <f>SUM(J32:J37)</f>
        <v>4339772.7099999981</v>
      </c>
      <c r="K38" s="34">
        <f>SUM(K32:K37)</f>
        <v>17458534.729999993</v>
      </c>
      <c r="L38" s="34">
        <f>SUM(L32:L37)</f>
        <v>15189204.484999992</v>
      </c>
      <c r="M38" s="34">
        <f>SUM(M32:M37)</f>
        <v>6509659.0649999967</v>
      </c>
      <c r="N38" s="34">
        <f>SUM(N32:N37)</f>
        <v>43497170.98999998</v>
      </c>
      <c r="O38" s="8"/>
      <c r="P38" s="9"/>
      <c r="R38" s="245"/>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1" t="s">
        <v>41</v>
      </c>
      <c r="C39" s="261"/>
      <c r="D39" s="261"/>
      <c r="E39" s="261"/>
      <c r="F39" s="261"/>
      <c r="G39" s="261"/>
      <c r="H39" s="261"/>
      <c r="I39" s="261"/>
      <c r="J39" s="34">
        <f>J38</f>
        <v>4339772.7099999981</v>
      </c>
      <c r="K39" s="34">
        <f t="shared" ref="K39:N39" si="5">K38</f>
        <v>17458534.729999993</v>
      </c>
      <c r="L39" s="34">
        <f t="shared" si="5"/>
        <v>15189204.484999992</v>
      </c>
      <c r="M39" s="34">
        <f t="shared" si="5"/>
        <v>6509659.0649999967</v>
      </c>
      <c r="N39" s="34">
        <f t="shared" si="5"/>
        <v>43497170.98999998</v>
      </c>
      <c r="O39" s="8"/>
      <c r="P39" s="9"/>
      <c r="R39" s="245"/>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7"/>
      <c r="C40" s="7"/>
      <c r="D40" s="7"/>
      <c r="E40" s="7"/>
      <c r="F40" s="7"/>
      <c r="G40" s="7"/>
      <c r="H40" s="6">
        <v>71200</v>
      </c>
      <c r="I40" s="7"/>
      <c r="J40" s="34"/>
      <c r="K40" s="34"/>
      <c r="L40" s="34"/>
      <c r="M40" s="34"/>
      <c r="N40" s="34"/>
      <c r="O40" s="8"/>
      <c r="P40" s="9"/>
      <c r="R40" s="245"/>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7"/>
      <c r="C41" s="7"/>
      <c r="D41" s="7"/>
      <c r="E41" s="7"/>
      <c r="F41" s="7"/>
      <c r="G41" s="7"/>
      <c r="H41" s="6">
        <v>71300</v>
      </c>
      <c r="I41" s="7"/>
      <c r="J41" s="34"/>
      <c r="K41" s="34"/>
      <c r="L41" s="34"/>
      <c r="M41" s="34"/>
      <c r="N41" s="34"/>
      <c r="O41" s="8"/>
      <c r="P41" s="9"/>
      <c r="R41" s="245"/>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7"/>
      <c r="C42" s="7"/>
      <c r="D42" s="7"/>
      <c r="E42" s="7"/>
      <c r="F42" s="7"/>
      <c r="G42" s="7"/>
      <c r="H42" s="6">
        <v>71400</v>
      </c>
      <c r="I42" s="7"/>
      <c r="J42" s="34"/>
      <c r="K42" s="34"/>
      <c r="L42" s="34"/>
      <c r="M42" s="34"/>
      <c r="N42" s="34"/>
      <c r="O42" s="8"/>
      <c r="P42" s="9"/>
      <c r="R42" s="245"/>
      <c r="S42" s="1"/>
      <c r="T42" s="1"/>
      <c r="U42" s="1"/>
      <c r="V42" s="1"/>
      <c r="W42" s="1"/>
      <c r="X42" s="1"/>
      <c r="Y42" s="1"/>
      <c r="Z42" s="1"/>
      <c r="AA42" s="1"/>
      <c r="AB42" s="1"/>
      <c r="AC42" s="1"/>
      <c r="AD42" s="1"/>
      <c r="AE42" s="1"/>
      <c r="AF42" s="1"/>
      <c r="AG42" s="1"/>
      <c r="AH42" s="1"/>
      <c r="AI42" s="1"/>
      <c r="AJ42" s="1"/>
    </row>
    <row r="43" spans="1:36" s="2" customFormat="1" ht="21.95" customHeight="1" x14ac:dyDescent="0.2">
      <c r="A43" s="262"/>
      <c r="B43" s="262" t="s">
        <v>42</v>
      </c>
      <c r="C43" s="262" t="s">
        <v>17</v>
      </c>
      <c r="D43" s="262">
        <v>62000</v>
      </c>
      <c r="E43" s="262">
        <v>10003</v>
      </c>
      <c r="F43" s="6" t="s">
        <v>43</v>
      </c>
      <c r="G43" s="7" t="s">
        <v>23</v>
      </c>
      <c r="H43" s="6">
        <v>71600</v>
      </c>
      <c r="I43" s="6" t="s">
        <v>23</v>
      </c>
      <c r="J43" s="34">
        <f>SUM(Albania:Zimbabwe!J25)</f>
        <v>0</v>
      </c>
      <c r="K43" s="34">
        <f>SUM(Albania:Zimbabwe!K25)</f>
        <v>62854.640000000007</v>
      </c>
      <c r="L43" s="34">
        <f>SUM(Albania:Zimbabwe!L25)</f>
        <v>0</v>
      </c>
      <c r="M43" s="34">
        <f>SUM(Albania:Zimbabwe!M25)</f>
        <v>0</v>
      </c>
      <c r="N43" s="34">
        <f t="shared" ref="N43:N48" si="6">SUM(J43:M43)</f>
        <v>62854.640000000007</v>
      </c>
      <c r="O43" s="8"/>
      <c r="P43" s="9">
        <v>7.8249775785069794E-2</v>
      </c>
      <c r="R43" s="245"/>
      <c r="S43" s="1"/>
      <c r="T43" s="1"/>
      <c r="U43" s="1"/>
      <c r="V43" s="1"/>
      <c r="W43" s="1"/>
      <c r="X43" s="1"/>
      <c r="Y43" s="1"/>
      <c r="Z43" s="1"/>
      <c r="AA43" s="1"/>
      <c r="AB43" s="1"/>
      <c r="AC43" s="1"/>
      <c r="AD43" s="1"/>
      <c r="AE43" s="1"/>
      <c r="AF43" s="1"/>
      <c r="AG43" s="1"/>
      <c r="AH43" s="1"/>
      <c r="AI43" s="1"/>
      <c r="AJ43" s="1"/>
    </row>
    <row r="44" spans="1:36" s="2" customFormat="1" ht="21.95" customHeight="1" x14ac:dyDescent="0.2">
      <c r="A44" s="262"/>
      <c r="B44" s="262"/>
      <c r="C44" s="262"/>
      <c r="D44" s="262"/>
      <c r="E44" s="262"/>
      <c r="F44" s="6" t="s">
        <v>43</v>
      </c>
      <c r="G44" s="6" t="s">
        <v>24</v>
      </c>
      <c r="H44" s="6">
        <v>72500</v>
      </c>
      <c r="I44" s="6" t="s">
        <v>25</v>
      </c>
      <c r="J44" s="34">
        <f>SUM(Albania:Zimbabwe!J26)</f>
        <v>0</v>
      </c>
      <c r="K44" s="34">
        <f>SUM(Albania:Zimbabwe!K26)</f>
        <v>0</v>
      </c>
      <c r="L44" s="34">
        <f>SUM(Albania:Zimbabwe!L26)</f>
        <v>0</v>
      </c>
      <c r="M44" s="34">
        <f>SUM(Albania:Zimbabwe!M26)</f>
        <v>0</v>
      </c>
      <c r="N44" s="34">
        <f t="shared" si="6"/>
        <v>0</v>
      </c>
      <c r="O44" s="8"/>
      <c r="P44" s="9">
        <v>4.8989707433404861E-2</v>
      </c>
      <c r="R44" s="245"/>
      <c r="S44" s="1"/>
      <c r="T44" s="1"/>
      <c r="U44" s="1"/>
      <c r="V44" s="1"/>
      <c r="W44" s="1"/>
      <c r="X44" s="1"/>
      <c r="Y44" s="1"/>
      <c r="Z44" s="1"/>
      <c r="AA44" s="1"/>
      <c r="AB44" s="1"/>
      <c r="AC44" s="1"/>
      <c r="AD44" s="1"/>
      <c r="AE44" s="1"/>
      <c r="AF44" s="1"/>
      <c r="AG44" s="1"/>
      <c r="AH44" s="1"/>
      <c r="AI44" s="1"/>
      <c r="AJ44" s="1"/>
    </row>
    <row r="45" spans="1:36" ht="21.95" customHeight="1" x14ac:dyDescent="0.2">
      <c r="A45" s="262"/>
      <c r="B45" s="262"/>
      <c r="C45" s="262"/>
      <c r="D45" s="262"/>
      <c r="E45" s="262"/>
      <c r="F45" s="6" t="s">
        <v>43</v>
      </c>
      <c r="G45" s="7" t="s">
        <v>26</v>
      </c>
      <c r="H45" s="6">
        <v>75700</v>
      </c>
      <c r="I45" s="6" t="s">
        <v>27</v>
      </c>
      <c r="J45" s="34">
        <f>SUM(Albania:Zimbabwe!J27)</f>
        <v>0</v>
      </c>
      <c r="K45" s="34">
        <f>SUM(Albania:Zimbabwe!K27)</f>
        <v>0</v>
      </c>
      <c r="L45" s="34">
        <f>SUM(Albania:Zimbabwe!L27)</f>
        <v>0</v>
      </c>
      <c r="M45" s="34">
        <f>SUM(Albania:Zimbabwe!M27)</f>
        <v>0</v>
      </c>
      <c r="N45" s="34">
        <f t="shared" si="6"/>
        <v>0</v>
      </c>
      <c r="O45" s="8"/>
      <c r="P45" s="9">
        <v>0.12958347586701199</v>
      </c>
      <c r="R45" s="245"/>
    </row>
    <row r="46" spans="1:36" ht="21.95" customHeight="1" x14ac:dyDescent="0.2">
      <c r="A46" s="262"/>
      <c r="B46" s="262"/>
      <c r="C46" s="262"/>
      <c r="D46" s="262"/>
      <c r="E46" s="262"/>
      <c r="F46" s="6"/>
      <c r="G46" s="7"/>
      <c r="H46" s="6">
        <v>61200</v>
      </c>
      <c r="I46" s="6"/>
      <c r="J46" s="34"/>
      <c r="K46" s="34"/>
      <c r="L46" s="34"/>
      <c r="M46" s="34"/>
      <c r="N46" s="34"/>
      <c r="O46" s="8"/>
      <c r="P46" s="9"/>
      <c r="R46" s="245"/>
    </row>
    <row r="47" spans="1:36" ht="21.95" customHeight="1" x14ac:dyDescent="0.2">
      <c r="A47" s="262"/>
      <c r="B47" s="262"/>
      <c r="C47" s="262"/>
      <c r="D47" s="262"/>
      <c r="E47" s="262"/>
      <c r="F47" s="6"/>
      <c r="G47" s="7"/>
      <c r="H47" s="6">
        <v>61300</v>
      </c>
      <c r="I47" s="6"/>
      <c r="J47" s="34"/>
      <c r="K47" s="34"/>
      <c r="L47" s="34"/>
      <c r="M47" s="34"/>
      <c r="N47" s="34"/>
      <c r="O47" s="8"/>
      <c r="P47" s="9"/>
      <c r="R47" s="245"/>
    </row>
    <row r="48" spans="1:36" ht="21.95" customHeight="1" x14ac:dyDescent="0.2">
      <c r="A48" s="262"/>
      <c r="B48" s="262"/>
      <c r="C48" s="262"/>
      <c r="D48" s="262"/>
      <c r="E48" s="262"/>
      <c r="F48" s="6" t="s">
        <v>43</v>
      </c>
      <c r="G48" s="7" t="s">
        <v>40</v>
      </c>
      <c r="H48" s="6">
        <v>72600</v>
      </c>
      <c r="I48" s="6" t="s">
        <v>40</v>
      </c>
      <c r="J48" s="34">
        <f>SUM(Albania:Zimbabwe!J28)</f>
        <v>3659432.5989999999</v>
      </c>
      <c r="K48" s="34">
        <f>SUM(Albania:Zimbabwe!K28)</f>
        <v>14637730.396</v>
      </c>
      <c r="L48" s="34">
        <f>SUM(Albania:Zimbabwe!L28)</f>
        <v>12808014.096499998</v>
      </c>
      <c r="M48" s="34">
        <f>SUM(Albania:Zimbabwe!M28)</f>
        <v>5489148.8985000001</v>
      </c>
      <c r="N48" s="34">
        <f t="shared" si="6"/>
        <v>36594325.990000002</v>
      </c>
      <c r="O48" s="8"/>
      <c r="P48" s="9">
        <v>0</v>
      </c>
      <c r="R48" s="245"/>
    </row>
    <row r="49" spans="1:36" ht="21.95" customHeight="1" x14ac:dyDescent="0.2">
      <c r="A49" s="262"/>
      <c r="B49" s="262"/>
      <c r="C49" s="263" t="s">
        <v>31</v>
      </c>
      <c r="D49" s="263"/>
      <c r="E49" s="263"/>
      <c r="F49" s="263"/>
      <c r="G49" s="263"/>
      <c r="H49" s="263"/>
      <c r="I49" s="263"/>
      <c r="J49" s="34">
        <f>SUM(J43:J48)</f>
        <v>3659432.5989999999</v>
      </c>
      <c r="K49" s="34">
        <f>SUM(K43:K48)</f>
        <v>14700585.036</v>
      </c>
      <c r="L49" s="34">
        <f>SUM(L43:L48)</f>
        <v>12808014.096499998</v>
      </c>
      <c r="M49" s="34">
        <f>SUM(M43:M48)</f>
        <v>5489148.8985000001</v>
      </c>
      <c r="N49" s="34">
        <f>SUM(N43:N48)</f>
        <v>36657180.630000003</v>
      </c>
      <c r="O49" s="8"/>
      <c r="P49" s="9"/>
      <c r="R49" s="245"/>
    </row>
    <row r="50" spans="1:36" ht="21.95" customHeight="1" x14ac:dyDescent="0.2">
      <c r="A50" s="262"/>
      <c r="B50" s="263" t="s">
        <v>44</v>
      </c>
      <c r="C50" s="263"/>
      <c r="D50" s="263"/>
      <c r="E50" s="263"/>
      <c r="F50" s="263"/>
      <c r="G50" s="263"/>
      <c r="H50" s="263"/>
      <c r="I50" s="263"/>
      <c r="J50" s="34">
        <f>J49</f>
        <v>3659432.5989999999</v>
      </c>
      <c r="K50" s="34">
        <f t="shared" ref="K50:N50" si="7">K49</f>
        <v>14700585.036</v>
      </c>
      <c r="L50" s="34">
        <f t="shared" si="7"/>
        <v>12808014.096499998</v>
      </c>
      <c r="M50" s="34">
        <f t="shared" si="7"/>
        <v>5489148.8985000001</v>
      </c>
      <c r="N50" s="34">
        <f t="shared" si="7"/>
        <v>36657180.630000003</v>
      </c>
      <c r="O50" s="8"/>
      <c r="Q50" s="10"/>
      <c r="R50" s="245"/>
      <c r="Z50" s="11"/>
      <c r="AC50" s="12"/>
      <c r="AD50" s="13"/>
    </row>
    <row r="51" spans="1:36" ht="21.95" customHeight="1" x14ac:dyDescent="0.2">
      <c r="A51" s="261" t="s">
        <v>45</v>
      </c>
      <c r="B51" s="261"/>
      <c r="C51" s="261"/>
      <c r="D51" s="261"/>
      <c r="E51" s="261"/>
      <c r="F51" s="261"/>
      <c r="G51" s="261"/>
      <c r="H51" s="261"/>
      <c r="I51" s="261"/>
      <c r="J51" s="34">
        <f>J39+J50</f>
        <v>7999205.3089999985</v>
      </c>
      <c r="K51" s="34">
        <f>K39+K50</f>
        <v>32159119.765999995</v>
      </c>
      <c r="L51" s="34">
        <f>L39+L50</f>
        <v>27997218.58149999</v>
      </c>
      <c r="M51" s="34">
        <f>M39+M50</f>
        <v>11998807.963499997</v>
      </c>
      <c r="N51" s="34">
        <f>N39+N50</f>
        <v>80154351.619999975</v>
      </c>
      <c r="O51" s="8"/>
      <c r="R51" s="245"/>
      <c r="Z51" s="15"/>
      <c r="AJ51" s="16"/>
    </row>
    <row r="52" spans="1:36" ht="21.95" customHeight="1" x14ac:dyDescent="0.2">
      <c r="A52" s="7"/>
      <c r="B52" s="7"/>
      <c r="C52" s="7"/>
      <c r="D52" s="7"/>
      <c r="E52" s="7"/>
      <c r="F52" s="7"/>
      <c r="G52" s="7"/>
      <c r="H52" s="6">
        <v>71200</v>
      </c>
      <c r="I52" s="7"/>
      <c r="J52" s="34"/>
      <c r="K52" s="34"/>
      <c r="L52" s="34"/>
      <c r="M52" s="34"/>
      <c r="N52" s="34"/>
      <c r="O52" s="8"/>
      <c r="R52" s="245"/>
      <c r="Z52" s="15"/>
      <c r="AJ52" s="16"/>
    </row>
    <row r="53" spans="1:36" ht="21.95" customHeight="1" x14ac:dyDescent="0.2">
      <c r="A53" s="7"/>
      <c r="B53" s="7"/>
      <c r="C53" s="7"/>
      <c r="D53" s="7"/>
      <c r="E53" s="7"/>
      <c r="F53" s="7"/>
      <c r="G53" s="7"/>
      <c r="H53" s="6">
        <v>71300</v>
      </c>
      <c r="I53" s="7"/>
      <c r="J53" s="34"/>
      <c r="K53" s="34"/>
      <c r="L53" s="34"/>
      <c r="M53" s="34"/>
      <c r="N53" s="34"/>
      <c r="O53" s="8"/>
      <c r="R53" s="245"/>
      <c r="Z53" s="15"/>
      <c r="AJ53" s="16"/>
    </row>
    <row r="54" spans="1:36" ht="21.95" customHeight="1" x14ac:dyDescent="0.2">
      <c r="A54" s="7"/>
      <c r="B54" s="7"/>
      <c r="C54" s="7"/>
      <c r="D54" s="7"/>
      <c r="E54" s="7"/>
      <c r="F54" s="7"/>
      <c r="G54" s="7"/>
      <c r="H54" s="6">
        <v>71400</v>
      </c>
      <c r="I54" s="7"/>
      <c r="J54" s="34"/>
      <c r="K54" s="34"/>
      <c r="L54" s="34"/>
      <c r="M54" s="34"/>
      <c r="N54" s="34"/>
      <c r="O54" s="8"/>
      <c r="R54" s="245"/>
      <c r="Z54" s="15"/>
      <c r="AJ54" s="16"/>
    </row>
    <row r="55" spans="1:36" s="2" customFormat="1" ht="21.95" customHeight="1" x14ac:dyDescent="0.2">
      <c r="A55" s="262" t="s">
        <v>46</v>
      </c>
      <c r="B55" s="262" t="s">
        <v>47</v>
      </c>
      <c r="C55" s="262" t="s">
        <v>17</v>
      </c>
      <c r="D55" s="262">
        <v>62000</v>
      </c>
      <c r="E55" s="262">
        <v>10003</v>
      </c>
      <c r="F55" s="6" t="s">
        <v>48</v>
      </c>
      <c r="G55" s="7" t="s">
        <v>23</v>
      </c>
      <c r="H55" s="6">
        <v>71600</v>
      </c>
      <c r="I55" s="6" t="s">
        <v>23</v>
      </c>
      <c r="J55" s="34">
        <f>SUM(Albania:Zimbabwe!J32)</f>
        <v>0</v>
      </c>
      <c r="K55" s="34">
        <f>SUM(Albania:Zimbabwe!K32)</f>
        <v>217752.88000000006</v>
      </c>
      <c r="L55" s="34">
        <f>SUM(Albania:Zimbabwe!L32)</f>
        <v>0</v>
      </c>
      <c r="M55" s="34">
        <f>SUM(Albania:Zimbabwe!M32)</f>
        <v>0</v>
      </c>
      <c r="N55" s="34">
        <f t="shared" ref="N55:N58" si="8">SUM(J55:M55)</f>
        <v>217752.88000000006</v>
      </c>
      <c r="O55" s="8"/>
      <c r="P55" s="9">
        <v>0.16863048323653373</v>
      </c>
      <c r="Q55" s="9"/>
      <c r="R55" s="245"/>
      <c r="S55" s="1"/>
      <c r="T55" s="1"/>
      <c r="U55" s="1"/>
      <c r="V55" s="1"/>
      <c r="W55" s="1"/>
      <c r="X55" s="1"/>
      <c r="Y55" s="1"/>
      <c r="Z55" s="1"/>
      <c r="AA55" s="1"/>
      <c r="AB55" s="1"/>
      <c r="AC55" s="1"/>
      <c r="AD55" s="1"/>
      <c r="AE55" s="1"/>
      <c r="AF55" s="1"/>
      <c r="AG55" s="1"/>
      <c r="AH55" s="1"/>
      <c r="AI55" s="1"/>
      <c r="AJ55" s="1"/>
    </row>
    <row r="56" spans="1:36" s="2" customFormat="1" ht="21.95" customHeight="1" x14ac:dyDescent="0.2">
      <c r="A56" s="262"/>
      <c r="B56" s="262"/>
      <c r="C56" s="262"/>
      <c r="D56" s="262"/>
      <c r="E56" s="262"/>
      <c r="F56" s="6" t="s">
        <v>48</v>
      </c>
      <c r="G56" s="7" t="s">
        <v>24</v>
      </c>
      <c r="H56" s="6">
        <v>72500</v>
      </c>
      <c r="I56" s="6" t="s">
        <v>25</v>
      </c>
      <c r="J56" s="34">
        <f>SUM(Albania:Zimbabwe!J33)</f>
        <v>0</v>
      </c>
      <c r="K56" s="34">
        <f>SUM(Albania:Zimbabwe!K33)</f>
        <v>0</v>
      </c>
      <c r="L56" s="34">
        <f>SUM(Albania:Zimbabwe!L33)</f>
        <v>0</v>
      </c>
      <c r="M56" s="34">
        <f>SUM(Albania:Zimbabwe!M33)</f>
        <v>0</v>
      </c>
      <c r="N56" s="34">
        <f t="shared" si="8"/>
        <v>0</v>
      </c>
      <c r="O56" s="8"/>
      <c r="P56" s="9">
        <v>2.7134854782969686E-2</v>
      </c>
      <c r="Q56" s="9"/>
      <c r="R56" s="245"/>
      <c r="S56" s="1"/>
      <c r="T56" s="1"/>
      <c r="U56" s="1"/>
      <c r="V56" s="1"/>
      <c r="W56" s="1"/>
      <c r="X56" s="1"/>
      <c r="Y56" s="1"/>
      <c r="Z56" s="1"/>
      <c r="AA56" s="1"/>
      <c r="AB56" s="1"/>
      <c r="AC56" s="1"/>
      <c r="AD56" s="1"/>
      <c r="AE56" s="1"/>
      <c r="AF56" s="1"/>
      <c r="AG56" s="1"/>
      <c r="AH56" s="1"/>
      <c r="AI56" s="1"/>
      <c r="AJ56" s="1"/>
    </row>
    <row r="57" spans="1:36" s="2" customFormat="1" ht="21.95" customHeight="1" x14ac:dyDescent="0.2">
      <c r="A57" s="262"/>
      <c r="B57" s="262"/>
      <c r="C57" s="262"/>
      <c r="D57" s="262"/>
      <c r="E57" s="262"/>
      <c r="F57" s="6" t="s">
        <v>48</v>
      </c>
      <c r="G57" s="7" t="s">
        <v>23</v>
      </c>
      <c r="H57" s="6">
        <v>74500</v>
      </c>
      <c r="I57" s="6" t="s">
        <v>49</v>
      </c>
      <c r="J57" s="34">
        <f>SUM(Albania:Zimbabwe!J34)</f>
        <v>0</v>
      </c>
      <c r="K57" s="34">
        <f>SUM(Albania:Zimbabwe!K34)</f>
        <v>0</v>
      </c>
      <c r="L57" s="34">
        <f>SUM(Albania:Zimbabwe!L34)</f>
        <v>0</v>
      </c>
      <c r="M57" s="34">
        <f>SUM(Albania:Zimbabwe!M34)</f>
        <v>0</v>
      </c>
      <c r="N57" s="34">
        <f t="shared" si="8"/>
        <v>0</v>
      </c>
      <c r="O57" s="8"/>
      <c r="P57" s="9">
        <v>1.384191836993511E-2</v>
      </c>
      <c r="Q57" s="9"/>
      <c r="R57" s="245"/>
      <c r="S57" s="1"/>
      <c r="T57" s="1"/>
      <c r="U57" s="1"/>
      <c r="V57" s="1"/>
      <c r="W57" s="1"/>
      <c r="X57" s="1"/>
      <c r="Y57" s="1"/>
      <c r="Z57" s="1"/>
      <c r="AA57" s="1"/>
      <c r="AB57" s="1"/>
      <c r="AC57" s="1"/>
      <c r="AD57" s="1"/>
      <c r="AE57" s="1"/>
      <c r="AF57" s="1"/>
      <c r="AG57" s="1"/>
      <c r="AH57" s="1"/>
      <c r="AI57" s="1"/>
      <c r="AJ57" s="1"/>
    </row>
    <row r="58" spans="1:36" s="2" customFormat="1" ht="21.95" customHeight="1" x14ac:dyDescent="0.2">
      <c r="A58" s="262"/>
      <c r="B58" s="262"/>
      <c r="C58" s="262"/>
      <c r="D58" s="262"/>
      <c r="E58" s="262"/>
      <c r="F58" s="6" t="s">
        <v>48</v>
      </c>
      <c r="G58" s="7" t="s">
        <v>26</v>
      </c>
      <c r="H58" s="6">
        <v>75700</v>
      </c>
      <c r="I58" s="6" t="s">
        <v>27</v>
      </c>
      <c r="J58" s="34">
        <f>SUM(Albania:Zimbabwe!J35)</f>
        <v>0</v>
      </c>
      <c r="K58" s="34">
        <f>SUM(Albania:Zimbabwe!K35)</f>
        <v>0</v>
      </c>
      <c r="L58" s="34">
        <f>SUM(Albania:Zimbabwe!L35)</f>
        <v>0</v>
      </c>
      <c r="M58" s="34">
        <f>SUM(Albania:Zimbabwe!M35)</f>
        <v>0</v>
      </c>
      <c r="N58" s="34">
        <f t="shared" si="8"/>
        <v>0</v>
      </c>
      <c r="O58" s="8"/>
      <c r="P58" s="9">
        <v>7.1768649988731129E-2</v>
      </c>
      <c r="Q58" s="9"/>
      <c r="R58" s="245"/>
      <c r="S58" s="1"/>
      <c r="T58" s="1"/>
      <c r="U58" s="1"/>
      <c r="V58" s="1"/>
      <c r="W58" s="1"/>
      <c r="X58" s="1"/>
      <c r="Y58" s="1"/>
      <c r="Z58" s="1"/>
      <c r="AA58" s="1"/>
      <c r="AB58" s="1"/>
      <c r="AC58" s="1"/>
      <c r="AD58" s="1"/>
      <c r="AE58" s="1"/>
      <c r="AF58" s="1"/>
      <c r="AG58" s="1"/>
      <c r="AH58" s="1"/>
      <c r="AI58" s="1"/>
      <c r="AJ58" s="1"/>
    </row>
    <row r="59" spans="1:36" s="2" customFormat="1" ht="21.95" customHeight="1" x14ac:dyDescent="0.2">
      <c r="A59" s="262"/>
      <c r="B59" s="262"/>
      <c r="C59" s="6"/>
      <c r="D59" s="6"/>
      <c r="E59" s="6"/>
      <c r="F59" s="6"/>
      <c r="G59" s="7"/>
      <c r="H59" s="6">
        <v>61200</v>
      </c>
      <c r="I59" s="6"/>
      <c r="J59" s="34"/>
      <c r="K59" s="34"/>
      <c r="L59" s="34"/>
      <c r="M59" s="34"/>
      <c r="N59" s="34"/>
      <c r="O59" s="8"/>
      <c r="P59" s="9"/>
      <c r="Q59" s="9"/>
      <c r="R59" s="245"/>
      <c r="S59" s="1"/>
      <c r="T59" s="1"/>
      <c r="U59" s="1"/>
      <c r="V59" s="1"/>
      <c r="W59" s="1"/>
      <c r="X59" s="1"/>
      <c r="Y59" s="1"/>
      <c r="Z59" s="1"/>
      <c r="AA59" s="1"/>
      <c r="AB59" s="1"/>
      <c r="AC59" s="1"/>
      <c r="AD59" s="1"/>
      <c r="AE59" s="1"/>
      <c r="AF59" s="1"/>
      <c r="AG59" s="1"/>
      <c r="AH59" s="1"/>
      <c r="AI59" s="1"/>
      <c r="AJ59" s="1"/>
    </row>
    <row r="60" spans="1:36" s="2" customFormat="1" ht="21.95" customHeight="1" x14ac:dyDescent="0.2">
      <c r="A60" s="262"/>
      <c r="B60" s="262"/>
      <c r="C60" s="6"/>
      <c r="D60" s="6"/>
      <c r="E60" s="6"/>
      <c r="F60" s="6"/>
      <c r="G60" s="7"/>
      <c r="H60" s="6">
        <v>61300</v>
      </c>
      <c r="I60" s="6"/>
      <c r="J60" s="34"/>
      <c r="K60" s="34"/>
      <c r="L60" s="34"/>
      <c r="M60" s="34"/>
      <c r="N60" s="34"/>
      <c r="O60" s="8"/>
      <c r="P60" s="9"/>
      <c r="Q60" s="9"/>
      <c r="R60" s="245"/>
      <c r="S60" s="1"/>
      <c r="T60" s="1"/>
      <c r="U60" s="1"/>
      <c r="V60" s="1"/>
      <c r="W60" s="1"/>
      <c r="X60" s="1"/>
      <c r="Y60" s="1"/>
      <c r="Z60" s="1"/>
      <c r="AA60" s="1"/>
      <c r="AB60" s="1"/>
      <c r="AC60" s="1"/>
      <c r="AD60" s="1"/>
      <c r="AE60" s="1"/>
      <c r="AF60" s="1"/>
      <c r="AG60" s="1"/>
      <c r="AH60" s="1"/>
      <c r="AI60" s="1"/>
      <c r="AJ60" s="1"/>
    </row>
    <row r="61" spans="1:36" s="2" customFormat="1" ht="21.95" customHeight="1" x14ac:dyDescent="0.2">
      <c r="A61" s="262"/>
      <c r="B61" s="262"/>
      <c r="C61" s="261" t="s">
        <v>31</v>
      </c>
      <c r="D61" s="261"/>
      <c r="E61" s="261"/>
      <c r="F61" s="261"/>
      <c r="G61" s="261"/>
      <c r="H61" s="261"/>
      <c r="I61" s="261"/>
      <c r="J61" s="34">
        <f>SUM(J55:J58)</f>
        <v>0</v>
      </c>
      <c r="K61" s="34">
        <f>SUM(K55:K58)</f>
        <v>217752.88000000006</v>
      </c>
      <c r="L61" s="34">
        <f>SUM(L55:L58)</f>
        <v>0</v>
      </c>
      <c r="M61" s="34">
        <f>SUM(M55:M58)</f>
        <v>0</v>
      </c>
      <c r="N61" s="34">
        <f>SUM(N55:N58)</f>
        <v>217752.88000000006</v>
      </c>
      <c r="O61" s="8"/>
      <c r="P61" s="9"/>
      <c r="R61" s="245"/>
      <c r="S61" s="1"/>
      <c r="T61" s="1"/>
      <c r="U61" s="1"/>
      <c r="V61" s="1"/>
      <c r="W61" s="1"/>
      <c r="X61" s="1"/>
      <c r="Y61" s="1"/>
      <c r="Z61" s="1"/>
      <c r="AA61" s="1"/>
      <c r="AB61" s="1"/>
      <c r="AC61" s="1"/>
      <c r="AD61" s="1"/>
      <c r="AE61" s="1"/>
      <c r="AF61" s="1"/>
      <c r="AG61" s="1"/>
      <c r="AH61" s="1"/>
      <c r="AI61" s="1"/>
      <c r="AJ61" s="1"/>
    </row>
    <row r="62" spans="1:36" s="2" customFormat="1" ht="21.95" customHeight="1" x14ac:dyDescent="0.2">
      <c r="A62" s="262"/>
      <c r="B62" s="261" t="s">
        <v>50</v>
      </c>
      <c r="C62" s="261"/>
      <c r="D62" s="261"/>
      <c r="E62" s="261"/>
      <c r="F62" s="261"/>
      <c r="G62" s="261"/>
      <c r="H62" s="261"/>
      <c r="I62" s="261"/>
      <c r="J62" s="34">
        <f>J61</f>
        <v>0</v>
      </c>
      <c r="K62" s="34">
        <f t="shared" ref="K62:N62" si="9">K61</f>
        <v>217752.88000000006</v>
      </c>
      <c r="L62" s="34">
        <f t="shared" si="9"/>
        <v>0</v>
      </c>
      <c r="M62" s="34">
        <f t="shared" si="9"/>
        <v>0</v>
      </c>
      <c r="N62" s="34">
        <f t="shared" si="9"/>
        <v>217752.88000000006</v>
      </c>
      <c r="O62" s="8"/>
      <c r="P62" s="9"/>
      <c r="R62" s="245"/>
      <c r="S62" s="1"/>
      <c r="T62" s="1"/>
      <c r="U62" s="1"/>
      <c r="V62" s="1"/>
      <c r="W62" s="1"/>
      <c r="X62" s="1"/>
      <c r="Y62" s="1"/>
      <c r="Z62" s="1"/>
      <c r="AA62" s="1"/>
      <c r="AB62" s="1"/>
      <c r="AC62" s="1"/>
      <c r="AD62" s="1"/>
      <c r="AE62" s="1"/>
      <c r="AF62" s="1"/>
      <c r="AG62" s="1"/>
      <c r="AH62" s="1"/>
      <c r="AI62" s="1"/>
      <c r="AJ62" s="1"/>
    </row>
    <row r="63" spans="1:36" s="2" customFormat="1" ht="21.95" customHeight="1" x14ac:dyDescent="0.2">
      <c r="A63" s="262"/>
      <c r="B63" s="7"/>
      <c r="C63" s="7"/>
      <c r="D63" s="7"/>
      <c r="E63" s="7"/>
      <c r="F63" s="7"/>
      <c r="G63" s="7"/>
      <c r="H63" s="6">
        <v>71200</v>
      </c>
      <c r="I63" s="7"/>
      <c r="J63" s="34"/>
      <c r="K63" s="34"/>
      <c r="L63" s="34"/>
      <c r="M63" s="34"/>
      <c r="N63" s="34"/>
      <c r="O63" s="8"/>
      <c r="P63" s="9"/>
      <c r="R63" s="245"/>
      <c r="S63" s="1"/>
      <c r="T63" s="1"/>
      <c r="U63" s="1"/>
      <c r="V63" s="1"/>
      <c r="W63" s="1"/>
      <c r="X63" s="1"/>
      <c r="Y63" s="1"/>
      <c r="Z63" s="1"/>
      <c r="AA63" s="1"/>
      <c r="AB63" s="1"/>
      <c r="AC63" s="1"/>
      <c r="AD63" s="1"/>
      <c r="AE63" s="1"/>
      <c r="AF63" s="1"/>
      <c r="AG63" s="1"/>
      <c r="AH63" s="1"/>
      <c r="AI63" s="1"/>
      <c r="AJ63" s="1"/>
    </row>
    <row r="64" spans="1:36" s="2" customFormat="1" ht="21.95" customHeight="1" x14ac:dyDescent="0.2">
      <c r="A64" s="262"/>
      <c r="B64" s="7"/>
      <c r="C64" s="7"/>
      <c r="D64" s="7"/>
      <c r="E64" s="7"/>
      <c r="F64" s="7"/>
      <c r="G64" s="7"/>
      <c r="H64" s="6">
        <v>71300</v>
      </c>
      <c r="I64" s="7"/>
      <c r="J64" s="34"/>
      <c r="K64" s="34"/>
      <c r="L64" s="34"/>
      <c r="M64" s="34"/>
      <c r="N64" s="34"/>
      <c r="O64" s="8"/>
      <c r="P64" s="9"/>
      <c r="R64" s="245"/>
      <c r="S64" s="1"/>
      <c r="T64" s="1"/>
      <c r="U64" s="1"/>
      <c r="V64" s="1"/>
      <c r="W64" s="1"/>
      <c r="X64" s="1"/>
      <c r="Y64" s="1"/>
      <c r="Z64" s="1"/>
      <c r="AA64" s="1"/>
      <c r="AB64" s="1"/>
      <c r="AC64" s="1"/>
      <c r="AD64" s="1"/>
      <c r="AE64" s="1"/>
      <c r="AF64" s="1"/>
      <c r="AG64" s="1"/>
      <c r="AH64" s="1"/>
      <c r="AI64" s="1"/>
      <c r="AJ64" s="1"/>
    </row>
    <row r="65" spans="1:36" s="2" customFormat="1" ht="21.95" customHeight="1" x14ac:dyDescent="0.2">
      <c r="A65" s="262"/>
      <c r="B65" s="7"/>
      <c r="C65" s="7"/>
      <c r="D65" s="7"/>
      <c r="E65" s="7"/>
      <c r="F65" s="7"/>
      <c r="G65" s="7"/>
      <c r="H65" s="6">
        <v>71400</v>
      </c>
      <c r="I65" s="7"/>
      <c r="J65" s="34"/>
      <c r="K65" s="34"/>
      <c r="L65" s="34"/>
      <c r="M65" s="34"/>
      <c r="N65" s="34"/>
      <c r="O65" s="8"/>
      <c r="P65" s="9"/>
      <c r="R65" s="245"/>
      <c r="S65" s="1"/>
      <c r="T65" s="1"/>
      <c r="U65" s="1"/>
      <c r="V65" s="1"/>
      <c r="W65" s="1"/>
      <c r="X65" s="1"/>
      <c r="Y65" s="1"/>
      <c r="Z65" s="1"/>
      <c r="AA65" s="1"/>
      <c r="AB65" s="1"/>
      <c r="AC65" s="1"/>
      <c r="AD65" s="1"/>
      <c r="AE65" s="1"/>
      <c r="AF65" s="1"/>
      <c r="AG65" s="1"/>
      <c r="AH65" s="1"/>
      <c r="AI65" s="1"/>
      <c r="AJ65" s="1"/>
    </row>
    <row r="66" spans="1:36" s="2" customFormat="1" ht="21.95" customHeight="1" x14ac:dyDescent="0.2">
      <c r="A66" s="262"/>
      <c r="B66" s="262" t="s">
        <v>51</v>
      </c>
      <c r="C66" s="262" t="s">
        <v>17</v>
      </c>
      <c r="D66" s="262">
        <v>62000</v>
      </c>
      <c r="E66" s="262">
        <v>10003</v>
      </c>
      <c r="F66" s="6" t="s">
        <v>52</v>
      </c>
      <c r="G66" s="7" t="s">
        <v>23</v>
      </c>
      <c r="H66" s="6">
        <v>71600</v>
      </c>
      <c r="I66" s="6" t="s">
        <v>23</v>
      </c>
      <c r="J66" s="34">
        <f>SUM(Albania:Zimbabwe!J38)</f>
        <v>0</v>
      </c>
      <c r="K66" s="34">
        <f>SUM(Albania:Zimbabwe!K38)</f>
        <v>132038.74000000002</v>
      </c>
      <c r="L66" s="34">
        <f>SUM(Albania:Zimbabwe!L38)</f>
        <v>0</v>
      </c>
      <c r="M66" s="34">
        <f>SUM(Albania:Zimbabwe!M38)</f>
        <v>0</v>
      </c>
      <c r="N66" s="34">
        <f t="shared" ref="N66:N69" si="10">SUM(J66:M66)</f>
        <v>132038.74000000002</v>
      </c>
      <c r="O66" s="8"/>
      <c r="P66" s="9">
        <v>0.16863079651163201</v>
      </c>
      <c r="R66" s="245"/>
      <c r="S66" s="1"/>
      <c r="T66" s="1"/>
      <c r="U66" s="1"/>
      <c r="V66" s="1"/>
      <c r="W66" s="1"/>
      <c r="X66" s="1"/>
      <c r="Y66" s="1"/>
      <c r="Z66" s="1"/>
      <c r="AA66" s="1"/>
      <c r="AB66" s="1"/>
      <c r="AC66" s="1"/>
      <c r="AD66" s="1"/>
      <c r="AE66" s="1"/>
      <c r="AF66" s="1"/>
      <c r="AG66" s="1"/>
      <c r="AH66" s="1"/>
      <c r="AI66" s="1"/>
      <c r="AJ66" s="1"/>
    </row>
    <row r="67" spans="1:36" s="2" customFormat="1" ht="21.95" customHeight="1" x14ac:dyDescent="0.2">
      <c r="A67" s="262"/>
      <c r="B67" s="262"/>
      <c r="C67" s="262"/>
      <c r="D67" s="262"/>
      <c r="E67" s="262"/>
      <c r="F67" s="6" t="s">
        <v>52</v>
      </c>
      <c r="G67" s="7" t="s">
        <v>24</v>
      </c>
      <c r="H67" s="6">
        <v>72500</v>
      </c>
      <c r="I67" s="6" t="s">
        <v>25</v>
      </c>
      <c r="J67" s="34">
        <f>SUM(Albania:Zimbabwe!J39)</f>
        <v>0</v>
      </c>
      <c r="K67" s="34">
        <f>SUM(Albania:Zimbabwe!K39)</f>
        <v>0</v>
      </c>
      <c r="L67" s="34">
        <f>SUM(Albania:Zimbabwe!L39)</f>
        <v>0</v>
      </c>
      <c r="M67" s="34">
        <f>SUM(Albania:Zimbabwe!M39)</f>
        <v>0</v>
      </c>
      <c r="N67" s="34">
        <f t="shared" si="10"/>
        <v>0</v>
      </c>
      <c r="O67" s="8"/>
      <c r="P67" s="9">
        <v>2.7131641978708258E-2</v>
      </c>
      <c r="R67" s="245"/>
      <c r="S67" s="1"/>
      <c r="T67" s="1"/>
      <c r="U67" s="1"/>
      <c r="V67" s="1"/>
      <c r="W67" s="1"/>
      <c r="X67" s="1"/>
      <c r="Y67" s="1"/>
      <c r="Z67" s="1"/>
      <c r="AA67" s="1"/>
      <c r="AB67" s="1"/>
      <c r="AC67" s="1"/>
      <c r="AD67" s="1"/>
      <c r="AE67" s="1"/>
      <c r="AF67" s="1"/>
      <c r="AG67" s="1"/>
      <c r="AH67" s="1"/>
      <c r="AI67" s="1"/>
      <c r="AJ67" s="1"/>
    </row>
    <row r="68" spans="1:36" s="2" customFormat="1" ht="21.95" customHeight="1" x14ac:dyDescent="0.2">
      <c r="A68" s="262"/>
      <c r="B68" s="262"/>
      <c r="C68" s="262"/>
      <c r="D68" s="262"/>
      <c r="E68" s="262"/>
      <c r="F68" s="6" t="s">
        <v>52</v>
      </c>
      <c r="G68" s="7" t="s">
        <v>23</v>
      </c>
      <c r="H68" s="6">
        <v>74500</v>
      </c>
      <c r="I68" s="6" t="s">
        <v>49</v>
      </c>
      <c r="J68" s="34">
        <f>SUM(Albania:Zimbabwe!J40)</f>
        <v>0</v>
      </c>
      <c r="K68" s="34">
        <f>SUM(Albania:Zimbabwe!K40)</f>
        <v>0</v>
      </c>
      <c r="L68" s="34">
        <f>SUM(Albania:Zimbabwe!L40)</f>
        <v>0</v>
      </c>
      <c r="M68" s="34">
        <f>SUM(Albania:Zimbabwe!M40)</f>
        <v>0</v>
      </c>
      <c r="N68" s="34">
        <f t="shared" si="10"/>
        <v>0</v>
      </c>
      <c r="O68" s="8"/>
      <c r="P68" s="9">
        <v>1.3843411839592616E-2</v>
      </c>
      <c r="R68" s="245"/>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2"/>
      <c r="C69" s="262"/>
      <c r="D69" s="262"/>
      <c r="E69" s="262"/>
      <c r="F69" s="6" t="s">
        <v>52</v>
      </c>
      <c r="G69" s="7" t="s">
        <v>26</v>
      </c>
      <c r="H69" s="6">
        <v>75700</v>
      </c>
      <c r="I69" s="6" t="s">
        <v>27</v>
      </c>
      <c r="J69" s="34">
        <f>SUM(Albania:Zimbabwe!J41)</f>
        <v>0</v>
      </c>
      <c r="K69" s="34">
        <f>SUM(Albania:Zimbabwe!K41)</f>
        <v>0</v>
      </c>
      <c r="L69" s="34">
        <f>SUM(Albania:Zimbabwe!L41)</f>
        <v>0</v>
      </c>
      <c r="M69" s="34">
        <f>SUM(Albania:Zimbabwe!M41)</f>
        <v>0</v>
      </c>
      <c r="N69" s="34">
        <f t="shared" si="10"/>
        <v>0</v>
      </c>
      <c r="O69" s="8"/>
      <c r="P69" s="9">
        <v>7.1769100870405667E-2</v>
      </c>
      <c r="R69" s="245"/>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c r="C70" s="6"/>
      <c r="D70" s="6"/>
      <c r="E70" s="6"/>
      <c r="F70" s="6"/>
      <c r="G70" s="7"/>
      <c r="H70" s="6">
        <v>61200</v>
      </c>
      <c r="I70" s="6"/>
      <c r="J70" s="34"/>
      <c r="K70" s="34"/>
      <c r="L70" s="34"/>
      <c r="M70" s="34"/>
      <c r="N70" s="34"/>
      <c r="O70" s="8"/>
      <c r="P70" s="9"/>
      <c r="R70" s="245"/>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6"/>
      <c r="D71" s="6"/>
      <c r="E71" s="6"/>
      <c r="F71" s="6"/>
      <c r="G71" s="7"/>
      <c r="H71" s="6">
        <v>61300</v>
      </c>
      <c r="I71" s="6"/>
      <c r="J71" s="34"/>
      <c r="K71" s="34"/>
      <c r="L71" s="34"/>
      <c r="M71" s="34"/>
      <c r="N71" s="34"/>
      <c r="O71" s="8"/>
      <c r="P71" s="9"/>
      <c r="R71" s="245"/>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3" t="s">
        <v>31</v>
      </c>
      <c r="D72" s="263"/>
      <c r="E72" s="263"/>
      <c r="F72" s="263"/>
      <c r="G72" s="263"/>
      <c r="H72" s="263"/>
      <c r="I72" s="263"/>
      <c r="J72" s="34">
        <f>SUM(J66:J69)</f>
        <v>0</v>
      </c>
      <c r="K72" s="34">
        <f>SUM(K66:K69)</f>
        <v>132038.74000000002</v>
      </c>
      <c r="L72" s="34">
        <f>SUM(L66:L69)</f>
        <v>0</v>
      </c>
      <c r="M72" s="34">
        <f>SUM(M66:M69)</f>
        <v>0</v>
      </c>
      <c r="N72" s="34">
        <f>SUM(N66:N69)</f>
        <v>132038.74000000002</v>
      </c>
      <c r="O72" s="8"/>
      <c r="P72" s="9"/>
      <c r="R72" s="245"/>
      <c r="S72" s="1"/>
      <c r="T72" s="1"/>
      <c r="U72" s="1"/>
      <c r="V72" s="1"/>
      <c r="W72" s="1"/>
      <c r="X72" s="1"/>
      <c r="Y72" s="1"/>
      <c r="Z72" s="1"/>
      <c r="AA72" s="1"/>
      <c r="AB72" s="1"/>
      <c r="AC72" s="1"/>
      <c r="AD72" s="1"/>
      <c r="AE72" s="1"/>
      <c r="AF72" s="1"/>
      <c r="AG72" s="1"/>
      <c r="AH72" s="1"/>
      <c r="AI72" s="1"/>
      <c r="AJ72" s="1"/>
    </row>
    <row r="73" spans="1:36" ht="21.95" customHeight="1" x14ac:dyDescent="0.2">
      <c r="A73" s="262"/>
      <c r="B73" s="263" t="s">
        <v>53</v>
      </c>
      <c r="C73" s="263"/>
      <c r="D73" s="263"/>
      <c r="E73" s="263"/>
      <c r="F73" s="263"/>
      <c r="G73" s="263"/>
      <c r="H73" s="263"/>
      <c r="I73" s="263"/>
      <c r="J73" s="34">
        <f>J72</f>
        <v>0</v>
      </c>
      <c r="K73" s="34">
        <f t="shared" ref="K73:N73" si="11">K72</f>
        <v>132038.74000000002</v>
      </c>
      <c r="L73" s="34">
        <f t="shared" si="11"/>
        <v>0</v>
      </c>
      <c r="M73" s="34">
        <f t="shared" si="11"/>
        <v>0</v>
      </c>
      <c r="N73" s="34">
        <f t="shared" si="11"/>
        <v>132038.74000000002</v>
      </c>
      <c r="O73" s="8"/>
      <c r="Q73" s="10"/>
      <c r="R73" s="245"/>
      <c r="Z73" s="11"/>
      <c r="AC73" s="12"/>
      <c r="AD73" s="13"/>
    </row>
    <row r="74" spans="1:36" ht="21.95" customHeight="1" x14ac:dyDescent="0.2">
      <c r="A74" s="261" t="s">
        <v>54</v>
      </c>
      <c r="B74" s="261"/>
      <c r="C74" s="261"/>
      <c r="D74" s="261"/>
      <c r="E74" s="261"/>
      <c r="F74" s="261"/>
      <c r="G74" s="261"/>
      <c r="H74" s="261"/>
      <c r="I74" s="261"/>
      <c r="J74" s="34">
        <f>J62+J73</f>
        <v>0</v>
      </c>
      <c r="K74" s="34">
        <f>K62+K73</f>
        <v>349791.62000000011</v>
      </c>
      <c r="L74" s="34">
        <f>L62+L73</f>
        <v>0</v>
      </c>
      <c r="M74" s="34">
        <f>M62+M73</f>
        <v>0</v>
      </c>
      <c r="N74" s="34">
        <f>N62+N73</f>
        <v>349791.62000000011</v>
      </c>
      <c r="O74" s="8"/>
      <c r="R74" s="245"/>
      <c r="Z74" s="15"/>
      <c r="AJ74" s="16"/>
    </row>
    <row r="75" spans="1:36" ht="21.95" customHeight="1" x14ac:dyDescent="0.2">
      <c r="A75" s="7"/>
      <c r="B75" s="7"/>
      <c r="C75" s="7"/>
      <c r="D75" s="7"/>
      <c r="E75" s="7"/>
      <c r="F75" s="7"/>
      <c r="G75" s="7"/>
      <c r="H75" s="6">
        <v>71200</v>
      </c>
      <c r="I75" s="7"/>
      <c r="J75" s="34"/>
      <c r="K75" s="34"/>
      <c r="L75" s="34"/>
      <c r="M75" s="34"/>
      <c r="N75" s="34"/>
      <c r="O75" s="8"/>
      <c r="R75" s="245"/>
      <c r="Z75" s="15"/>
      <c r="AJ75" s="16"/>
    </row>
    <row r="76" spans="1:36" ht="21.95" customHeight="1" x14ac:dyDescent="0.2">
      <c r="A76" s="7"/>
      <c r="B76" s="7"/>
      <c r="C76" s="7"/>
      <c r="D76" s="7"/>
      <c r="E76" s="7"/>
      <c r="F76" s="7"/>
      <c r="G76" s="7"/>
      <c r="H76" s="6">
        <v>71300</v>
      </c>
      <c r="I76" s="7"/>
      <c r="J76" s="34"/>
      <c r="K76" s="34"/>
      <c r="L76" s="34"/>
      <c r="M76" s="34"/>
      <c r="N76" s="34"/>
      <c r="O76" s="8"/>
      <c r="R76" s="245"/>
      <c r="Z76" s="15"/>
      <c r="AJ76" s="16"/>
    </row>
    <row r="77" spans="1:36" ht="21.95" customHeight="1" x14ac:dyDescent="0.2">
      <c r="A77" s="7"/>
      <c r="B77" s="7"/>
      <c r="C77" s="7"/>
      <c r="D77" s="7"/>
      <c r="E77" s="7"/>
      <c r="F77" s="7"/>
      <c r="G77" s="7"/>
      <c r="H77" s="6">
        <v>71400</v>
      </c>
      <c r="I77" s="7"/>
      <c r="J77" s="34"/>
      <c r="K77" s="34"/>
      <c r="L77" s="34"/>
      <c r="M77" s="34"/>
      <c r="N77" s="34"/>
      <c r="O77" s="8"/>
      <c r="R77" s="245"/>
      <c r="Z77" s="15"/>
      <c r="AJ77" s="16"/>
    </row>
    <row r="78" spans="1:36" ht="21.95" customHeight="1" x14ac:dyDescent="0.2">
      <c r="A78" s="262" t="s">
        <v>55</v>
      </c>
      <c r="B78" s="262" t="s">
        <v>56</v>
      </c>
      <c r="C78" s="262" t="s">
        <v>17</v>
      </c>
      <c r="D78" s="262">
        <v>62000</v>
      </c>
      <c r="E78" s="262">
        <v>10003</v>
      </c>
      <c r="F78" s="6" t="s">
        <v>57</v>
      </c>
      <c r="G78" s="7" t="s">
        <v>23</v>
      </c>
      <c r="H78" s="6">
        <v>71600</v>
      </c>
      <c r="I78" s="6" t="s">
        <v>23</v>
      </c>
      <c r="J78" s="34">
        <f>SUM(Albania:Zimbabwe!J45)</f>
        <v>0</v>
      </c>
      <c r="K78" s="34">
        <f>SUM(Albania:Zimbabwe!K45)</f>
        <v>285710.88000000006</v>
      </c>
      <c r="L78" s="34">
        <f>SUM(Albania:Zimbabwe!L45)</f>
        <v>0</v>
      </c>
      <c r="M78" s="34">
        <f>SUM(Albania:Zimbabwe!M45)</f>
        <v>0</v>
      </c>
      <c r="N78" s="34">
        <f t="shared" ref="N78:N82" si="12">SUM(J78:M78)</f>
        <v>285710.88000000006</v>
      </c>
      <c r="O78" s="8"/>
      <c r="P78" s="9">
        <v>0.39219730718425899</v>
      </c>
      <c r="Q78" s="9"/>
      <c r="R78" s="245"/>
    </row>
    <row r="79" spans="1:36" ht="21.95" customHeight="1" x14ac:dyDescent="0.2">
      <c r="A79" s="262"/>
      <c r="B79" s="262"/>
      <c r="C79" s="262"/>
      <c r="D79" s="262"/>
      <c r="E79" s="262"/>
      <c r="F79" s="6"/>
      <c r="G79" s="7"/>
      <c r="H79" s="6">
        <v>72100</v>
      </c>
      <c r="I79" s="6"/>
      <c r="J79" s="34"/>
      <c r="K79" s="34"/>
      <c r="L79" s="34"/>
      <c r="M79" s="34"/>
      <c r="N79" s="34"/>
      <c r="O79" s="8"/>
      <c r="P79" s="9"/>
      <c r="Q79" s="9"/>
      <c r="R79" s="245"/>
    </row>
    <row r="80" spans="1:36" ht="21.95" customHeight="1" x14ac:dyDescent="0.2">
      <c r="A80" s="262"/>
      <c r="B80" s="262"/>
      <c r="C80" s="262"/>
      <c r="D80" s="262"/>
      <c r="E80" s="262"/>
      <c r="F80" s="6" t="s">
        <v>57</v>
      </c>
      <c r="G80" s="7" t="s">
        <v>24</v>
      </c>
      <c r="H80" s="6">
        <v>72500</v>
      </c>
      <c r="I80" s="6" t="s">
        <v>25</v>
      </c>
      <c r="J80" s="34">
        <f>SUM(Albania:Zimbabwe!J46)</f>
        <v>0</v>
      </c>
      <c r="K80" s="34">
        <f>SUM(Albania:Zimbabwe!K46)</f>
        <v>0</v>
      </c>
      <c r="L80" s="34">
        <f>SUM(Albania:Zimbabwe!L46)</f>
        <v>0</v>
      </c>
      <c r="M80" s="34">
        <f>SUM(Albania:Zimbabwe!M46)</f>
        <v>0</v>
      </c>
      <c r="N80" s="34">
        <f t="shared" si="12"/>
        <v>0</v>
      </c>
      <c r="O80" s="8"/>
      <c r="P80" s="9">
        <v>0.2456801505275473</v>
      </c>
      <c r="Q80" s="9"/>
      <c r="R80" s="245"/>
    </row>
    <row r="81" spans="1:30" ht="21.95" customHeight="1" x14ac:dyDescent="0.2">
      <c r="A81" s="262"/>
      <c r="B81" s="262"/>
      <c r="C81" s="262"/>
      <c r="D81" s="262"/>
      <c r="E81" s="262"/>
      <c r="F81" s="6" t="s">
        <v>57</v>
      </c>
      <c r="G81" s="7" t="s">
        <v>23</v>
      </c>
      <c r="H81" s="6">
        <v>74500</v>
      </c>
      <c r="I81" s="6" t="s">
        <v>49</v>
      </c>
      <c r="J81" s="34">
        <f>SUM(Albania:Zimbabwe!J47)</f>
        <v>0</v>
      </c>
      <c r="K81" s="34">
        <f>SUM(Albania:Zimbabwe!K47)</f>
        <v>167087.90000000002</v>
      </c>
      <c r="L81" s="34">
        <f>SUM(Albania:Zimbabwe!L47)</f>
        <v>0</v>
      </c>
      <c r="M81" s="34">
        <f>SUM(Albania:Zimbabwe!M47)</f>
        <v>0</v>
      </c>
      <c r="N81" s="34">
        <f t="shared" si="12"/>
        <v>167087.90000000002</v>
      </c>
      <c r="O81" s="8"/>
      <c r="P81" s="9">
        <v>0.79428409883536599</v>
      </c>
      <c r="Q81" s="9"/>
      <c r="R81" s="245"/>
    </row>
    <row r="82" spans="1:30" ht="21.95" customHeight="1" x14ac:dyDescent="0.2">
      <c r="A82" s="262"/>
      <c r="B82" s="262"/>
      <c r="C82" s="262"/>
      <c r="D82" s="262"/>
      <c r="E82" s="262"/>
      <c r="F82" s="6" t="s">
        <v>57</v>
      </c>
      <c r="G82" s="7" t="s">
        <v>26</v>
      </c>
      <c r="H82" s="6">
        <v>75700</v>
      </c>
      <c r="I82" s="6" t="s">
        <v>27</v>
      </c>
      <c r="J82" s="34">
        <f>SUM(Albania:Zimbabwe!J48)</f>
        <v>0</v>
      </c>
      <c r="K82" s="34">
        <f>SUM(Albania:Zimbabwe!K48)</f>
        <v>156701.13000000006</v>
      </c>
      <c r="L82" s="34">
        <f>SUM(Albania:Zimbabwe!L48)</f>
        <v>0</v>
      </c>
      <c r="M82" s="34">
        <f>SUM(Albania:Zimbabwe!M48)</f>
        <v>0</v>
      </c>
      <c r="N82" s="34">
        <f t="shared" si="12"/>
        <v>156701.13000000006</v>
      </c>
      <c r="O82" s="8"/>
      <c r="P82" s="9">
        <v>0.66398749154834347</v>
      </c>
      <c r="Q82" s="9"/>
      <c r="R82" s="245"/>
    </row>
    <row r="83" spans="1:30" ht="21.95" customHeight="1" x14ac:dyDescent="0.2">
      <c r="A83" s="262"/>
      <c r="B83" s="262"/>
      <c r="C83" s="6"/>
      <c r="D83" s="6"/>
      <c r="E83" s="6"/>
      <c r="F83" s="6"/>
      <c r="G83" s="7"/>
      <c r="H83" s="6">
        <v>61300</v>
      </c>
      <c r="I83" s="6"/>
      <c r="J83" s="34"/>
      <c r="K83" s="34"/>
      <c r="L83" s="34"/>
      <c r="M83" s="34"/>
      <c r="N83" s="34"/>
      <c r="O83" s="8"/>
      <c r="P83" s="9"/>
      <c r="Q83" s="9"/>
      <c r="R83" s="245"/>
    </row>
    <row r="84" spans="1:30" ht="21.95" customHeight="1" x14ac:dyDescent="0.2">
      <c r="A84" s="262"/>
      <c r="B84" s="262"/>
      <c r="C84" s="261" t="s">
        <v>31</v>
      </c>
      <c r="D84" s="261"/>
      <c r="E84" s="261"/>
      <c r="F84" s="261"/>
      <c r="G84" s="261"/>
      <c r="H84" s="261"/>
      <c r="I84" s="261"/>
      <c r="J84" s="34">
        <f>SUM(J78:J82)</f>
        <v>0</v>
      </c>
      <c r="K84" s="34">
        <f>SUM(K78:K82)</f>
        <v>609499.91000000015</v>
      </c>
      <c r="L84" s="34">
        <f>SUM(L78:L82)</f>
        <v>0</v>
      </c>
      <c r="M84" s="34">
        <f>SUM(M78:M82)</f>
        <v>0</v>
      </c>
      <c r="N84" s="34">
        <f>SUM(N78:N82)</f>
        <v>609499.91000000015</v>
      </c>
      <c r="O84" s="8"/>
      <c r="P84" s="9"/>
      <c r="R84" s="245"/>
    </row>
    <row r="85" spans="1:30" ht="21.95" customHeight="1" x14ac:dyDescent="0.2">
      <c r="A85" s="262"/>
      <c r="B85" s="261" t="s">
        <v>60</v>
      </c>
      <c r="C85" s="261"/>
      <c r="D85" s="261"/>
      <c r="E85" s="261"/>
      <c r="F85" s="261"/>
      <c r="G85" s="261"/>
      <c r="H85" s="261"/>
      <c r="I85" s="261"/>
      <c r="J85" s="34">
        <f>J84</f>
        <v>0</v>
      </c>
      <c r="K85" s="34">
        <f t="shared" ref="K85:N85" si="13">K84</f>
        <v>609499.91000000015</v>
      </c>
      <c r="L85" s="34">
        <f t="shared" si="13"/>
        <v>0</v>
      </c>
      <c r="M85" s="34">
        <f t="shared" si="13"/>
        <v>0</v>
      </c>
      <c r="N85" s="34">
        <f t="shared" si="13"/>
        <v>609499.91000000015</v>
      </c>
      <c r="O85" s="8"/>
      <c r="P85" s="9"/>
      <c r="R85" s="245"/>
    </row>
    <row r="86" spans="1:30" ht="21.95" customHeight="1" x14ac:dyDescent="0.2">
      <c r="A86" s="262"/>
      <c r="B86" s="7"/>
      <c r="C86" s="7"/>
      <c r="D86" s="7"/>
      <c r="E86" s="7"/>
      <c r="F86" s="7"/>
      <c r="G86" s="7"/>
      <c r="H86" s="6">
        <v>71200</v>
      </c>
      <c r="I86" s="7"/>
      <c r="J86" s="34"/>
      <c r="K86" s="34"/>
      <c r="L86" s="34"/>
      <c r="M86" s="34"/>
      <c r="N86" s="34"/>
      <c r="O86" s="8"/>
      <c r="P86" s="9"/>
      <c r="R86" s="245"/>
    </row>
    <row r="87" spans="1:30" ht="21.95" customHeight="1" x14ac:dyDescent="0.2">
      <c r="A87" s="262"/>
      <c r="B87" s="7"/>
      <c r="C87" s="7"/>
      <c r="D87" s="7"/>
      <c r="E87" s="7"/>
      <c r="F87" s="7"/>
      <c r="G87" s="7"/>
      <c r="H87" s="6">
        <v>71300</v>
      </c>
      <c r="I87" s="7"/>
      <c r="J87" s="34"/>
      <c r="K87" s="34"/>
      <c r="L87" s="34"/>
      <c r="M87" s="34"/>
      <c r="N87" s="34"/>
      <c r="O87" s="8"/>
      <c r="P87" s="9"/>
      <c r="R87" s="245"/>
    </row>
    <row r="88" spans="1:30" ht="21.95" customHeight="1" x14ac:dyDescent="0.2">
      <c r="A88" s="262"/>
      <c r="B88" s="7"/>
      <c r="C88" s="7"/>
      <c r="D88" s="7"/>
      <c r="E88" s="7"/>
      <c r="F88" s="7"/>
      <c r="G88" s="7"/>
      <c r="H88" s="6">
        <v>71400</v>
      </c>
      <c r="I88" s="7"/>
      <c r="J88" s="34"/>
      <c r="K88" s="34"/>
      <c r="L88" s="34"/>
      <c r="M88" s="34"/>
      <c r="N88" s="34"/>
      <c r="O88" s="8"/>
      <c r="P88" s="9"/>
      <c r="R88" s="245"/>
    </row>
    <row r="89" spans="1:30" ht="21.95" customHeight="1" x14ac:dyDescent="0.2">
      <c r="A89" s="262"/>
      <c r="B89" s="262" t="s">
        <v>61</v>
      </c>
      <c r="C89" s="262" t="s">
        <v>17</v>
      </c>
      <c r="D89" s="262">
        <v>62000</v>
      </c>
      <c r="E89" s="262">
        <v>10003</v>
      </c>
      <c r="F89" s="6" t="s">
        <v>62</v>
      </c>
      <c r="G89" s="7" t="s">
        <v>23</v>
      </c>
      <c r="H89" s="6">
        <v>71600</v>
      </c>
      <c r="I89" s="6" t="s">
        <v>23</v>
      </c>
      <c r="J89" s="34">
        <f>SUM(Albania:Zimbabwe!J51)</f>
        <v>0</v>
      </c>
      <c r="K89" s="34">
        <f>SUM(Albania:Zimbabwe!K51)</f>
        <v>157134.87</v>
      </c>
      <c r="L89" s="34">
        <f>SUM(Albania:Zimbabwe!L51)</f>
        <v>0</v>
      </c>
      <c r="M89" s="34">
        <f>SUM(Albania:Zimbabwe!M51)</f>
        <v>0</v>
      </c>
      <c r="N89" s="34">
        <f t="shared" ref="N89:N93" si="14">SUM(J89:M89)</f>
        <v>157134.87</v>
      </c>
      <c r="O89" s="8"/>
      <c r="P89" s="9">
        <v>0.3921972498654005</v>
      </c>
      <c r="R89" s="245"/>
    </row>
    <row r="90" spans="1:30" ht="21.95" customHeight="1" x14ac:dyDescent="0.2">
      <c r="A90" s="262"/>
      <c r="B90" s="262"/>
      <c r="C90" s="262"/>
      <c r="D90" s="262"/>
      <c r="E90" s="262"/>
      <c r="F90" s="6"/>
      <c r="G90" s="7"/>
      <c r="H90" s="6">
        <v>72100</v>
      </c>
      <c r="I90" s="6"/>
      <c r="J90" s="34"/>
      <c r="K90" s="34"/>
      <c r="L90" s="34"/>
      <c r="M90" s="34"/>
      <c r="N90" s="34"/>
      <c r="O90" s="8"/>
      <c r="P90" s="9"/>
      <c r="R90" s="245"/>
    </row>
    <row r="91" spans="1:30" ht="21.95" customHeight="1" x14ac:dyDescent="0.2">
      <c r="A91" s="262"/>
      <c r="B91" s="262"/>
      <c r="C91" s="262"/>
      <c r="D91" s="262"/>
      <c r="E91" s="262"/>
      <c r="F91" s="6" t="s">
        <v>62</v>
      </c>
      <c r="G91" s="7" t="s">
        <v>24</v>
      </c>
      <c r="H91" s="6">
        <v>72500</v>
      </c>
      <c r="I91" s="6" t="s">
        <v>25</v>
      </c>
      <c r="J91" s="34">
        <f>SUM(Albania:Zimbabwe!J52)</f>
        <v>0</v>
      </c>
      <c r="K91" s="34">
        <f>SUM(Albania:Zimbabwe!K52)</f>
        <v>0</v>
      </c>
      <c r="L91" s="34">
        <f>SUM(Albania:Zimbabwe!L52)</f>
        <v>0</v>
      </c>
      <c r="M91" s="34">
        <f>SUM(Albania:Zimbabwe!M52)</f>
        <v>0</v>
      </c>
      <c r="N91" s="34">
        <f t="shared" si="14"/>
        <v>0</v>
      </c>
      <c r="O91" s="8"/>
      <c r="P91" s="9">
        <v>0.24568631831619636</v>
      </c>
      <c r="R91" s="245"/>
    </row>
    <row r="92" spans="1:30" ht="21.95" customHeight="1" x14ac:dyDescent="0.2">
      <c r="A92" s="262"/>
      <c r="B92" s="262"/>
      <c r="C92" s="262"/>
      <c r="D92" s="262"/>
      <c r="E92" s="262"/>
      <c r="F92" s="6" t="s">
        <v>62</v>
      </c>
      <c r="G92" s="7" t="s">
        <v>23</v>
      </c>
      <c r="H92" s="6">
        <v>74500</v>
      </c>
      <c r="I92" s="6" t="s">
        <v>49</v>
      </c>
      <c r="J92" s="34">
        <f>SUM(Albania:Zimbabwe!J53)</f>
        <v>0</v>
      </c>
      <c r="K92" s="34">
        <f>SUM(Albania:Zimbabwe!K53)</f>
        <v>97560.17</v>
      </c>
      <c r="L92" s="34">
        <f>SUM(Albania:Zimbabwe!L53)</f>
        <v>0</v>
      </c>
      <c r="M92" s="34">
        <f>SUM(Albania:Zimbabwe!M53)</f>
        <v>0</v>
      </c>
      <c r="N92" s="34">
        <f t="shared" si="14"/>
        <v>97560.17</v>
      </c>
      <c r="O92" s="8"/>
      <c r="P92" s="9">
        <v>0.79428389560789303</v>
      </c>
      <c r="R92" s="245"/>
    </row>
    <row r="93" spans="1:30" ht="21.95" customHeight="1" x14ac:dyDescent="0.2">
      <c r="A93" s="262"/>
      <c r="B93" s="262"/>
      <c r="C93" s="262"/>
      <c r="D93" s="262"/>
      <c r="E93" s="262"/>
      <c r="F93" s="6" t="s">
        <v>62</v>
      </c>
      <c r="G93" s="7" t="s">
        <v>26</v>
      </c>
      <c r="H93" s="6">
        <v>75700</v>
      </c>
      <c r="I93" s="6" t="s">
        <v>27</v>
      </c>
      <c r="J93" s="34">
        <f>SUM(Albania:Zimbabwe!J54)</f>
        <v>0</v>
      </c>
      <c r="K93" s="34">
        <f>SUM(Albania:Zimbabwe!K54)</f>
        <v>91495.280000000013</v>
      </c>
      <c r="L93" s="34">
        <f>SUM(Albania:Zimbabwe!L54)</f>
        <v>0</v>
      </c>
      <c r="M93" s="34">
        <f>SUM(Albania:Zimbabwe!M54)</f>
        <v>0</v>
      </c>
      <c r="N93" s="34">
        <f t="shared" si="14"/>
        <v>91495.280000000013</v>
      </c>
      <c r="O93" s="8"/>
      <c r="P93" s="9">
        <v>0.66398703350763166</v>
      </c>
      <c r="R93" s="245"/>
    </row>
    <row r="94" spans="1:30" ht="21.95" customHeight="1" x14ac:dyDescent="0.2">
      <c r="A94" s="262"/>
      <c r="B94" s="262"/>
      <c r="C94" s="6"/>
      <c r="D94" s="6"/>
      <c r="E94" s="6"/>
      <c r="F94" s="6"/>
      <c r="G94" s="7"/>
      <c r="H94" s="6">
        <v>61300</v>
      </c>
      <c r="I94" s="6"/>
      <c r="J94" s="34"/>
      <c r="K94" s="34"/>
      <c r="L94" s="34"/>
      <c r="M94" s="34"/>
      <c r="N94" s="34"/>
      <c r="O94" s="8"/>
      <c r="P94" s="9"/>
      <c r="R94" s="245"/>
    </row>
    <row r="95" spans="1:30" ht="21.95" customHeight="1" x14ac:dyDescent="0.2">
      <c r="A95" s="262"/>
      <c r="B95" s="262"/>
      <c r="C95" s="263" t="s">
        <v>31</v>
      </c>
      <c r="D95" s="263"/>
      <c r="E95" s="263"/>
      <c r="F95" s="263"/>
      <c r="G95" s="263"/>
      <c r="H95" s="263"/>
      <c r="I95" s="263"/>
      <c r="J95" s="34">
        <f>SUM(J89:J93)</f>
        <v>0</v>
      </c>
      <c r="K95" s="34">
        <f>SUM(K89:K93)</f>
        <v>346190.32</v>
      </c>
      <c r="L95" s="34">
        <f>SUM(L89:L93)</f>
        <v>0</v>
      </c>
      <c r="M95" s="34">
        <f>SUM(M89:M93)</f>
        <v>0</v>
      </c>
      <c r="N95" s="34">
        <f>SUM(N89:N93)</f>
        <v>346190.32</v>
      </c>
      <c r="O95" s="8"/>
      <c r="Q95" s="17"/>
      <c r="R95" s="245"/>
      <c r="Z95" s="11"/>
      <c r="AB95" s="15"/>
      <c r="AC95" s="12"/>
      <c r="AD95" s="13"/>
    </row>
    <row r="96" spans="1:30" ht="21.95" customHeight="1" x14ac:dyDescent="0.2">
      <c r="A96" s="262"/>
      <c r="B96" s="263" t="s">
        <v>63</v>
      </c>
      <c r="C96" s="263"/>
      <c r="D96" s="263"/>
      <c r="E96" s="263"/>
      <c r="F96" s="263"/>
      <c r="G96" s="263"/>
      <c r="H96" s="263"/>
      <c r="I96" s="263"/>
      <c r="J96" s="34">
        <f>J95</f>
        <v>0</v>
      </c>
      <c r="K96" s="34">
        <f t="shared" ref="K96:N96" si="15">K95</f>
        <v>346190.32</v>
      </c>
      <c r="L96" s="34">
        <f t="shared" si="15"/>
        <v>0</v>
      </c>
      <c r="M96" s="34">
        <f t="shared" si="15"/>
        <v>0</v>
      </c>
      <c r="N96" s="34">
        <f t="shared" si="15"/>
        <v>346190.32</v>
      </c>
      <c r="O96" s="8"/>
      <c r="Q96" s="10"/>
      <c r="R96" s="245"/>
      <c r="Z96" s="11"/>
      <c r="AC96" s="12"/>
      <c r="AD96" s="13"/>
    </row>
    <row r="97" spans="1:36" ht="21.95" customHeight="1" x14ac:dyDescent="0.2">
      <c r="A97" s="261" t="s">
        <v>64</v>
      </c>
      <c r="B97" s="261"/>
      <c r="C97" s="261"/>
      <c r="D97" s="261"/>
      <c r="E97" s="261"/>
      <c r="F97" s="261"/>
      <c r="G97" s="261"/>
      <c r="H97" s="261"/>
      <c r="I97" s="261"/>
      <c r="J97" s="34">
        <f>J85+J96</f>
        <v>0</v>
      </c>
      <c r="K97" s="34">
        <f>K85+K96</f>
        <v>955690.23000000021</v>
      </c>
      <c r="L97" s="34">
        <f>L85+L96</f>
        <v>0</v>
      </c>
      <c r="M97" s="34">
        <f>M85+M96</f>
        <v>0</v>
      </c>
      <c r="N97" s="34">
        <f>N85+N96</f>
        <v>955690.23000000021</v>
      </c>
      <c r="O97" s="8"/>
      <c r="R97" s="245"/>
      <c r="Z97" s="15"/>
      <c r="AJ97" s="16"/>
    </row>
    <row r="98" spans="1:36" ht="21.95" customHeight="1" x14ac:dyDescent="0.2">
      <c r="A98" s="7"/>
      <c r="B98" s="7"/>
      <c r="C98" s="7"/>
      <c r="D98" s="7"/>
      <c r="E98" s="7"/>
      <c r="F98" s="7"/>
      <c r="G98" s="7"/>
      <c r="H98" s="6">
        <v>71400</v>
      </c>
      <c r="I98" s="7"/>
      <c r="J98" s="34"/>
      <c r="K98" s="34"/>
      <c r="L98" s="34"/>
      <c r="M98" s="34"/>
      <c r="N98" s="34"/>
      <c r="O98" s="8"/>
      <c r="R98" s="245"/>
      <c r="Z98" s="15"/>
      <c r="AJ98" s="16"/>
    </row>
    <row r="99" spans="1:36" ht="21.95" customHeight="1" x14ac:dyDescent="0.2">
      <c r="A99" s="262" t="s">
        <v>65</v>
      </c>
      <c r="B99" s="262" t="s">
        <v>66</v>
      </c>
      <c r="C99" s="262" t="s">
        <v>17</v>
      </c>
      <c r="D99" s="262">
        <v>62000</v>
      </c>
      <c r="E99" s="262">
        <v>10003</v>
      </c>
      <c r="F99" s="6" t="s">
        <v>66</v>
      </c>
      <c r="G99" s="7" t="s">
        <v>23</v>
      </c>
      <c r="H99" s="6">
        <v>71600</v>
      </c>
      <c r="I99" s="6" t="s">
        <v>23</v>
      </c>
      <c r="J99" s="34">
        <f>SUM(Albania:Zimbabwe!J58)</f>
        <v>0</v>
      </c>
      <c r="K99" s="34">
        <f>SUM(Albania:Zimbabwe!K58)</f>
        <v>0</v>
      </c>
      <c r="L99" s="34">
        <f>SUM(Albania:Zimbabwe!L58)</f>
        <v>0</v>
      </c>
      <c r="M99" s="34">
        <f>SUM(Albania:Zimbabwe!M58)</f>
        <v>0</v>
      </c>
      <c r="N99" s="34">
        <f t="shared" ref="N99:N109" si="16">SUM(J99:M99)</f>
        <v>0</v>
      </c>
      <c r="O99" s="8"/>
      <c r="P99" s="9">
        <v>0.18200156988170238</v>
      </c>
      <c r="Q99" s="9"/>
      <c r="R99" s="245"/>
    </row>
    <row r="100" spans="1:36" ht="21.95" customHeight="1" x14ac:dyDescent="0.2">
      <c r="A100" s="262"/>
      <c r="B100" s="262"/>
      <c r="C100" s="262"/>
      <c r="D100" s="262"/>
      <c r="E100" s="262"/>
      <c r="F100" s="6" t="s">
        <v>66</v>
      </c>
      <c r="G100" s="7" t="s">
        <v>58</v>
      </c>
      <c r="H100" s="6">
        <v>72200</v>
      </c>
      <c r="I100" s="6" t="s">
        <v>67</v>
      </c>
      <c r="J100" s="34">
        <f>SUM(Albania:Zimbabwe!J59)</f>
        <v>0</v>
      </c>
      <c r="K100" s="34">
        <f>SUM(Albania:Zimbabwe!K59)</f>
        <v>7938.44</v>
      </c>
      <c r="L100" s="34">
        <f>SUM(Albania:Zimbabwe!L59)</f>
        <v>0</v>
      </c>
      <c r="M100" s="34">
        <f>SUM(Albania:Zimbabwe!M59)</f>
        <v>0</v>
      </c>
      <c r="N100" s="34">
        <f t="shared" si="16"/>
        <v>7938.44</v>
      </c>
      <c r="O100" s="8"/>
      <c r="P100" s="9">
        <v>1</v>
      </c>
      <c r="Q100" s="9"/>
      <c r="R100" s="245"/>
    </row>
    <row r="101" spans="1:36" ht="21.95" customHeight="1" x14ac:dyDescent="0.2">
      <c r="A101" s="262"/>
      <c r="B101" s="262"/>
      <c r="C101" s="262"/>
      <c r="D101" s="262"/>
      <c r="E101" s="262"/>
      <c r="F101" s="6"/>
      <c r="G101" s="7"/>
      <c r="H101" s="6">
        <v>72300</v>
      </c>
      <c r="I101" s="6"/>
      <c r="J101" s="34"/>
      <c r="K101" s="34"/>
      <c r="L101" s="34"/>
      <c r="M101" s="34"/>
      <c r="N101" s="34"/>
      <c r="O101" s="8"/>
      <c r="P101" s="9"/>
      <c r="Q101" s="9"/>
      <c r="R101" s="245"/>
    </row>
    <row r="102" spans="1:36" ht="21.95" customHeight="1" x14ac:dyDescent="0.2">
      <c r="A102" s="262"/>
      <c r="B102" s="262"/>
      <c r="C102" s="262"/>
      <c r="D102" s="262"/>
      <c r="E102" s="262"/>
      <c r="F102" s="6" t="s">
        <v>66</v>
      </c>
      <c r="G102" s="7" t="s">
        <v>58</v>
      </c>
      <c r="H102" s="6">
        <v>72400</v>
      </c>
      <c r="I102" s="6" t="s">
        <v>69</v>
      </c>
      <c r="J102" s="34">
        <f>SUM(Albania:Zimbabwe!J60)</f>
        <v>0</v>
      </c>
      <c r="K102" s="34">
        <f>SUM(Albania:Zimbabwe!K60)</f>
        <v>56504.870000000024</v>
      </c>
      <c r="L102" s="34">
        <f>SUM(Albania:Zimbabwe!L60)</f>
        <v>0</v>
      </c>
      <c r="M102" s="34">
        <f>SUM(Albania:Zimbabwe!M60)</f>
        <v>0</v>
      </c>
      <c r="N102" s="34">
        <f t="shared" si="16"/>
        <v>56504.870000000024</v>
      </c>
      <c r="O102" s="8"/>
      <c r="P102" s="9">
        <v>1</v>
      </c>
      <c r="Q102" s="9"/>
      <c r="R102" s="245"/>
    </row>
    <row r="103" spans="1:36" ht="21.95" customHeight="1" x14ac:dyDescent="0.2">
      <c r="A103" s="262"/>
      <c r="B103" s="262"/>
      <c r="C103" s="262"/>
      <c r="D103" s="262"/>
      <c r="E103" s="262"/>
      <c r="F103" s="6" t="s">
        <v>66</v>
      </c>
      <c r="G103" s="7" t="s">
        <v>24</v>
      </c>
      <c r="H103" s="6">
        <v>72500</v>
      </c>
      <c r="I103" s="6" t="s">
        <v>25</v>
      </c>
      <c r="J103" s="34">
        <f>SUM(Albania:Zimbabwe!J61)</f>
        <v>0</v>
      </c>
      <c r="K103" s="34">
        <f>SUM(Albania:Zimbabwe!K61)</f>
        <v>81882.73000000004</v>
      </c>
      <c r="L103" s="34">
        <f>SUM(Albania:Zimbabwe!L61)</f>
        <v>0</v>
      </c>
      <c r="M103" s="34">
        <f>SUM(Albania:Zimbabwe!M61)</f>
        <v>0</v>
      </c>
      <c r="N103" s="34">
        <f t="shared" si="16"/>
        <v>81882.73000000004</v>
      </c>
      <c r="O103" s="8"/>
      <c r="P103" s="9">
        <v>0.62728797019640825</v>
      </c>
      <c r="Q103" s="9"/>
      <c r="R103" s="245"/>
    </row>
    <row r="104" spans="1:36" ht="21.95" customHeight="1" x14ac:dyDescent="0.2">
      <c r="A104" s="262"/>
      <c r="B104" s="262"/>
      <c r="C104" s="262"/>
      <c r="D104" s="262"/>
      <c r="E104" s="262"/>
      <c r="F104" s="6" t="s">
        <v>66</v>
      </c>
      <c r="G104" s="7" t="s">
        <v>58</v>
      </c>
      <c r="H104" s="6">
        <v>72800</v>
      </c>
      <c r="I104" s="6" t="s">
        <v>70</v>
      </c>
      <c r="J104" s="34">
        <f>SUM(Albania:Zimbabwe!J62)</f>
        <v>0</v>
      </c>
      <c r="K104" s="34">
        <f>SUM(Albania:Zimbabwe!K62)</f>
        <v>36036.519999999997</v>
      </c>
      <c r="L104" s="34">
        <f>SUM(Albania:Zimbabwe!L62)</f>
        <v>0</v>
      </c>
      <c r="M104" s="34">
        <f>SUM(Albania:Zimbabwe!M62)</f>
        <v>0</v>
      </c>
      <c r="N104" s="34">
        <f t="shared" si="16"/>
        <v>36036.519999999997</v>
      </c>
      <c r="O104" s="8"/>
      <c r="P104" s="9">
        <v>1</v>
      </c>
      <c r="Q104" s="9"/>
      <c r="R104" s="245"/>
    </row>
    <row r="105" spans="1:36" ht="21.95" customHeight="1" x14ac:dyDescent="0.2">
      <c r="A105" s="262"/>
      <c r="B105" s="262"/>
      <c r="C105" s="262"/>
      <c r="D105" s="262"/>
      <c r="E105" s="262"/>
      <c r="F105" s="6" t="s">
        <v>66</v>
      </c>
      <c r="G105" s="7" t="s">
        <v>71</v>
      </c>
      <c r="H105" s="6">
        <v>73100</v>
      </c>
      <c r="I105" s="6" t="s">
        <v>72</v>
      </c>
      <c r="J105" s="34">
        <f>SUM(Albania:Zimbabwe!J63)</f>
        <v>0</v>
      </c>
      <c r="K105" s="34">
        <f>SUM(Albania:Zimbabwe!K63)</f>
        <v>464004.41000000003</v>
      </c>
      <c r="L105" s="34">
        <f>SUM(Albania:Zimbabwe!L63)</f>
        <v>0</v>
      </c>
      <c r="M105" s="34">
        <f>SUM(Albania:Zimbabwe!M63)</f>
        <v>0</v>
      </c>
      <c r="N105" s="34">
        <f t="shared" si="16"/>
        <v>464004.41000000003</v>
      </c>
      <c r="O105" s="8"/>
      <c r="P105" s="9">
        <v>1</v>
      </c>
      <c r="Q105" s="9"/>
      <c r="R105" s="245"/>
    </row>
    <row r="106" spans="1:36" ht="21.95" customHeight="1" x14ac:dyDescent="0.2">
      <c r="A106" s="262"/>
      <c r="B106" s="262"/>
      <c r="C106" s="262"/>
      <c r="D106" s="262"/>
      <c r="E106" s="262"/>
      <c r="F106" s="6" t="s">
        <v>66</v>
      </c>
      <c r="G106" s="7" t="s">
        <v>58</v>
      </c>
      <c r="H106" s="6">
        <v>73400</v>
      </c>
      <c r="I106" s="6" t="s">
        <v>73</v>
      </c>
      <c r="J106" s="34">
        <f>SUM(Albania:Zimbabwe!J64)</f>
        <v>0</v>
      </c>
      <c r="K106" s="34">
        <f>SUM(Albania:Zimbabwe!K64)</f>
        <v>27279.239999999994</v>
      </c>
      <c r="L106" s="34">
        <f>SUM(Albania:Zimbabwe!L64)</f>
        <v>0</v>
      </c>
      <c r="M106" s="34">
        <f>SUM(Albania:Zimbabwe!M64)</f>
        <v>0</v>
      </c>
      <c r="N106" s="34">
        <f t="shared" si="16"/>
        <v>27279.239999999994</v>
      </c>
      <c r="O106" s="8"/>
      <c r="P106" s="9">
        <v>1</v>
      </c>
      <c r="Q106" s="9"/>
      <c r="R106" s="245"/>
    </row>
    <row r="107" spans="1:36" ht="21.95" customHeight="1" x14ac:dyDescent="0.2">
      <c r="A107" s="262"/>
      <c r="B107" s="262"/>
      <c r="C107" s="262"/>
      <c r="D107" s="262"/>
      <c r="E107" s="262"/>
      <c r="F107" s="6" t="s">
        <v>66</v>
      </c>
      <c r="G107" s="7" t="s">
        <v>74</v>
      </c>
      <c r="H107" s="6">
        <v>74100</v>
      </c>
      <c r="I107" s="6" t="s">
        <v>75</v>
      </c>
      <c r="J107" s="34">
        <f>SUM(Albania:Zimbabwe!J65)</f>
        <v>0</v>
      </c>
      <c r="K107" s="34">
        <f>SUM(Albania:Zimbabwe!K65)</f>
        <v>4937.12</v>
      </c>
      <c r="L107" s="34">
        <f>SUM(Albania:Zimbabwe!L65)</f>
        <v>0</v>
      </c>
      <c r="M107" s="34">
        <f>SUM(Albania:Zimbabwe!M65)</f>
        <v>0</v>
      </c>
      <c r="N107" s="34">
        <f t="shared" si="16"/>
        <v>4937.12</v>
      </c>
      <c r="O107" s="8"/>
      <c r="P107" s="9">
        <v>1</v>
      </c>
      <c r="Q107" s="9"/>
      <c r="R107" s="245"/>
    </row>
    <row r="108" spans="1:36" ht="21.95" customHeight="1" x14ac:dyDescent="0.2">
      <c r="A108" s="262"/>
      <c r="B108" s="262"/>
      <c r="C108" s="262"/>
      <c r="D108" s="262"/>
      <c r="E108" s="262"/>
      <c r="F108" s="6" t="s">
        <v>66</v>
      </c>
      <c r="G108" s="7" t="s">
        <v>58</v>
      </c>
      <c r="H108" s="6">
        <v>74200</v>
      </c>
      <c r="I108" s="6" t="s">
        <v>76</v>
      </c>
      <c r="J108" s="34">
        <f>SUM(Albania:Zimbabwe!J66)</f>
        <v>0</v>
      </c>
      <c r="K108" s="34">
        <f>SUM(Albania:Zimbabwe!K66)</f>
        <v>25599.080000000009</v>
      </c>
      <c r="L108" s="34">
        <f>SUM(Albania:Zimbabwe!L66)</f>
        <v>0</v>
      </c>
      <c r="M108" s="34">
        <f>SUM(Albania:Zimbabwe!M66)</f>
        <v>0</v>
      </c>
      <c r="N108" s="34">
        <f t="shared" si="16"/>
        <v>25599.080000000009</v>
      </c>
      <c r="O108" s="8"/>
      <c r="P108" s="9">
        <v>1</v>
      </c>
      <c r="Q108" s="9"/>
      <c r="R108" s="245"/>
    </row>
    <row r="109" spans="1:36" ht="21.95" customHeight="1" x14ac:dyDescent="0.2">
      <c r="A109" s="262"/>
      <c r="B109" s="262"/>
      <c r="C109" s="262"/>
      <c r="D109" s="262"/>
      <c r="E109" s="262"/>
      <c r="F109" s="6" t="s">
        <v>66</v>
      </c>
      <c r="G109" s="7" t="s">
        <v>23</v>
      </c>
      <c r="H109" s="6">
        <v>74500</v>
      </c>
      <c r="I109" s="6" t="s">
        <v>49</v>
      </c>
      <c r="J109" s="34">
        <f>SUM(Albania:Zimbabwe!J67)</f>
        <v>0</v>
      </c>
      <c r="K109" s="34">
        <f>SUM(Albania:Zimbabwe!K67)</f>
        <v>0</v>
      </c>
      <c r="L109" s="34">
        <f>SUM(Albania:Zimbabwe!L67)</f>
        <v>0</v>
      </c>
      <c r="M109" s="34">
        <f>SUM(Albania:Zimbabwe!M67)</f>
        <v>0</v>
      </c>
      <c r="N109" s="34">
        <f t="shared" si="16"/>
        <v>0</v>
      </c>
      <c r="O109" s="8"/>
      <c r="P109" s="9">
        <v>0.19187398279469892</v>
      </c>
      <c r="Q109" s="9"/>
      <c r="R109" s="245"/>
    </row>
    <row r="110" spans="1:36" ht="21.95" customHeight="1" x14ac:dyDescent="0.2">
      <c r="A110" s="262"/>
      <c r="B110" s="262"/>
      <c r="C110" s="6"/>
      <c r="D110" s="6"/>
      <c r="E110" s="6"/>
      <c r="F110" s="6"/>
      <c r="G110" s="7"/>
      <c r="H110" s="6">
        <v>74700</v>
      </c>
      <c r="I110" s="6"/>
      <c r="J110" s="34"/>
      <c r="K110" s="34"/>
      <c r="L110" s="34"/>
      <c r="M110" s="34"/>
      <c r="N110" s="34"/>
      <c r="O110" s="8"/>
      <c r="P110" s="9"/>
      <c r="Q110" s="9"/>
      <c r="R110" s="245"/>
    </row>
    <row r="111" spans="1:36" ht="21.95" customHeight="1" x14ac:dyDescent="0.2">
      <c r="A111" s="262"/>
      <c r="B111" s="262"/>
      <c r="C111" s="6"/>
      <c r="D111" s="6"/>
      <c r="E111" s="6"/>
      <c r="F111" s="6"/>
      <c r="G111" s="7"/>
      <c r="H111" s="6">
        <v>61200</v>
      </c>
      <c r="I111" s="6"/>
      <c r="J111" s="34"/>
      <c r="K111" s="34"/>
      <c r="L111" s="34"/>
      <c r="M111" s="34"/>
      <c r="N111" s="34"/>
      <c r="O111" s="8"/>
      <c r="P111" s="9"/>
      <c r="Q111" s="9"/>
      <c r="R111" s="245"/>
    </row>
    <row r="112" spans="1:36" ht="21.95" customHeight="1" x14ac:dyDescent="0.2">
      <c r="A112" s="262"/>
      <c r="B112" s="262"/>
      <c r="C112" s="6"/>
      <c r="D112" s="6"/>
      <c r="E112" s="6"/>
      <c r="F112" s="6"/>
      <c r="G112" s="7"/>
      <c r="H112" s="6">
        <v>61300</v>
      </c>
      <c r="I112" s="6"/>
      <c r="J112" s="34"/>
      <c r="K112" s="34"/>
      <c r="L112" s="34"/>
      <c r="M112" s="34"/>
      <c r="N112" s="34"/>
      <c r="O112" s="8"/>
      <c r="P112" s="9"/>
      <c r="Q112" s="9"/>
      <c r="R112" s="245"/>
    </row>
    <row r="113" spans="1:36" s="2" customFormat="1" ht="21.95" customHeight="1" x14ac:dyDescent="0.2">
      <c r="A113" s="262"/>
      <c r="B113" s="262"/>
      <c r="C113" s="261" t="s">
        <v>31</v>
      </c>
      <c r="D113" s="261"/>
      <c r="E113" s="261"/>
      <c r="F113" s="261"/>
      <c r="G113" s="261"/>
      <c r="H113" s="261"/>
      <c r="I113" s="261"/>
      <c r="J113" s="34">
        <f>SUM(J99:J109)</f>
        <v>0</v>
      </c>
      <c r="K113" s="34">
        <f>SUM(K99:K109)</f>
        <v>704182.41</v>
      </c>
      <c r="L113" s="34">
        <f>SUM(L99:L109)</f>
        <v>0</v>
      </c>
      <c r="M113" s="34">
        <f>SUM(M99:M109)</f>
        <v>0</v>
      </c>
      <c r="N113" s="34">
        <f>SUM(N99:N109)</f>
        <v>704182.41</v>
      </c>
      <c r="O113" s="8"/>
      <c r="P113" s="9"/>
      <c r="R113" s="245"/>
      <c r="S113" s="1"/>
      <c r="T113" s="1"/>
      <c r="U113" s="1"/>
      <c r="V113" s="1"/>
      <c r="W113" s="1"/>
      <c r="X113" s="1"/>
      <c r="Y113" s="1"/>
      <c r="Z113" s="1"/>
      <c r="AA113" s="1"/>
      <c r="AB113" s="1"/>
      <c r="AC113" s="1"/>
      <c r="AD113" s="1"/>
      <c r="AE113" s="1"/>
      <c r="AF113" s="1"/>
      <c r="AG113" s="1"/>
      <c r="AH113" s="1"/>
      <c r="AI113" s="1"/>
      <c r="AJ113" s="1"/>
    </row>
    <row r="114" spans="1:36" s="2" customFormat="1" ht="21.95" customHeight="1" x14ac:dyDescent="0.2">
      <c r="A114" s="262"/>
      <c r="B114" s="261" t="s">
        <v>78</v>
      </c>
      <c r="C114" s="261"/>
      <c r="D114" s="261"/>
      <c r="E114" s="261"/>
      <c r="F114" s="261"/>
      <c r="G114" s="261"/>
      <c r="H114" s="261"/>
      <c r="I114" s="261"/>
      <c r="J114" s="34">
        <f>J113</f>
        <v>0</v>
      </c>
      <c r="K114" s="34">
        <f t="shared" ref="K114:N114" si="17">K113</f>
        <v>704182.41</v>
      </c>
      <c r="L114" s="34">
        <f t="shared" si="17"/>
        <v>0</v>
      </c>
      <c r="M114" s="34">
        <f t="shared" si="17"/>
        <v>0</v>
      </c>
      <c r="N114" s="34">
        <f t="shared" si="17"/>
        <v>704182.41</v>
      </c>
      <c r="O114" s="8"/>
      <c r="P114" s="9"/>
      <c r="R114" s="245"/>
      <c r="S114" s="1"/>
      <c r="T114" s="1"/>
      <c r="U114" s="1"/>
      <c r="V114" s="1"/>
      <c r="W114" s="1"/>
      <c r="X114" s="1"/>
      <c r="Y114" s="1"/>
      <c r="Z114" s="1"/>
      <c r="AA114" s="1"/>
      <c r="AB114" s="1"/>
      <c r="AC114" s="1"/>
      <c r="AD114" s="1"/>
      <c r="AE114" s="1"/>
      <c r="AF114" s="1"/>
      <c r="AG114" s="1"/>
      <c r="AH114" s="1"/>
      <c r="AI114" s="1"/>
      <c r="AJ114" s="1"/>
    </row>
    <row r="115" spans="1:36" s="2" customFormat="1" ht="21.95" customHeight="1" x14ac:dyDescent="0.2">
      <c r="A115" s="262"/>
      <c r="B115" s="7"/>
      <c r="C115" s="7"/>
      <c r="D115" s="7"/>
      <c r="E115" s="7"/>
      <c r="F115" s="7"/>
      <c r="G115" s="7"/>
      <c r="H115" s="6">
        <v>71400</v>
      </c>
      <c r="I115" s="7"/>
      <c r="J115" s="34"/>
      <c r="K115" s="34"/>
      <c r="L115" s="34"/>
      <c r="M115" s="34"/>
      <c r="N115" s="34"/>
      <c r="O115" s="8"/>
      <c r="P115" s="9"/>
      <c r="R115" s="245"/>
      <c r="S115" s="1"/>
      <c r="T115" s="1"/>
      <c r="U115" s="1"/>
      <c r="V115" s="1"/>
      <c r="W115" s="1"/>
      <c r="X115" s="1"/>
      <c r="Y115" s="1"/>
      <c r="Z115" s="1"/>
      <c r="AA115" s="1"/>
      <c r="AB115" s="1"/>
      <c r="AC115" s="1"/>
      <c r="AD115" s="1"/>
      <c r="AE115" s="1"/>
      <c r="AF115" s="1"/>
      <c r="AG115" s="1"/>
      <c r="AH115" s="1"/>
      <c r="AI115" s="1"/>
      <c r="AJ115" s="1"/>
    </row>
    <row r="116" spans="1:36" s="2" customFormat="1" ht="21.95" customHeight="1" x14ac:dyDescent="0.2">
      <c r="A116" s="262"/>
      <c r="B116" s="262" t="s">
        <v>79</v>
      </c>
      <c r="C116" s="262" t="s">
        <v>17</v>
      </c>
      <c r="D116" s="262">
        <v>62000</v>
      </c>
      <c r="E116" s="262">
        <v>10003</v>
      </c>
      <c r="F116" s="6" t="s">
        <v>79</v>
      </c>
      <c r="G116" s="7" t="s">
        <v>23</v>
      </c>
      <c r="H116" s="6">
        <v>71600</v>
      </c>
      <c r="I116" s="6" t="s">
        <v>23</v>
      </c>
      <c r="J116" s="34">
        <f>SUM(Albania:Zimbabwe!J70)</f>
        <v>0</v>
      </c>
      <c r="K116" s="34">
        <f>SUM(Albania:Zimbabwe!K70)</f>
        <v>0</v>
      </c>
      <c r="L116" s="34">
        <f>SUM(Albania:Zimbabwe!L70)</f>
        <v>0</v>
      </c>
      <c r="M116" s="34">
        <f>SUM(Albania:Zimbabwe!M70)</f>
        <v>0</v>
      </c>
      <c r="N116" s="34">
        <f t="shared" ref="N116:N126" si="18">SUM(J116:M116)</f>
        <v>0</v>
      </c>
      <c r="O116" s="8"/>
      <c r="P116" s="9">
        <v>0.18200113324682271</v>
      </c>
      <c r="R116" s="245"/>
      <c r="S116" s="1"/>
      <c r="T116" s="1"/>
      <c r="U116" s="1"/>
      <c r="V116" s="1"/>
      <c r="W116" s="1"/>
      <c r="X116" s="1"/>
      <c r="Y116" s="1"/>
      <c r="Z116" s="1"/>
      <c r="AA116" s="1"/>
      <c r="AB116" s="1"/>
      <c r="AC116" s="1"/>
      <c r="AD116" s="1"/>
      <c r="AE116" s="1"/>
      <c r="AF116" s="1"/>
      <c r="AG116" s="1"/>
      <c r="AH116" s="1"/>
      <c r="AI116" s="1"/>
      <c r="AJ116" s="1"/>
    </row>
    <row r="117" spans="1:36" s="2" customFormat="1" ht="21.95" customHeight="1" x14ac:dyDescent="0.2">
      <c r="A117" s="262"/>
      <c r="B117" s="262"/>
      <c r="C117" s="262"/>
      <c r="D117" s="262"/>
      <c r="E117" s="262"/>
      <c r="F117" s="6" t="s">
        <v>79</v>
      </c>
      <c r="G117" s="7" t="s">
        <v>58</v>
      </c>
      <c r="H117" s="6">
        <v>72200</v>
      </c>
      <c r="I117" s="6" t="s">
        <v>67</v>
      </c>
      <c r="J117" s="34">
        <f>SUM(Albania:Zimbabwe!J71)</f>
        <v>0</v>
      </c>
      <c r="K117" s="34">
        <f>SUM(Albania:Zimbabwe!K71)</f>
        <v>4635.2099999999991</v>
      </c>
      <c r="L117" s="34">
        <f>SUM(Albania:Zimbabwe!L71)</f>
        <v>0</v>
      </c>
      <c r="M117" s="34">
        <f>SUM(Albania:Zimbabwe!M71)</f>
        <v>0</v>
      </c>
      <c r="N117" s="34">
        <f t="shared" si="18"/>
        <v>4635.2099999999991</v>
      </c>
      <c r="O117" s="8"/>
      <c r="P117" s="9">
        <v>1</v>
      </c>
      <c r="R117" s="245"/>
      <c r="S117" s="1"/>
      <c r="T117" s="1"/>
      <c r="U117" s="1"/>
      <c r="V117" s="1"/>
      <c r="W117" s="1"/>
      <c r="X117" s="1"/>
      <c r="Y117" s="1"/>
      <c r="Z117" s="1"/>
      <c r="AA117" s="1"/>
      <c r="AB117" s="1"/>
      <c r="AC117" s="1"/>
      <c r="AD117" s="1"/>
      <c r="AE117" s="1"/>
      <c r="AF117" s="1"/>
      <c r="AG117" s="1"/>
      <c r="AH117" s="1"/>
      <c r="AI117" s="1"/>
      <c r="AJ117" s="1"/>
    </row>
    <row r="118" spans="1:36" s="2" customFormat="1" ht="21.95" customHeight="1" x14ac:dyDescent="0.2">
      <c r="A118" s="262"/>
      <c r="B118" s="262"/>
      <c r="C118" s="262"/>
      <c r="D118" s="262"/>
      <c r="E118" s="262"/>
      <c r="F118" s="6"/>
      <c r="G118" s="7"/>
      <c r="H118" s="6">
        <v>72300</v>
      </c>
      <c r="I118" s="6"/>
      <c r="J118" s="34"/>
      <c r="K118" s="34"/>
      <c r="L118" s="34"/>
      <c r="M118" s="34"/>
      <c r="N118" s="34"/>
      <c r="O118" s="8"/>
      <c r="P118" s="9"/>
      <c r="R118" s="245"/>
      <c r="S118" s="1"/>
      <c r="T118" s="1"/>
      <c r="U118" s="1"/>
      <c r="V118" s="1"/>
      <c r="W118" s="1"/>
      <c r="X118" s="1"/>
      <c r="Y118" s="1"/>
      <c r="Z118" s="1"/>
      <c r="AA118" s="1"/>
      <c r="AB118" s="1"/>
      <c r="AC118" s="1"/>
      <c r="AD118" s="1"/>
      <c r="AE118" s="1"/>
      <c r="AF118" s="1"/>
      <c r="AG118" s="1"/>
      <c r="AH118" s="1"/>
      <c r="AI118" s="1"/>
      <c r="AJ118" s="1"/>
    </row>
    <row r="119" spans="1:36" s="2" customFormat="1" ht="21.95" customHeight="1" x14ac:dyDescent="0.2">
      <c r="A119" s="262"/>
      <c r="B119" s="262"/>
      <c r="C119" s="262"/>
      <c r="D119" s="262"/>
      <c r="E119" s="262"/>
      <c r="F119" s="6" t="s">
        <v>79</v>
      </c>
      <c r="G119" s="7" t="s">
        <v>58</v>
      </c>
      <c r="H119" s="6">
        <v>72400</v>
      </c>
      <c r="I119" s="6" t="s">
        <v>69</v>
      </c>
      <c r="J119" s="34">
        <f>SUM(Albania:Zimbabwe!J72)</f>
        <v>0</v>
      </c>
      <c r="K119" s="34">
        <f>SUM(Albania:Zimbabwe!K72)</f>
        <v>32992.090000000004</v>
      </c>
      <c r="L119" s="34">
        <f>SUM(Albania:Zimbabwe!L72)</f>
        <v>0</v>
      </c>
      <c r="M119" s="34">
        <f>SUM(Albania:Zimbabwe!M72)</f>
        <v>0</v>
      </c>
      <c r="N119" s="34">
        <f t="shared" si="18"/>
        <v>32992.090000000004</v>
      </c>
      <c r="O119" s="8"/>
      <c r="P119" s="9">
        <v>1</v>
      </c>
      <c r="R119" s="245"/>
      <c r="S119" s="1"/>
      <c r="T119" s="1"/>
      <c r="U119" s="1"/>
      <c r="V119" s="1"/>
      <c r="W119" s="1"/>
      <c r="X119" s="1"/>
      <c r="Y119" s="1"/>
      <c r="Z119" s="1"/>
      <c r="AA119" s="1"/>
      <c r="AB119" s="1"/>
      <c r="AC119" s="1"/>
      <c r="AD119" s="1"/>
      <c r="AE119" s="1"/>
      <c r="AF119" s="1"/>
      <c r="AG119" s="1"/>
      <c r="AH119" s="1"/>
      <c r="AI119" s="1"/>
      <c r="AJ119" s="1"/>
    </row>
    <row r="120" spans="1:36" s="2" customFormat="1" ht="21.95" customHeight="1" x14ac:dyDescent="0.2">
      <c r="A120" s="262"/>
      <c r="B120" s="262"/>
      <c r="C120" s="262"/>
      <c r="D120" s="262"/>
      <c r="E120" s="262"/>
      <c r="F120" s="6" t="s">
        <v>79</v>
      </c>
      <c r="G120" s="7" t="s">
        <v>24</v>
      </c>
      <c r="H120" s="6">
        <v>72500</v>
      </c>
      <c r="I120" s="6" t="s">
        <v>25</v>
      </c>
      <c r="J120" s="34">
        <f>SUM(Albania:Zimbabwe!J73)</f>
        <v>0</v>
      </c>
      <c r="K120" s="34">
        <f>SUM(Albania:Zimbabwe!K73)</f>
        <v>47809.820000000007</v>
      </c>
      <c r="L120" s="34">
        <f>SUM(Albania:Zimbabwe!L73)</f>
        <v>0</v>
      </c>
      <c r="M120" s="34">
        <f>SUM(Albania:Zimbabwe!M73)</f>
        <v>0</v>
      </c>
      <c r="N120" s="34">
        <f t="shared" si="18"/>
        <v>47809.820000000007</v>
      </c>
      <c r="O120" s="8"/>
      <c r="P120" s="9">
        <v>0.62729062862071294</v>
      </c>
      <c r="R120" s="245"/>
      <c r="S120" s="1"/>
      <c r="T120" s="1"/>
      <c r="U120" s="1"/>
      <c r="V120" s="1"/>
      <c r="W120" s="1"/>
      <c r="X120" s="1"/>
      <c r="Y120" s="1"/>
      <c r="Z120" s="1"/>
      <c r="AA120" s="1"/>
      <c r="AB120" s="1"/>
      <c r="AC120" s="1"/>
      <c r="AD120" s="1"/>
      <c r="AE120" s="1"/>
      <c r="AF120" s="1"/>
      <c r="AG120" s="1"/>
      <c r="AH120" s="1"/>
      <c r="AI120" s="1"/>
      <c r="AJ120" s="1"/>
    </row>
    <row r="121" spans="1:36" s="2" customFormat="1" ht="21.95" customHeight="1" x14ac:dyDescent="0.2">
      <c r="A121" s="262"/>
      <c r="B121" s="262"/>
      <c r="C121" s="262"/>
      <c r="D121" s="262"/>
      <c r="E121" s="262"/>
      <c r="F121" s="6" t="s">
        <v>79</v>
      </c>
      <c r="G121" s="7" t="s">
        <v>58</v>
      </c>
      <c r="H121" s="6">
        <v>72800</v>
      </c>
      <c r="I121" s="6" t="s">
        <v>70</v>
      </c>
      <c r="J121" s="34">
        <f>SUM(Albania:Zimbabwe!J74)</f>
        <v>0</v>
      </c>
      <c r="K121" s="34">
        <f>SUM(Albania:Zimbabwe!K74)</f>
        <v>21041.21</v>
      </c>
      <c r="L121" s="34">
        <f>SUM(Albania:Zimbabwe!L74)</f>
        <v>0</v>
      </c>
      <c r="M121" s="34">
        <f>SUM(Albania:Zimbabwe!M74)</f>
        <v>0</v>
      </c>
      <c r="N121" s="34">
        <f t="shared" si="18"/>
        <v>21041.21</v>
      </c>
      <c r="O121" s="8"/>
      <c r="P121" s="9">
        <v>1</v>
      </c>
      <c r="R121" s="245"/>
      <c r="S121" s="1"/>
      <c r="T121" s="1"/>
      <c r="U121" s="1"/>
      <c r="V121" s="1"/>
      <c r="W121" s="1"/>
      <c r="X121" s="1"/>
      <c r="Y121" s="1"/>
      <c r="Z121" s="1"/>
      <c r="AA121" s="1"/>
      <c r="AB121" s="1"/>
      <c r="AC121" s="1"/>
      <c r="AD121" s="1"/>
      <c r="AE121" s="1"/>
      <c r="AF121" s="1"/>
      <c r="AG121" s="1"/>
      <c r="AH121" s="1"/>
      <c r="AI121" s="1"/>
      <c r="AJ121" s="1"/>
    </row>
    <row r="122" spans="1:36" s="2" customFormat="1" ht="21.95" customHeight="1" x14ac:dyDescent="0.2">
      <c r="A122" s="262"/>
      <c r="B122" s="262"/>
      <c r="C122" s="262"/>
      <c r="D122" s="262"/>
      <c r="E122" s="262"/>
      <c r="F122" s="6" t="s">
        <v>79</v>
      </c>
      <c r="G122" s="7" t="s">
        <v>71</v>
      </c>
      <c r="H122" s="6">
        <v>73100</v>
      </c>
      <c r="I122" s="6" t="s">
        <v>72</v>
      </c>
      <c r="J122" s="34">
        <f>SUM(Albania:Zimbabwe!J75)</f>
        <v>0</v>
      </c>
      <c r="K122" s="34">
        <f>SUM(Albania:Zimbabwe!K75)</f>
        <v>270925.00000000006</v>
      </c>
      <c r="L122" s="34">
        <f>SUM(Albania:Zimbabwe!L75)</f>
        <v>0</v>
      </c>
      <c r="M122" s="34">
        <f>SUM(Albania:Zimbabwe!M75)</f>
        <v>0</v>
      </c>
      <c r="N122" s="34">
        <f t="shared" si="18"/>
        <v>270925.00000000006</v>
      </c>
      <c r="O122" s="8"/>
      <c r="P122" s="9">
        <v>1</v>
      </c>
      <c r="R122" s="245"/>
      <c r="S122" s="1"/>
      <c r="T122" s="1"/>
      <c r="U122" s="1"/>
      <c r="V122" s="1"/>
      <c r="W122" s="1"/>
      <c r="X122" s="1"/>
      <c r="Y122" s="1"/>
      <c r="Z122" s="1"/>
      <c r="AA122" s="1"/>
      <c r="AB122" s="1"/>
      <c r="AC122" s="1"/>
      <c r="AD122" s="1"/>
      <c r="AE122" s="1"/>
      <c r="AF122" s="1"/>
      <c r="AG122" s="1"/>
      <c r="AH122" s="1"/>
      <c r="AI122" s="1"/>
      <c r="AJ122" s="1"/>
    </row>
    <row r="123" spans="1:36" s="2" customFormat="1" ht="21.95" customHeight="1" x14ac:dyDescent="0.2">
      <c r="A123" s="262"/>
      <c r="B123" s="262"/>
      <c r="C123" s="262"/>
      <c r="D123" s="262"/>
      <c r="E123" s="262"/>
      <c r="F123" s="6" t="s">
        <v>79</v>
      </c>
      <c r="G123" s="7" t="s">
        <v>58</v>
      </c>
      <c r="H123" s="6">
        <v>73400</v>
      </c>
      <c r="I123" s="6" t="s">
        <v>73</v>
      </c>
      <c r="J123" s="34">
        <f>SUM(Albania:Zimbabwe!J76)</f>
        <v>0</v>
      </c>
      <c r="K123" s="34">
        <f>SUM(Albania:Zimbabwe!K76)</f>
        <v>15928.03</v>
      </c>
      <c r="L123" s="34">
        <f>SUM(Albania:Zimbabwe!L76)</f>
        <v>0</v>
      </c>
      <c r="M123" s="34">
        <f>SUM(Albania:Zimbabwe!M76)</f>
        <v>0</v>
      </c>
      <c r="N123" s="34">
        <f t="shared" si="18"/>
        <v>15928.03</v>
      </c>
      <c r="O123" s="8"/>
      <c r="P123" s="9">
        <v>1</v>
      </c>
      <c r="R123" s="245"/>
      <c r="S123" s="1"/>
      <c r="T123" s="1"/>
      <c r="U123" s="1"/>
      <c r="V123" s="1"/>
      <c r="W123" s="1"/>
      <c r="X123" s="1"/>
      <c r="Y123" s="1"/>
      <c r="Z123" s="1"/>
      <c r="AA123" s="1"/>
      <c r="AB123" s="1"/>
      <c r="AC123" s="1"/>
      <c r="AD123" s="1"/>
      <c r="AE123" s="1"/>
      <c r="AF123" s="1"/>
      <c r="AG123" s="1"/>
      <c r="AH123" s="1"/>
      <c r="AI123" s="1"/>
      <c r="AJ123" s="1"/>
    </row>
    <row r="124" spans="1:36" s="2" customFormat="1" ht="21.95" customHeight="1" x14ac:dyDescent="0.2">
      <c r="A124" s="262"/>
      <c r="B124" s="262"/>
      <c r="C124" s="262"/>
      <c r="D124" s="262"/>
      <c r="E124" s="262"/>
      <c r="F124" s="6" t="s">
        <v>79</v>
      </c>
      <c r="G124" s="7" t="s">
        <v>74</v>
      </c>
      <c r="H124" s="6">
        <v>74100</v>
      </c>
      <c r="I124" s="6" t="s">
        <v>75</v>
      </c>
      <c r="J124" s="34">
        <f>SUM(Albania:Zimbabwe!J77)</f>
        <v>0</v>
      </c>
      <c r="K124" s="34">
        <f>SUM(Albania:Zimbabwe!K77)</f>
        <v>5792.88</v>
      </c>
      <c r="L124" s="34">
        <f>SUM(Albania:Zimbabwe!L77)</f>
        <v>0</v>
      </c>
      <c r="M124" s="34">
        <f>SUM(Albania:Zimbabwe!M77)</f>
        <v>0</v>
      </c>
      <c r="N124" s="34">
        <f t="shared" si="18"/>
        <v>5792.88</v>
      </c>
      <c r="O124" s="8"/>
      <c r="P124" s="9">
        <v>1</v>
      </c>
      <c r="R124" s="245"/>
      <c r="S124" s="1"/>
      <c r="T124" s="1"/>
      <c r="U124" s="1"/>
      <c r="V124" s="1"/>
      <c r="W124" s="1"/>
      <c r="X124" s="1"/>
      <c r="Y124" s="1"/>
      <c r="Z124" s="1"/>
      <c r="AA124" s="1"/>
      <c r="AB124" s="1"/>
      <c r="AC124" s="1"/>
      <c r="AD124" s="1"/>
      <c r="AE124" s="1"/>
      <c r="AF124" s="1"/>
      <c r="AG124" s="1"/>
      <c r="AH124" s="1"/>
      <c r="AI124" s="1"/>
      <c r="AJ124" s="1"/>
    </row>
    <row r="125" spans="1:36" s="2" customFormat="1" ht="21.95" customHeight="1" x14ac:dyDescent="0.2">
      <c r="A125" s="262"/>
      <c r="B125" s="262"/>
      <c r="C125" s="262"/>
      <c r="D125" s="262"/>
      <c r="E125" s="262"/>
      <c r="F125" s="6" t="s">
        <v>79</v>
      </c>
      <c r="G125" s="7" t="s">
        <v>58</v>
      </c>
      <c r="H125" s="6">
        <v>74200</v>
      </c>
      <c r="I125" s="6" t="s">
        <v>76</v>
      </c>
      <c r="J125" s="34">
        <f>SUM(Albania:Zimbabwe!J78)</f>
        <v>0</v>
      </c>
      <c r="K125" s="34">
        <f>SUM(Albania:Zimbabwe!K78)</f>
        <v>14946.660000000002</v>
      </c>
      <c r="L125" s="34">
        <f>SUM(Albania:Zimbabwe!L78)</f>
        <v>0</v>
      </c>
      <c r="M125" s="34">
        <f>SUM(Albania:Zimbabwe!M78)</f>
        <v>0</v>
      </c>
      <c r="N125" s="34">
        <f t="shared" si="18"/>
        <v>14946.660000000002</v>
      </c>
      <c r="O125" s="8"/>
      <c r="P125" s="9">
        <v>1</v>
      </c>
      <c r="R125" s="245"/>
      <c r="S125" s="1"/>
      <c r="T125" s="1"/>
      <c r="U125" s="1"/>
      <c r="V125" s="1"/>
      <c r="W125" s="1"/>
      <c r="X125" s="1"/>
      <c r="Y125" s="1"/>
      <c r="Z125" s="1"/>
      <c r="AA125" s="1"/>
      <c r="AB125" s="1"/>
      <c r="AC125" s="1"/>
      <c r="AD125" s="1"/>
      <c r="AE125" s="1"/>
      <c r="AF125" s="1"/>
      <c r="AG125" s="1"/>
      <c r="AH125" s="1"/>
      <c r="AI125" s="1"/>
      <c r="AJ125" s="1"/>
    </row>
    <row r="126" spans="1:36" s="2" customFormat="1" ht="21.95" customHeight="1" x14ac:dyDescent="0.2">
      <c r="A126" s="262"/>
      <c r="B126" s="262"/>
      <c r="C126" s="262"/>
      <c r="D126" s="262"/>
      <c r="E126" s="262"/>
      <c r="F126" s="6" t="s">
        <v>79</v>
      </c>
      <c r="G126" s="7" t="s">
        <v>23</v>
      </c>
      <c r="H126" s="6">
        <v>74500</v>
      </c>
      <c r="I126" s="6" t="s">
        <v>49</v>
      </c>
      <c r="J126" s="34">
        <f>SUM(Albania:Zimbabwe!J79)</f>
        <v>0</v>
      </c>
      <c r="K126" s="34">
        <f>SUM(Albania:Zimbabwe!K79)</f>
        <v>0</v>
      </c>
      <c r="L126" s="34">
        <f>SUM(Albania:Zimbabwe!L79)</f>
        <v>0</v>
      </c>
      <c r="M126" s="34">
        <f>SUM(Albania:Zimbabwe!M79)</f>
        <v>0</v>
      </c>
      <c r="N126" s="34">
        <f t="shared" si="18"/>
        <v>0</v>
      </c>
      <c r="O126" s="8"/>
      <c r="P126" s="9">
        <v>0.19187269255251432</v>
      </c>
      <c r="R126" s="245"/>
      <c r="S126" s="1"/>
      <c r="T126" s="1"/>
      <c r="U126" s="1"/>
      <c r="V126" s="1"/>
      <c r="W126" s="1"/>
      <c r="X126" s="1"/>
      <c r="Y126" s="1"/>
      <c r="Z126" s="1"/>
      <c r="AA126" s="1"/>
      <c r="AB126" s="1"/>
      <c r="AC126" s="1"/>
      <c r="AD126" s="1"/>
      <c r="AE126" s="1"/>
      <c r="AF126" s="1"/>
      <c r="AG126" s="1"/>
      <c r="AH126" s="1"/>
      <c r="AI126" s="1"/>
      <c r="AJ126" s="1"/>
    </row>
    <row r="127" spans="1:36" s="2" customFormat="1" ht="21.95" customHeight="1" x14ac:dyDescent="0.2">
      <c r="A127" s="262"/>
      <c r="B127" s="262"/>
      <c r="C127" s="6"/>
      <c r="D127" s="6"/>
      <c r="E127" s="6"/>
      <c r="F127" s="6"/>
      <c r="G127" s="7"/>
      <c r="H127" s="6">
        <v>74700</v>
      </c>
      <c r="I127" s="6"/>
      <c r="J127" s="34"/>
      <c r="K127" s="34"/>
      <c r="L127" s="34"/>
      <c r="M127" s="34"/>
      <c r="N127" s="34"/>
      <c r="O127" s="8"/>
      <c r="P127" s="9"/>
      <c r="R127" s="245"/>
      <c r="S127" s="1"/>
      <c r="T127" s="1"/>
      <c r="U127" s="1"/>
      <c r="V127" s="1"/>
      <c r="W127" s="1"/>
      <c r="X127" s="1"/>
      <c r="Y127" s="1"/>
      <c r="Z127" s="1"/>
      <c r="AA127" s="1"/>
      <c r="AB127" s="1"/>
      <c r="AC127" s="1"/>
      <c r="AD127" s="1"/>
      <c r="AE127" s="1"/>
      <c r="AF127" s="1"/>
      <c r="AG127" s="1"/>
      <c r="AH127" s="1"/>
      <c r="AI127" s="1"/>
      <c r="AJ127" s="1"/>
    </row>
    <row r="128" spans="1:36" s="2" customFormat="1" ht="21.95" customHeight="1" x14ac:dyDescent="0.2">
      <c r="A128" s="262"/>
      <c r="B128" s="262"/>
      <c r="C128" s="6"/>
      <c r="D128" s="6"/>
      <c r="E128" s="6"/>
      <c r="F128" s="6"/>
      <c r="G128" s="7"/>
      <c r="H128" s="6">
        <v>61200</v>
      </c>
      <c r="I128" s="6"/>
      <c r="J128" s="34"/>
      <c r="K128" s="34"/>
      <c r="L128" s="34"/>
      <c r="M128" s="34"/>
      <c r="N128" s="34"/>
      <c r="O128" s="8"/>
      <c r="P128" s="9"/>
      <c r="R128" s="245"/>
      <c r="S128" s="1"/>
      <c r="T128" s="1"/>
      <c r="U128" s="1"/>
      <c r="V128" s="1"/>
      <c r="W128" s="1"/>
      <c r="X128" s="1"/>
      <c r="Y128" s="1"/>
      <c r="Z128" s="1"/>
      <c r="AA128" s="1"/>
      <c r="AB128" s="1"/>
      <c r="AC128" s="1"/>
      <c r="AD128" s="1"/>
      <c r="AE128" s="1"/>
      <c r="AF128" s="1"/>
      <c r="AG128" s="1"/>
      <c r="AH128" s="1"/>
      <c r="AI128" s="1"/>
      <c r="AJ128" s="1"/>
    </row>
    <row r="129" spans="1:36" s="2" customFormat="1" ht="21.95" customHeight="1" x14ac:dyDescent="0.2">
      <c r="A129" s="262"/>
      <c r="B129" s="262"/>
      <c r="C129" s="6"/>
      <c r="D129" s="6"/>
      <c r="E129" s="6"/>
      <c r="F129" s="6"/>
      <c r="G129" s="7"/>
      <c r="H129" s="6">
        <v>61300</v>
      </c>
      <c r="I129" s="6"/>
      <c r="J129" s="34"/>
      <c r="K129" s="34"/>
      <c r="L129" s="34"/>
      <c r="M129" s="34"/>
      <c r="N129" s="34"/>
      <c r="O129" s="8"/>
      <c r="P129" s="9"/>
      <c r="R129" s="245"/>
      <c r="S129" s="1"/>
      <c r="T129" s="1"/>
      <c r="U129" s="1"/>
      <c r="V129" s="1"/>
      <c r="W129" s="1"/>
      <c r="X129" s="1"/>
      <c r="Y129" s="1"/>
      <c r="Z129" s="1"/>
      <c r="AA129" s="1"/>
      <c r="AB129" s="1"/>
      <c r="AC129" s="1"/>
      <c r="AD129" s="1"/>
      <c r="AE129" s="1"/>
      <c r="AF129" s="1"/>
      <c r="AG129" s="1"/>
      <c r="AH129" s="1"/>
      <c r="AI129" s="1"/>
      <c r="AJ129" s="1"/>
    </row>
    <row r="130" spans="1:36" s="2" customFormat="1" ht="21.95" customHeight="1" x14ac:dyDescent="0.2">
      <c r="A130" s="262"/>
      <c r="B130" s="262"/>
      <c r="C130" s="263" t="s">
        <v>31</v>
      </c>
      <c r="D130" s="263"/>
      <c r="E130" s="263"/>
      <c r="F130" s="263"/>
      <c r="G130" s="263"/>
      <c r="H130" s="263"/>
      <c r="I130" s="263"/>
      <c r="J130" s="34">
        <f>SUM(J116:J126)</f>
        <v>0</v>
      </c>
      <c r="K130" s="34">
        <f>SUM(K116:K126)</f>
        <v>414070.90000000008</v>
      </c>
      <c r="L130" s="34">
        <f>SUM(L116:L126)</f>
        <v>0</v>
      </c>
      <c r="M130" s="34">
        <f>SUM(M116:M126)</f>
        <v>0</v>
      </c>
      <c r="N130" s="34">
        <f>SUM(N116:N126)</f>
        <v>414070.90000000008</v>
      </c>
      <c r="O130" s="8"/>
      <c r="P130" s="9"/>
      <c r="R130" s="245"/>
      <c r="S130" s="1"/>
      <c r="T130" s="1"/>
      <c r="U130" s="1"/>
      <c r="V130" s="1"/>
      <c r="W130" s="1"/>
      <c r="X130" s="1"/>
      <c r="Y130" s="1"/>
      <c r="Z130" s="1"/>
      <c r="AA130" s="1"/>
      <c r="AB130" s="1"/>
      <c r="AC130" s="1"/>
      <c r="AD130" s="1"/>
      <c r="AE130" s="1"/>
      <c r="AF130" s="1"/>
      <c r="AG130" s="1"/>
      <c r="AH130" s="1"/>
      <c r="AI130" s="1"/>
      <c r="AJ130" s="1"/>
    </row>
    <row r="131" spans="1:36" ht="21.95" customHeight="1" x14ac:dyDescent="0.2">
      <c r="A131" s="262"/>
      <c r="B131" s="263" t="s">
        <v>80</v>
      </c>
      <c r="C131" s="263"/>
      <c r="D131" s="263"/>
      <c r="E131" s="263"/>
      <c r="F131" s="263"/>
      <c r="G131" s="263"/>
      <c r="H131" s="263"/>
      <c r="I131" s="263"/>
      <c r="J131" s="34">
        <f>J130</f>
        <v>0</v>
      </c>
      <c r="K131" s="34">
        <f t="shared" ref="K131:N131" si="19">K130</f>
        <v>414070.90000000008</v>
      </c>
      <c r="L131" s="34">
        <f t="shared" si="19"/>
        <v>0</v>
      </c>
      <c r="M131" s="34">
        <f t="shared" si="19"/>
        <v>0</v>
      </c>
      <c r="N131" s="34">
        <f t="shared" si="19"/>
        <v>414070.90000000008</v>
      </c>
      <c r="O131" s="8"/>
      <c r="Q131" s="10"/>
      <c r="R131" s="245"/>
      <c r="Z131" s="11"/>
      <c r="AC131" s="12"/>
      <c r="AD131" s="13"/>
    </row>
    <row r="132" spans="1:36" ht="21.95" customHeight="1" x14ac:dyDescent="0.2">
      <c r="A132" s="261" t="s">
        <v>81</v>
      </c>
      <c r="B132" s="261"/>
      <c r="C132" s="261"/>
      <c r="D132" s="261"/>
      <c r="E132" s="261"/>
      <c r="F132" s="261"/>
      <c r="G132" s="261"/>
      <c r="H132" s="261"/>
      <c r="I132" s="261"/>
      <c r="J132" s="34">
        <f>J114+J131</f>
        <v>0</v>
      </c>
      <c r="K132" s="34">
        <f>K114+K131</f>
        <v>1118253.31</v>
      </c>
      <c r="L132" s="34">
        <f>L114+L131</f>
        <v>0</v>
      </c>
      <c r="M132" s="34">
        <f>M114+M131</f>
        <v>0</v>
      </c>
      <c r="N132" s="34">
        <f>N114+N131</f>
        <v>1118253.31</v>
      </c>
      <c r="O132" s="8"/>
      <c r="R132" s="245"/>
      <c r="Z132" s="15"/>
      <c r="AJ132" s="16"/>
    </row>
    <row r="133" spans="1:36" s="31" customFormat="1" ht="21.95" customHeight="1" x14ac:dyDescent="0.2">
      <c r="A133" s="275" t="s">
        <v>82</v>
      </c>
      <c r="B133" s="275"/>
      <c r="C133" s="275"/>
      <c r="D133" s="275"/>
      <c r="E133" s="275"/>
      <c r="F133" s="275"/>
      <c r="G133" s="275"/>
      <c r="H133" s="275"/>
      <c r="I133" s="275"/>
      <c r="J133" s="35">
        <f>J28+J51+J74+J97+J132</f>
        <v>7999205.3089999985</v>
      </c>
      <c r="K133" s="35">
        <f>K28+K51+K74+K97+K132</f>
        <v>34582854.925999999</v>
      </c>
      <c r="L133" s="35">
        <f>L28+L51+L74+L97+L132</f>
        <v>27997218.58149999</v>
      </c>
      <c r="M133" s="35">
        <f>M28+M51+M74+M97+M132</f>
        <v>11998807.963499997</v>
      </c>
      <c r="N133" s="38">
        <f>N28+N51+N74+N97+N132</f>
        <v>82578086.779999986</v>
      </c>
      <c r="O133" s="36"/>
      <c r="Q133" s="18"/>
      <c r="R133" s="246"/>
    </row>
    <row r="134" spans="1:36" ht="21.95" customHeight="1" x14ac:dyDescent="0.2">
      <c r="A134" s="20"/>
      <c r="B134" s="20"/>
      <c r="C134" s="20"/>
      <c r="D134" s="20"/>
      <c r="E134" s="20"/>
      <c r="F134" s="20"/>
      <c r="G134" s="20"/>
      <c r="H134" s="20"/>
      <c r="I134" s="20"/>
      <c r="J134" s="19"/>
      <c r="K134" s="19"/>
      <c r="L134" s="19"/>
      <c r="M134" s="19" t="s">
        <v>139</v>
      </c>
      <c r="N134" s="19">
        <f>SUM(N37,N48)</f>
        <v>79992053.089999974</v>
      </c>
      <c r="O134" s="21"/>
      <c r="Q134" s="18"/>
      <c r="R134" s="246"/>
    </row>
    <row r="135" spans="1:36" x14ac:dyDescent="0.2">
      <c r="M135" s="1" t="s">
        <v>140</v>
      </c>
      <c r="N135" s="25">
        <f>N133-N134</f>
        <v>2586033.6900000125</v>
      </c>
      <c r="R135" s="245"/>
    </row>
    <row r="136" spans="1:36" ht="12.6" hidden="1" customHeight="1" x14ac:dyDescent="0.2">
      <c r="R136" s="245"/>
    </row>
    <row r="137" spans="1:36" ht="12.6" hidden="1" customHeight="1" x14ac:dyDescent="0.2">
      <c r="A137" s="1" t="s">
        <v>7</v>
      </c>
      <c r="B137" s="1" t="s">
        <v>110</v>
      </c>
      <c r="R137" s="245"/>
    </row>
    <row r="138" spans="1:36" ht="12.6" hidden="1" customHeight="1" x14ac:dyDescent="0.2">
      <c r="G138" s="1" t="s">
        <v>23</v>
      </c>
      <c r="R138" s="245"/>
    </row>
    <row r="139" spans="1:36" ht="12.6" hidden="1" customHeight="1" x14ac:dyDescent="0.2">
      <c r="A139" s="22" t="s">
        <v>111</v>
      </c>
      <c r="B139" s="22" t="s">
        <v>112</v>
      </c>
      <c r="C139" s="23"/>
      <c r="E139" s="24" t="s">
        <v>113</v>
      </c>
      <c r="F139" s="24"/>
      <c r="G139" s="24">
        <v>2</v>
      </c>
      <c r="R139" s="245"/>
    </row>
    <row r="140" spans="1:36" ht="12.6" hidden="1" customHeight="1" x14ac:dyDescent="0.2">
      <c r="A140" s="22" t="s">
        <v>49</v>
      </c>
      <c r="B140" s="22">
        <v>814869</v>
      </c>
      <c r="C140" s="23"/>
      <c r="E140" s="24" t="s">
        <v>114</v>
      </c>
      <c r="F140" s="24"/>
      <c r="G140" s="24">
        <v>-5</v>
      </c>
      <c r="R140" s="245"/>
    </row>
    <row r="141" spans="1:36" ht="12.6" hidden="1" customHeight="1" x14ac:dyDescent="0.2">
      <c r="A141" s="22" t="s">
        <v>77</v>
      </c>
      <c r="B141" s="22">
        <v>47589</v>
      </c>
      <c r="C141" s="23"/>
      <c r="E141" s="24" t="s">
        <v>115</v>
      </c>
      <c r="F141" s="24"/>
      <c r="G141" s="24">
        <v>-3</v>
      </c>
      <c r="R141" s="245"/>
    </row>
    <row r="142" spans="1:36" ht="12.6" hidden="1" customHeight="1" x14ac:dyDescent="0.2">
      <c r="A142" s="22" t="s">
        <v>23</v>
      </c>
      <c r="B142" s="22">
        <v>2731487.162</v>
      </c>
      <c r="C142" s="23"/>
      <c r="E142" s="24" t="s">
        <v>116</v>
      </c>
      <c r="F142" s="24"/>
      <c r="G142" s="24">
        <v>0</v>
      </c>
      <c r="R142" s="245"/>
    </row>
    <row r="143" spans="1:36" ht="12.6" hidden="1" customHeight="1" x14ac:dyDescent="0.2">
      <c r="A143" s="22" t="s">
        <v>117</v>
      </c>
      <c r="B143" s="22">
        <v>3593945.162</v>
      </c>
      <c r="C143" s="23"/>
      <c r="E143" s="24" t="s">
        <v>118</v>
      </c>
      <c r="F143" s="24"/>
      <c r="G143" s="24">
        <v>-3</v>
      </c>
      <c r="R143" s="245"/>
    </row>
    <row r="144" spans="1:36" ht="12.95" hidden="1" customHeight="1" x14ac:dyDescent="0.2">
      <c r="A144" s="23"/>
      <c r="B144" s="23"/>
      <c r="C144" s="23"/>
      <c r="E144" s="24" t="s">
        <v>119</v>
      </c>
      <c r="F144" s="24"/>
      <c r="G144" s="24">
        <v>-9</v>
      </c>
      <c r="R144" s="245"/>
    </row>
    <row r="145" spans="1:36" s="2" customFormat="1" x14ac:dyDescent="0.2">
      <c r="A145" s="23"/>
      <c r="B145" s="23"/>
      <c r="C145" s="23"/>
      <c r="D145" s="1"/>
      <c r="E145" s="1"/>
      <c r="F145" s="1"/>
      <c r="G145" s="1"/>
      <c r="H145" s="1"/>
      <c r="I145" s="1"/>
      <c r="J145" s="1"/>
      <c r="K145" s="1"/>
      <c r="L145" s="1"/>
      <c r="M145" s="1" t="s">
        <v>141</v>
      </c>
      <c r="N145" s="228">
        <f>'2026 COB breakdown_Kris'!M104</f>
        <v>2586033.6900000004</v>
      </c>
      <c r="O145" s="15"/>
      <c r="P145" s="25"/>
      <c r="R145" s="245"/>
      <c r="S145" s="1"/>
      <c r="T145" s="1"/>
      <c r="U145" s="1"/>
      <c r="V145" s="1"/>
      <c r="W145" s="1"/>
      <c r="X145" s="1"/>
      <c r="Y145" s="1"/>
      <c r="Z145" s="1"/>
      <c r="AA145" s="1"/>
      <c r="AB145" s="1"/>
      <c r="AC145" s="1"/>
      <c r="AD145" s="1"/>
      <c r="AE145" s="1"/>
      <c r="AF145" s="1"/>
      <c r="AG145" s="1"/>
      <c r="AH145" s="1"/>
      <c r="AI145" s="1"/>
      <c r="AJ145" s="1"/>
    </row>
    <row r="146" spans="1:36" s="2" customFormat="1" ht="13.5" x14ac:dyDescent="0.25">
      <c r="A146" s="26" t="s">
        <v>83</v>
      </c>
      <c r="B146" s="1"/>
      <c r="C146" s="1"/>
      <c r="D146" s="1"/>
      <c r="E146" s="1"/>
      <c r="F146" s="1"/>
      <c r="G146" s="1"/>
      <c r="H146" s="1"/>
      <c r="I146" s="1"/>
      <c r="J146" s="1"/>
      <c r="K146" s="1"/>
      <c r="L146" s="1"/>
      <c r="M146" s="230" t="s">
        <v>86</v>
      </c>
      <c r="N146" s="231">
        <f>N135-N145</f>
        <v>1.2107193470001221E-8</v>
      </c>
      <c r="O146" s="15"/>
      <c r="P146" s="1"/>
      <c r="R146" s="245"/>
      <c r="S146" s="1"/>
      <c r="T146" s="1"/>
      <c r="U146" s="1"/>
      <c r="V146" s="1"/>
      <c r="W146" s="1"/>
      <c r="X146" s="1"/>
      <c r="Y146" s="1"/>
      <c r="Z146" s="1"/>
      <c r="AA146" s="1"/>
      <c r="AB146" s="1"/>
      <c r="AC146" s="1"/>
      <c r="AD146" s="1"/>
      <c r="AE146" s="1"/>
      <c r="AF146" s="1"/>
      <c r="AG146" s="1"/>
      <c r="AH146" s="1"/>
      <c r="AI146" s="1"/>
      <c r="AJ146" s="1"/>
    </row>
    <row r="147" spans="1:36" s="2" customFormat="1" x14ac:dyDescent="0.2">
      <c r="A147" s="26" t="s">
        <v>85</v>
      </c>
      <c r="B147" s="1"/>
      <c r="C147" s="1"/>
      <c r="D147" s="1"/>
      <c r="E147" s="1"/>
      <c r="F147" s="1"/>
      <c r="G147" s="1"/>
      <c r="H147" s="1"/>
      <c r="I147" s="1"/>
      <c r="J147" s="1"/>
      <c r="K147" s="1"/>
      <c r="L147" s="1"/>
      <c r="M147" s="1"/>
      <c r="N147" s="15"/>
      <c r="O147" s="15"/>
      <c r="P147" s="1"/>
      <c r="R147" s="245"/>
      <c r="S147" s="1"/>
      <c r="T147" s="1"/>
      <c r="U147" s="1"/>
      <c r="V147" s="1"/>
      <c r="W147" s="1"/>
      <c r="X147" s="1"/>
      <c r="Y147" s="1"/>
      <c r="Z147" s="1"/>
      <c r="AA147" s="1"/>
      <c r="AB147" s="1"/>
      <c r="AC147" s="1"/>
      <c r="AD147" s="1"/>
      <c r="AE147" s="1"/>
      <c r="AF147" s="1"/>
      <c r="AG147" s="1"/>
      <c r="AH147" s="1"/>
      <c r="AI147" s="1"/>
      <c r="AJ147" s="1"/>
    </row>
    <row r="148" spans="1:36" s="2" customFormat="1" x14ac:dyDescent="0.2">
      <c r="A148" s="27" t="s">
        <v>87</v>
      </c>
      <c r="B148" s="1"/>
      <c r="C148" s="1"/>
      <c r="D148" s="1"/>
      <c r="E148" s="1"/>
      <c r="F148" s="1"/>
      <c r="G148" s="1"/>
      <c r="H148" s="1"/>
      <c r="I148" s="1"/>
      <c r="J148" s="1"/>
      <c r="K148" s="1"/>
      <c r="L148" s="1"/>
      <c r="M148" s="1"/>
      <c r="N148" s="1"/>
      <c r="O148" s="1"/>
      <c r="P148" s="1"/>
      <c r="R148" s="245"/>
      <c r="S148" s="1"/>
      <c r="T148" s="1"/>
      <c r="U148" s="1"/>
      <c r="V148" s="1"/>
      <c r="W148" s="1"/>
      <c r="X148" s="1"/>
      <c r="Y148" s="1"/>
      <c r="Z148" s="1"/>
      <c r="AA148" s="1"/>
      <c r="AB148" s="1"/>
      <c r="AC148" s="1"/>
      <c r="AD148" s="1"/>
      <c r="AE148" s="1"/>
      <c r="AF148" s="1"/>
      <c r="AG148" s="1"/>
      <c r="AH148" s="1"/>
      <c r="AI148" s="1"/>
      <c r="AJ148" s="1"/>
    </row>
    <row r="149" spans="1:36" s="2" customFormat="1" x14ac:dyDescent="0.2">
      <c r="A149" s="27" t="s">
        <v>88</v>
      </c>
      <c r="B149" s="1"/>
      <c r="C149" s="1"/>
      <c r="D149" s="1"/>
      <c r="E149" s="1"/>
      <c r="F149" s="1"/>
      <c r="G149" s="1"/>
      <c r="H149" s="1"/>
      <c r="I149" s="1"/>
      <c r="J149" s="1"/>
      <c r="K149" s="1"/>
      <c r="L149" s="1"/>
      <c r="M149" s="1"/>
      <c r="N149" s="1"/>
      <c r="O149" s="1"/>
      <c r="P149" s="1"/>
      <c r="R149" s="245"/>
      <c r="S149" s="1"/>
      <c r="T149" s="1"/>
      <c r="U149" s="1"/>
      <c r="V149" s="1"/>
      <c r="W149" s="1"/>
      <c r="X149" s="1"/>
      <c r="Y149" s="1"/>
      <c r="Z149" s="1"/>
      <c r="AA149" s="1"/>
      <c r="AB149" s="1"/>
      <c r="AC149" s="1"/>
      <c r="AD149" s="1"/>
      <c r="AE149" s="1"/>
      <c r="AF149" s="1"/>
      <c r="AG149" s="1"/>
      <c r="AH149" s="1"/>
      <c r="AI149" s="1"/>
      <c r="AJ149" s="1"/>
    </row>
    <row r="150" spans="1:36" s="2" customFormat="1" x14ac:dyDescent="0.2">
      <c r="A150" s="27" t="s">
        <v>89</v>
      </c>
      <c r="B150" s="1"/>
      <c r="C150" s="1"/>
      <c r="D150" s="1"/>
      <c r="E150" s="1"/>
      <c r="F150" s="1"/>
      <c r="G150" s="1"/>
      <c r="H150" s="1"/>
      <c r="I150" s="1"/>
      <c r="J150" s="1"/>
      <c r="K150" s="1"/>
      <c r="L150" s="1"/>
      <c r="M150" s="1"/>
      <c r="N150" s="1"/>
      <c r="O150" s="1"/>
      <c r="P150" s="1"/>
      <c r="R150" s="245"/>
      <c r="S150" s="1"/>
      <c r="T150" s="1"/>
      <c r="U150" s="1"/>
      <c r="V150" s="1"/>
      <c r="W150" s="1"/>
      <c r="X150" s="1"/>
      <c r="Y150" s="1"/>
      <c r="Z150" s="1"/>
      <c r="AA150" s="1"/>
      <c r="AB150" s="1"/>
      <c r="AC150" s="1"/>
      <c r="AD150" s="1"/>
      <c r="AE150" s="1"/>
      <c r="AF150" s="1"/>
      <c r="AG150" s="1"/>
      <c r="AH150" s="1"/>
      <c r="AI150" s="1"/>
      <c r="AJ150" s="1"/>
    </row>
    <row r="151" spans="1:36" s="2" customFormat="1" x14ac:dyDescent="0.2">
      <c r="A151" s="27" t="s">
        <v>90</v>
      </c>
      <c r="B151" s="1"/>
      <c r="C151" s="1"/>
      <c r="D151" s="1"/>
      <c r="E151" s="1"/>
      <c r="F151" s="1"/>
      <c r="G151" s="1"/>
      <c r="H151" s="1"/>
      <c r="I151" s="1"/>
      <c r="J151" s="1"/>
      <c r="K151" s="1"/>
      <c r="L151" s="1"/>
      <c r="M151" s="1"/>
      <c r="N151" s="1"/>
      <c r="O151" s="1"/>
      <c r="P151" s="1"/>
      <c r="R151" s="245"/>
      <c r="S151" s="1"/>
      <c r="T151" s="1"/>
      <c r="U151" s="1"/>
      <c r="V151" s="1"/>
      <c r="W151" s="1"/>
      <c r="X151" s="1"/>
      <c r="Y151" s="1"/>
      <c r="Z151" s="1"/>
      <c r="AA151" s="1"/>
      <c r="AB151" s="1"/>
      <c r="AC151" s="1"/>
      <c r="AD151" s="1"/>
      <c r="AE151" s="1"/>
      <c r="AF151" s="1"/>
      <c r="AG151" s="1"/>
      <c r="AH151" s="1"/>
      <c r="AI151" s="1"/>
      <c r="AJ151" s="1"/>
    </row>
    <row r="152" spans="1:36" s="2" customFormat="1" x14ac:dyDescent="0.2">
      <c r="A152" s="27" t="s">
        <v>91</v>
      </c>
      <c r="B152" s="1"/>
      <c r="C152" s="1"/>
      <c r="D152" s="1"/>
      <c r="E152" s="1"/>
      <c r="F152" s="1"/>
      <c r="G152" s="1"/>
      <c r="H152" s="1"/>
      <c r="I152" s="1"/>
      <c r="J152" s="1"/>
      <c r="K152" s="1"/>
      <c r="L152" s="1"/>
      <c r="M152" s="1"/>
      <c r="N152" s="1"/>
      <c r="O152" s="1"/>
      <c r="P152" s="1"/>
      <c r="R152" s="245"/>
      <c r="S152" s="1"/>
      <c r="T152" s="1"/>
      <c r="U152" s="1"/>
      <c r="V152" s="1"/>
      <c r="W152" s="1"/>
      <c r="X152" s="1"/>
      <c r="Y152" s="1"/>
      <c r="Z152" s="1"/>
      <c r="AA152" s="1"/>
      <c r="AB152" s="1"/>
      <c r="AC152" s="1"/>
      <c r="AD152" s="1"/>
      <c r="AE152" s="1"/>
      <c r="AF152" s="1"/>
      <c r="AG152" s="1"/>
      <c r="AH152" s="1"/>
      <c r="AI152" s="1"/>
      <c r="AJ152" s="1"/>
    </row>
    <row r="153" spans="1:36" s="2" customFormat="1" x14ac:dyDescent="0.2">
      <c r="A153" s="27" t="s">
        <v>92</v>
      </c>
      <c r="B153" s="1"/>
      <c r="C153" s="1"/>
      <c r="D153" s="1"/>
      <c r="E153" s="1"/>
      <c r="F153" s="1"/>
      <c r="G153" s="1"/>
      <c r="H153" s="1"/>
      <c r="I153" s="1"/>
      <c r="J153" s="1"/>
      <c r="K153" s="1"/>
      <c r="L153" s="1"/>
      <c r="M153" s="1"/>
      <c r="N153" s="1"/>
      <c r="O153" s="1"/>
      <c r="P153" s="1"/>
      <c r="R153" s="245"/>
      <c r="S153" s="1"/>
      <c r="T153" s="1"/>
      <c r="U153" s="1"/>
      <c r="V153" s="1"/>
      <c r="W153" s="1"/>
      <c r="X153" s="1"/>
      <c r="Y153" s="1"/>
      <c r="Z153" s="1"/>
      <c r="AA153" s="1"/>
      <c r="AB153" s="1"/>
      <c r="AC153" s="1"/>
      <c r="AD153" s="1"/>
      <c r="AE153" s="1"/>
      <c r="AF153" s="1"/>
      <c r="AG153" s="1"/>
      <c r="AH153" s="1"/>
      <c r="AI153" s="1"/>
      <c r="AJ153" s="1"/>
    </row>
    <row r="154" spans="1:36" s="2" customFormat="1" x14ac:dyDescent="0.2">
      <c r="A154" s="27" t="s">
        <v>93</v>
      </c>
      <c r="B154" s="1"/>
      <c r="C154" s="1"/>
      <c r="D154" s="1"/>
      <c r="E154" s="1"/>
      <c r="F154" s="1"/>
      <c r="G154" s="1"/>
      <c r="H154" s="1"/>
      <c r="I154" s="1"/>
      <c r="J154" s="1"/>
      <c r="K154" s="1"/>
      <c r="L154" s="1"/>
      <c r="M154" s="1"/>
      <c r="N154" s="1"/>
      <c r="O154" s="1"/>
      <c r="P154" s="1"/>
      <c r="R154" s="245"/>
      <c r="S154" s="1"/>
      <c r="T154" s="1"/>
      <c r="U154" s="1"/>
      <c r="V154" s="1"/>
      <c r="W154" s="1"/>
      <c r="X154" s="1"/>
      <c r="Y154" s="1"/>
      <c r="Z154" s="1"/>
      <c r="AA154" s="1"/>
      <c r="AB154" s="1"/>
      <c r="AC154" s="1"/>
      <c r="AD154" s="1"/>
      <c r="AE154" s="1"/>
      <c r="AF154" s="1"/>
      <c r="AG154" s="1"/>
      <c r="AH154" s="1"/>
      <c r="AI154" s="1"/>
      <c r="AJ154" s="1"/>
    </row>
    <row r="155" spans="1:36" s="2" customFormat="1" x14ac:dyDescent="0.2">
      <c r="A155" s="27" t="s">
        <v>94</v>
      </c>
      <c r="B155" s="1"/>
      <c r="C155" s="1"/>
      <c r="D155" s="1"/>
      <c r="E155" s="1"/>
      <c r="F155" s="1"/>
      <c r="G155" s="1"/>
      <c r="H155" s="1"/>
      <c r="I155" s="1"/>
      <c r="J155" s="1"/>
      <c r="K155" s="1"/>
      <c r="L155" s="1"/>
      <c r="M155" s="1"/>
      <c r="N155" s="1"/>
      <c r="O155" s="1"/>
      <c r="P155" s="1"/>
      <c r="R155" s="245"/>
      <c r="S155" s="1"/>
      <c r="T155" s="1"/>
      <c r="U155" s="1"/>
      <c r="V155" s="1"/>
      <c r="W155" s="1"/>
      <c r="X155" s="1"/>
      <c r="Y155" s="1"/>
      <c r="Z155" s="1"/>
      <c r="AA155" s="1"/>
      <c r="AB155" s="1"/>
      <c r="AC155" s="1"/>
      <c r="AD155" s="1"/>
      <c r="AE155" s="1"/>
      <c r="AF155" s="1"/>
      <c r="AG155" s="1"/>
      <c r="AH155" s="1"/>
      <c r="AI155" s="1"/>
      <c r="AJ155" s="1"/>
    </row>
    <row r="156" spans="1:36" s="2" customFormat="1" x14ac:dyDescent="0.2">
      <c r="A156" s="27" t="s">
        <v>95</v>
      </c>
      <c r="B156" s="1"/>
      <c r="C156" s="1"/>
      <c r="D156" s="1"/>
      <c r="E156" s="1"/>
      <c r="F156" s="1"/>
      <c r="G156" s="1"/>
      <c r="H156" s="1"/>
      <c r="I156" s="1"/>
      <c r="J156" s="1"/>
      <c r="K156" s="1"/>
      <c r="L156" s="1"/>
      <c r="M156" s="1"/>
      <c r="N156" s="1"/>
      <c r="O156" s="1"/>
      <c r="P156" s="1"/>
      <c r="R156" s="245"/>
      <c r="S156" s="1"/>
      <c r="T156" s="1"/>
      <c r="U156" s="1"/>
      <c r="V156" s="1"/>
      <c r="W156" s="1"/>
      <c r="X156" s="1"/>
      <c r="Y156" s="1"/>
      <c r="Z156" s="1"/>
      <c r="AA156" s="1"/>
      <c r="AB156" s="1"/>
      <c r="AC156" s="1"/>
      <c r="AD156" s="1"/>
      <c r="AE156" s="1"/>
      <c r="AF156" s="1"/>
      <c r="AG156" s="1"/>
      <c r="AH156" s="1"/>
      <c r="AI156" s="1"/>
      <c r="AJ156" s="1"/>
    </row>
    <row r="157" spans="1:36" s="2" customFormat="1" x14ac:dyDescent="0.2">
      <c r="A157" s="27" t="s">
        <v>96</v>
      </c>
      <c r="B157" s="1"/>
      <c r="C157" s="1"/>
      <c r="D157" s="1"/>
      <c r="E157" s="1"/>
      <c r="F157" s="1"/>
      <c r="G157" s="1"/>
      <c r="H157" s="1"/>
      <c r="I157" s="1"/>
      <c r="J157" s="1"/>
      <c r="K157" s="1"/>
      <c r="L157" s="1"/>
      <c r="M157" s="1"/>
      <c r="N157" s="1"/>
      <c r="O157" s="1"/>
      <c r="P157" s="1"/>
      <c r="R157" s="245"/>
      <c r="S157" s="1"/>
      <c r="T157" s="1"/>
      <c r="U157" s="1"/>
      <c r="V157" s="1"/>
      <c r="W157" s="1"/>
      <c r="X157" s="1"/>
      <c r="Y157" s="1"/>
      <c r="Z157" s="1"/>
      <c r="AA157" s="1"/>
      <c r="AB157" s="1"/>
      <c r="AC157" s="1"/>
      <c r="AD157" s="1"/>
      <c r="AE157" s="1"/>
      <c r="AF157" s="1"/>
      <c r="AG157" s="1"/>
      <c r="AH157" s="1"/>
      <c r="AI157" s="1"/>
      <c r="AJ157" s="1"/>
    </row>
    <row r="158" spans="1:36" s="2" customFormat="1" x14ac:dyDescent="0.2">
      <c r="A158" s="27" t="s">
        <v>97</v>
      </c>
      <c r="B158" s="1"/>
      <c r="C158" s="1"/>
      <c r="D158" s="1"/>
      <c r="E158" s="1"/>
      <c r="F158" s="1"/>
      <c r="G158" s="1"/>
      <c r="H158" s="1"/>
      <c r="I158" s="1"/>
      <c r="J158" s="1"/>
      <c r="K158" s="1"/>
      <c r="L158" s="1"/>
      <c r="M158" s="1"/>
      <c r="N158" s="1"/>
      <c r="O158" s="1"/>
      <c r="P158" s="1"/>
      <c r="R158" s="245"/>
      <c r="S158" s="1"/>
      <c r="T158" s="1"/>
      <c r="U158" s="1"/>
      <c r="V158" s="1"/>
      <c r="W158" s="1"/>
      <c r="X158" s="1"/>
      <c r="Y158" s="1"/>
      <c r="Z158" s="1"/>
      <c r="AA158" s="1"/>
      <c r="AB158" s="1"/>
      <c r="AC158" s="1"/>
      <c r="AD158" s="1"/>
      <c r="AE158" s="1"/>
      <c r="AF158" s="1"/>
      <c r="AG158" s="1"/>
      <c r="AH158" s="1"/>
      <c r="AI158" s="1"/>
      <c r="AJ158" s="1"/>
    </row>
    <row r="159" spans="1:36" s="2" customFormat="1" x14ac:dyDescent="0.2">
      <c r="A159" s="27" t="s">
        <v>98</v>
      </c>
      <c r="B159" s="1"/>
      <c r="C159" s="1"/>
      <c r="D159" s="1"/>
      <c r="E159" s="1"/>
      <c r="F159" s="1"/>
      <c r="G159" s="1"/>
      <c r="H159" s="1"/>
      <c r="I159" s="1"/>
      <c r="J159" s="1"/>
      <c r="K159" s="1"/>
      <c r="L159" s="1"/>
      <c r="M159" s="1"/>
      <c r="N159" s="1"/>
      <c r="O159" s="1"/>
      <c r="P159" s="1"/>
      <c r="R159" s="245"/>
      <c r="S159" s="1"/>
      <c r="T159" s="1"/>
      <c r="U159" s="1"/>
      <c r="V159" s="1"/>
      <c r="W159" s="1"/>
      <c r="X159" s="1"/>
      <c r="Y159" s="1"/>
      <c r="Z159" s="1"/>
      <c r="AA159" s="1"/>
      <c r="AB159" s="1"/>
      <c r="AC159" s="1"/>
      <c r="AD159" s="1"/>
      <c r="AE159" s="1"/>
      <c r="AF159" s="1"/>
      <c r="AG159" s="1"/>
      <c r="AH159" s="1"/>
      <c r="AI159" s="1"/>
      <c r="AJ159" s="1"/>
    </row>
    <row r="160" spans="1:36" s="2" customFormat="1" x14ac:dyDescent="0.2">
      <c r="A160" s="27" t="s">
        <v>99</v>
      </c>
      <c r="B160" s="1"/>
      <c r="C160" s="1"/>
      <c r="D160" s="1"/>
      <c r="E160" s="1"/>
      <c r="F160" s="1"/>
      <c r="G160" s="1"/>
      <c r="H160" s="1"/>
      <c r="I160" s="1"/>
      <c r="J160" s="1"/>
      <c r="K160" s="1"/>
      <c r="L160" s="1"/>
      <c r="M160" s="1"/>
      <c r="N160" s="1"/>
      <c r="O160" s="1"/>
      <c r="P160" s="1"/>
      <c r="R160" s="245"/>
      <c r="S160" s="1"/>
      <c r="T160" s="1"/>
      <c r="U160" s="1"/>
      <c r="V160" s="1"/>
      <c r="W160" s="1"/>
      <c r="X160" s="1"/>
      <c r="Y160" s="1"/>
      <c r="Z160" s="1"/>
      <c r="AA160" s="1"/>
      <c r="AB160" s="1"/>
      <c r="AC160" s="1"/>
      <c r="AD160" s="1"/>
      <c r="AE160" s="1"/>
      <c r="AF160" s="1"/>
      <c r="AG160" s="1"/>
      <c r="AH160" s="1"/>
      <c r="AI160" s="1"/>
      <c r="AJ160" s="1"/>
    </row>
    <row r="161" spans="1:18" x14ac:dyDescent="0.2">
      <c r="A161" s="27" t="s">
        <v>100</v>
      </c>
      <c r="R161" s="245"/>
    </row>
    <row r="162" spans="1:18" x14ac:dyDescent="0.2">
      <c r="A162" s="27" t="s">
        <v>101</v>
      </c>
      <c r="R162" s="245"/>
    </row>
    <row r="163" spans="1:18" x14ac:dyDescent="0.2">
      <c r="A163" s="27" t="s">
        <v>102</v>
      </c>
      <c r="R163" s="245"/>
    </row>
    <row r="164" spans="1:18" x14ac:dyDescent="0.2">
      <c r="A164" s="27" t="s">
        <v>103</v>
      </c>
      <c r="R164" s="245"/>
    </row>
    <row r="165" spans="1:18" x14ac:dyDescent="0.2">
      <c r="A165" s="27" t="s">
        <v>104</v>
      </c>
      <c r="R165" s="245"/>
    </row>
    <row r="166" spans="1:18" x14ac:dyDescent="0.2">
      <c r="A166" s="27" t="s">
        <v>105</v>
      </c>
      <c r="R166" s="245"/>
    </row>
    <row r="167" spans="1:18" x14ac:dyDescent="0.2">
      <c r="R167" s="245"/>
    </row>
    <row r="168" spans="1:18" x14ac:dyDescent="0.2">
      <c r="R168" s="245"/>
    </row>
    <row r="169" spans="1:18" x14ac:dyDescent="0.2">
      <c r="R169" s="245"/>
    </row>
  </sheetData>
  <sheetProtection formatCells="0" formatColumns="0" formatRows="0" insertColumns="0" insertRows="0" insertHyperlinks="0" deleteColumns="0" deleteRows="0" sort="0" autoFilter="0" pivotTables="0"/>
  <mergeCells count="72">
    <mergeCell ref="A132:I132"/>
    <mergeCell ref="A133:I133"/>
    <mergeCell ref="B114:I114"/>
    <mergeCell ref="B116:B130"/>
    <mergeCell ref="C116:C126"/>
    <mergeCell ref="D116:D126"/>
    <mergeCell ref="E116:E126"/>
    <mergeCell ref="C130:I130"/>
    <mergeCell ref="B96:I96"/>
    <mergeCell ref="A97:I97"/>
    <mergeCell ref="A99:A131"/>
    <mergeCell ref="B99:B113"/>
    <mergeCell ref="C99:C109"/>
    <mergeCell ref="D99:D109"/>
    <mergeCell ref="E99:E109"/>
    <mergeCell ref="C113:I113"/>
    <mergeCell ref="A78:A96"/>
    <mergeCell ref="B78:B84"/>
    <mergeCell ref="C78:C82"/>
    <mergeCell ref="D78:D82"/>
    <mergeCell ref="E78:E82"/>
    <mergeCell ref="C84:I84"/>
    <mergeCell ref="B131:I131"/>
    <mergeCell ref="B85:I85"/>
    <mergeCell ref="A74:I74"/>
    <mergeCell ref="E89:E93"/>
    <mergeCell ref="B89:B95"/>
    <mergeCell ref="C89:C93"/>
    <mergeCell ref="D89:D93"/>
    <mergeCell ref="C95:I95"/>
    <mergeCell ref="B50:I50"/>
    <mergeCell ref="A51:I51"/>
    <mergeCell ref="A55:A73"/>
    <mergeCell ref="B55:B61"/>
    <mergeCell ref="C55:C58"/>
    <mergeCell ref="D55:D58"/>
    <mergeCell ref="E55:E58"/>
    <mergeCell ref="C61:I61"/>
    <mergeCell ref="B62:I62"/>
    <mergeCell ref="B66:B72"/>
    <mergeCell ref="A32:A50"/>
    <mergeCell ref="E66:E69"/>
    <mergeCell ref="C72:I72"/>
    <mergeCell ref="B73:I73"/>
    <mergeCell ref="C66:C69"/>
    <mergeCell ref="D66:D69"/>
    <mergeCell ref="A28:I28"/>
    <mergeCell ref="C38:I38"/>
    <mergeCell ref="B39:I39"/>
    <mergeCell ref="B43:B49"/>
    <mergeCell ref="C43:C48"/>
    <mergeCell ref="D43:D48"/>
    <mergeCell ref="E43:E48"/>
    <mergeCell ref="C49:I49"/>
    <mergeCell ref="B32:B38"/>
    <mergeCell ref="C32:C37"/>
    <mergeCell ref="D32:D37"/>
    <mergeCell ref="E32:E37"/>
    <mergeCell ref="A3:A5"/>
    <mergeCell ref="A11:A27"/>
    <mergeCell ref="B11:B16"/>
    <mergeCell ref="C11:C13"/>
    <mergeCell ref="D11:D13"/>
    <mergeCell ref="D21:D23"/>
    <mergeCell ref="C26:I26"/>
    <mergeCell ref="B27:I27"/>
    <mergeCell ref="E11:E13"/>
    <mergeCell ref="C16:I16"/>
    <mergeCell ref="B17:I17"/>
    <mergeCell ref="B21:B26"/>
    <mergeCell ref="C21:C23"/>
    <mergeCell ref="E21:E2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AA5B842-1300-4FC7-9D05-3A1BFC8A1F89}">
          <x14:formula1>
            <xm:f>'2026 COB breakdown_Kris'!$A$5:$A$103</xm:f>
          </x14:formula1>
          <xm:sqref>A3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C5B53-58D6-4D63-9266-2344C72BB86A}">
  <dimension ref="A1:AJ116"/>
  <sheetViews>
    <sheetView topLeftCell="A68"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157</v>
      </c>
      <c r="B3" s="58" t="s">
        <v>158</v>
      </c>
      <c r="C3" s="59">
        <f>VLOOKUP($A3,COBTABLE,15, FALSE)</f>
        <v>2628.51</v>
      </c>
      <c r="D3" s="59">
        <f>VLOOKUP($A3,COBTABLE,16, FALSE)</f>
        <v>34.61</v>
      </c>
      <c r="E3" s="59">
        <f>VLOOKUP($A3,COBTABLE,17, FALSE)</f>
        <v>246.35</v>
      </c>
      <c r="F3" s="59">
        <f>VLOOKUP($A3,COBTABLE,18, FALSE)</f>
        <v>0</v>
      </c>
      <c r="G3" s="59">
        <f>VLOOKUP($A3,COBTABLE,19, FALSE)</f>
        <v>356.99</v>
      </c>
      <c r="H3" s="59">
        <f>VLOOKUP($A3,COBTABLE,20, FALSE)</f>
        <v>157.11000000000001</v>
      </c>
      <c r="I3" s="59">
        <f>VLOOKUP($A3,COBTABLE,21, FALSE)</f>
        <v>2022.93</v>
      </c>
      <c r="J3" s="59">
        <f>VLOOKUP($A3,COBTABLE,22, FALSE)</f>
        <v>118.93</v>
      </c>
      <c r="K3" s="59">
        <f>VLOOKUP($A3,COBTABLE,23, FALSE)</f>
        <v>111.6</v>
      </c>
      <c r="L3" s="59">
        <f>VLOOKUP($A3,COBTABLE,24, FALSE)</f>
        <v>728.46</v>
      </c>
      <c r="M3" s="59">
        <f>VLOOKUP($A3,COBTABLE,25, FALSE)</f>
        <v>683.15999999999894</v>
      </c>
      <c r="N3" s="60">
        <f>VLOOKUP($A3, countrygrant,2,FALSE)</f>
        <v>456818.18</v>
      </c>
      <c r="O3" s="92">
        <f>SUM(C3:N3)</f>
        <v>463906.83</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3084.12</v>
      </c>
      <c r="D4" s="59">
        <f>VLOOKUP($A3,COBTABLE,28, FALSE)</f>
        <v>40.61</v>
      </c>
      <c r="E4" s="59">
        <f>VLOOKUP($A3,COBTABLE,29, FALSE)</f>
        <v>289.04000000000002</v>
      </c>
      <c r="F4" s="59">
        <f>VLOOKUP($A3,COBTABLE,30, FALSE)</f>
        <v>0</v>
      </c>
      <c r="G4" s="59">
        <f>VLOOKUP($A3,COBTABLE,31, FALSE)</f>
        <v>418.86</v>
      </c>
      <c r="H4" s="59">
        <f>VLOOKUP($A3,COBTABLE,32, FALSE)</f>
        <v>184.34</v>
      </c>
      <c r="I4" s="59">
        <f>VLOOKUP($A3,COBTABLE,33, FALSE)</f>
        <v>2373.5700000000002</v>
      </c>
      <c r="J4" s="59">
        <f>VLOOKUP($A3,COBTABLE,34, FALSE)</f>
        <v>139.55000000000001</v>
      </c>
      <c r="K4" s="59">
        <f>VLOOKUP($A3,COBTABLE,35, FALSE)</f>
        <v>130.94999999999999</v>
      </c>
      <c r="L4" s="59">
        <f>VLOOKUP($A3,COBTABLE,36, FALSE)</f>
        <v>854.72</v>
      </c>
      <c r="M4" s="59">
        <f>VLOOKUP($A3,COBTABLE,37, FALSE)</f>
        <v>801.58999999999924</v>
      </c>
      <c r="N4" s="60">
        <f>VLOOKUP($A3, countrygrant,3,FALSE)</f>
        <v>536000</v>
      </c>
      <c r="O4" s="92">
        <f t="shared" ref="O4" si="0">SUM(C4:N4)</f>
        <v>544317.35</v>
      </c>
      <c r="P4" s="28"/>
      <c r="Q4" s="28"/>
      <c r="R4" s="28"/>
      <c r="S4" s="28"/>
      <c r="T4" s="28"/>
      <c r="U4" s="28"/>
      <c r="V4" s="28"/>
      <c r="W4" s="28"/>
      <c r="X4" s="28"/>
      <c r="Y4" s="28"/>
      <c r="Z4" s="28"/>
      <c r="AA4" s="28"/>
      <c r="AB4" s="28"/>
      <c r="AC4" s="28"/>
    </row>
    <row r="5" spans="1:36" s="53" customFormat="1" ht="12" customHeight="1" x14ac:dyDescent="0.25">
      <c r="A5" s="278"/>
      <c r="B5" s="61" t="s">
        <v>156</v>
      </c>
      <c r="C5" s="62">
        <f>SUM(C3:C4)</f>
        <v>5712.63</v>
      </c>
      <c r="D5" s="62">
        <f t="shared" ref="D5:O5" si="1">SUM(D3:D4)</f>
        <v>75.22</v>
      </c>
      <c r="E5" s="62">
        <f t="shared" si="1"/>
        <v>535.39</v>
      </c>
      <c r="F5" s="62">
        <f t="shared" si="1"/>
        <v>0</v>
      </c>
      <c r="G5" s="62">
        <f t="shared" si="1"/>
        <v>775.85</v>
      </c>
      <c r="H5" s="62">
        <f t="shared" si="1"/>
        <v>341.45000000000005</v>
      </c>
      <c r="I5" s="62">
        <f t="shared" si="1"/>
        <v>4396.5</v>
      </c>
      <c r="J5" s="62">
        <f t="shared" si="1"/>
        <v>258.48</v>
      </c>
      <c r="K5" s="62">
        <f t="shared" si="1"/>
        <v>242.54999999999998</v>
      </c>
      <c r="L5" s="62">
        <f t="shared" si="1"/>
        <v>1583.18</v>
      </c>
      <c r="M5" s="62">
        <f t="shared" si="1"/>
        <v>1484.7499999999982</v>
      </c>
      <c r="N5" s="62">
        <f t="shared" si="1"/>
        <v>992818.17999999993</v>
      </c>
      <c r="O5" s="62">
        <f t="shared" si="1"/>
        <v>1008224.1799999999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2628.51</v>
      </c>
      <c r="L19" s="34"/>
      <c r="M19" s="34"/>
      <c r="N19" s="34">
        <f>ROUND($C$3*P19,2)</f>
        <v>2628.51</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185355.78200000001</v>
      </c>
      <c r="L23" s="34">
        <f>SUM(L19:L22)</f>
        <v>159886.36299999998</v>
      </c>
      <c r="M23" s="34">
        <f>SUM(M19:M22)</f>
        <v>68522.726999999999</v>
      </c>
      <c r="N23" s="34">
        <f>SUM(N19:N22)</f>
        <v>459446.69</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185355.78200000001</v>
      </c>
      <c r="L24" s="34">
        <f t="shared" si="7"/>
        <v>159886.36299999998</v>
      </c>
      <c r="M24" s="34">
        <f t="shared" si="7"/>
        <v>68522.726999999999</v>
      </c>
      <c r="N24" s="34">
        <f t="shared" si="7"/>
        <v>459446.69</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3084.12</v>
      </c>
      <c r="L25" s="34"/>
      <c r="M25" s="34"/>
      <c r="N25" s="34">
        <f>ROUND($C$4*P25,2)</f>
        <v>3084.12</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VLOOKUP(H28,starratio2,4,FALSE)</f>
        <v>0</v>
      </c>
    </row>
    <row r="29" spans="1:36" ht="21.95" customHeight="1" x14ac:dyDescent="0.2">
      <c r="A29" s="262"/>
      <c r="B29" s="262"/>
      <c r="C29" s="263" t="s">
        <v>31</v>
      </c>
      <c r="D29" s="263"/>
      <c r="E29" s="263"/>
      <c r="F29" s="263"/>
      <c r="G29" s="263"/>
      <c r="H29" s="263"/>
      <c r="I29" s="263"/>
      <c r="J29" s="34">
        <f>SUM(J25:J28)</f>
        <v>53600</v>
      </c>
      <c r="K29" s="34">
        <f>SUM(K25:K28)</f>
        <v>217484.12</v>
      </c>
      <c r="L29" s="34">
        <f>SUM(L25:L28)</f>
        <v>187600</v>
      </c>
      <c r="M29" s="34">
        <f>SUM(M25:M28)</f>
        <v>80400</v>
      </c>
      <c r="N29" s="34">
        <f>SUM(N25:N28)</f>
        <v>539084.12</v>
      </c>
      <c r="O29" s="8"/>
      <c r="P29" s="9"/>
    </row>
    <row r="30" spans="1:36" ht="21.95" customHeight="1" x14ac:dyDescent="0.2">
      <c r="A30" s="262"/>
      <c r="B30" s="263" t="s">
        <v>44</v>
      </c>
      <c r="C30" s="263"/>
      <c r="D30" s="263"/>
      <c r="E30" s="263"/>
      <c r="F30" s="263"/>
      <c r="G30" s="263"/>
      <c r="H30" s="263"/>
      <c r="I30" s="263"/>
      <c r="J30" s="34">
        <f>J29</f>
        <v>53600</v>
      </c>
      <c r="K30" s="34">
        <f t="shared" ref="K30:N30" si="9">K29</f>
        <v>217484.12</v>
      </c>
      <c r="L30" s="34">
        <f t="shared" si="9"/>
        <v>187600</v>
      </c>
      <c r="M30" s="34">
        <f t="shared" si="9"/>
        <v>80400</v>
      </c>
      <c r="N30" s="34">
        <f t="shared" si="9"/>
        <v>539084.12</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402839.902</v>
      </c>
      <c r="L31" s="34">
        <f>L24+L30</f>
        <v>347486.36300000001</v>
      </c>
      <c r="M31" s="34">
        <f>M24+M30</f>
        <v>148922.72700000001</v>
      </c>
      <c r="N31" s="34">
        <f>N24+N30</f>
        <v>998530.81</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728.46</v>
      </c>
      <c r="L47" s="34"/>
      <c r="M47" s="34"/>
      <c r="N47" s="34">
        <f>ROUND($L$3*P47,2)</f>
        <v>728.46</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683.15999999999894</v>
      </c>
      <c r="L48" s="34"/>
      <c r="M48" s="34"/>
      <c r="N48" s="34">
        <f>M3-SUM(N10,N21,N35)</f>
        <v>683.15999999999894</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1411.619999999999</v>
      </c>
      <c r="L49" s="34">
        <f>SUM(L45:L48)</f>
        <v>0</v>
      </c>
      <c r="M49" s="34">
        <f>SUM(M45:M48)</f>
        <v>0</v>
      </c>
      <c r="N49" s="34">
        <f>SUM(N45:N48)</f>
        <v>1411.619999999999</v>
      </c>
      <c r="O49" s="8"/>
      <c r="P49" s="9"/>
    </row>
    <row r="50" spans="1:36" ht="21.95" customHeight="1" x14ac:dyDescent="0.2">
      <c r="A50" s="262"/>
      <c r="B50" s="261" t="s">
        <v>60</v>
      </c>
      <c r="C50" s="261"/>
      <c r="D50" s="261"/>
      <c r="E50" s="261"/>
      <c r="F50" s="261"/>
      <c r="G50" s="261"/>
      <c r="H50" s="261"/>
      <c r="I50" s="261"/>
      <c r="J50" s="34">
        <f>J49</f>
        <v>0</v>
      </c>
      <c r="K50" s="34">
        <f t="shared" ref="K50:N50" si="15">K49</f>
        <v>1411.619999999999</v>
      </c>
      <c r="L50" s="34">
        <f t="shared" si="15"/>
        <v>0</v>
      </c>
      <c r="M50" s="34">
        <f t="shared" si="15"/>
        <v>0</v>
      </c>
      <c r="N50" s="34">
        <f t="shared" si="15"/>
        <v>1411.619999999999</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854.72</v>
      </c>
      <c r="L53" s="34"/>
      <c r="M53" s="34"/>
      <c r="N53" s="34">
        <f>ROUND($L$4*P53,2)</f>
        <v>854.72</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801.58999999999924</v>
      </c>
      <c r="L54" s="34"/>
      <c r="M54" s="34"/>
      <c r="N54" s="34">
        <f>M4-SUM(N15,N27,N41)</f>
        <v>801.58999999999924</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1656.3099999999993</v>
      </c>
      <c r="L55" s="34">
        <f>SUM(L51:L54)</f>
        <v>0</v>
      </c>
      <c r="M55" s="34">
        <f>SUM(M51:M54)</f>
        <v>0</v>
      </c>
      <c r="N55" s="34">
        <f>SUM(N51:N54)</f>
        <v>1656.3099999999993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1656.3099999999993</v>
      </c>
      <c r="L56" s="34">
        <f t="shared" si="17"/>
        <v>0</v>
      </c>
      <c r="M56" s="34">
        <f t="shared" si="17"/>
        <v>0</v>
      </c>
      <c r="N56" s="34">
        <f t="shared" si="17"/>
        <v>1656.3099999999993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3067.9299999999985</v>
      </c>
      <c r="L57" s="34">
        <f>L50+L56</f>
        <v>0</v>
      </c>
      <c r="M57" s="34">
        <f>M50+M56</f>
        <v>0</v>
      </c>
      <c r="N57" s="34">
        <f>N50+N56</f>
        <v>3067.9299999999985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34.61</v>
      </c>
      <c r="L59" s="34"/>
      <c r="M59" s="34"/>
      <c r="N59" s="34">
        <f>D3</f>
        <v>34.61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246.35</v>
      </c>
      <c r="L60" s="34"/>
      <c r="M60" s="34"/>
      <c r="N60" s="34">
        <f>E3</f>
        <v>246.35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356.99</v>
      </c>
      <c r="L61" s="34"/>
      <c r="M61" s="34"/>
      <c r="N61" s="34">
        <f>G3-SUM(N9,N20,N33,N46)</f>
        <v>356.99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157.11000000000001</v>
      </c>
      <c r="L62" s="34"/>
      <c r="M62" s="34"/>
      <c r="N62" s="34">
        <f>H3</f>
        <v>157.11000000000001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2022.93</v>
      </c>
      <c r="L63" s="34"/>
      <c r="M63" s="34"/>
      <c r="N63" s="34">
        <f>I3</f>
        <v>2022.93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118.93</v>
      </c>
      <c r="L64" s="34"/>
      <c r="M64" s="34"/>
      <c r="N64" s="34">
        <f>J3</f>
        <v>118.93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111.6</v>
      </c>
      <c r="L66" s="34"/>
      <c r="M66" s="34"/>
      <c r="N66" s="34">
        <f>K3</f>
        <v>111.6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3048.52</v>
      </c>
      <c r="L68" s="34">
        <f>SUM(L58:L67)</f>
        <v>0</v>
      </c>
      <c r="M68" s="34">
        <f>SUM(M58:M67)</f>
        <v>0</v>
      </c>
      <c r="N68" s="34">
        <f>SUM(N58:N67)</f>
        <v>3048.52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3048.52</v>
      </c>
      <c r="L69" s="34">
        <f t="shared" si="20"/>
        <v>0</v>
      </c>
      <c r="M69" s="34">
        <f t="shared" si="20"/>
        <v>0</v>
      </c>
      <c r="N69" s="34">
        <f t="shared" si="20"/>
        <v>3048.52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40.61</v>
      </c>
      <c r="L71" s="34"/>
      <c r="M71" s="34"/>
      <c r="N71" s="34">
        <f>D4</f>
        <v>40.61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289.04000000000002</v>
      </c>
      <c r="L72" s="34"/>
      <c r="M72" s="34"/>
      <c r="N72" s="34">
        <f>E4</f>
        <v>289.04000000000002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418.86</v>
      </c>
      <c r="L73" s="34"/>
      <c r="M73" s="34"/>
      <c r="N73" s="34">
        <f>G4-SUM(N14,N26,N39,N52)</f>
        <v>418.86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184.34</v>
      </c>
      <c r="L74" s="34"/>
      <c r="M74" s="34"/>
      <c r="N74" s="34">
        <f>H4</f>
        <v>184.34</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2373.5700000000002</v>
      </c>
      <c r="L75" s="34"/>
      <c r="M75" s="34"/>
      <c r="N75" s="34">
        <f>I4</f>
        <v>2373.5700000000002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139.55000000000001</v>
      </c>
      <c r="L76" s="34"/>
      <c r="M76" s="34"/>
      <c r="N76" s="34">
        <f>J4</f>
        <v>139.55000000000001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130.94999999999999</v>
      </c>
      <c r="L78" s="34"/>
      <c r="M78" s="34"/>
      <c r="N78" s="34">
        <f>K4</f>
        <v>130.94999999999999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3576.92</v>
      </c>
      <c r="L80" s="34">
        <f>SUM(L70:L79)</f>
        <v>0</v>
      </c>
      <c r="M80" s="34">
        <f>SUM(M70:M79)</f>
        <v>0</v>
      </c>
      <c r="N80" s="34">
        <f>SUM(N70:N79)</f>
        <v>3576.92</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3576.92</v>
      </c>
      <c r="L81" s="34">
        <f t="shared" si="23"/>
        <v>0</v>
      </c>
      <c r="M81" s="34">
        <f t="shared" si="23"/>
        <v>0</v>
      </c>
      <c r="N81" s="34">
        <f t="shared" si="23"/>
        <v>3576.92</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6625.4400000000005</v>
      </c>
      <c r="L82" s="34">
        <f>L69+L81</f>
        <v>0</v>
      </c>
      <c r="M82" s="34">
        <f>M69+M81</f>
        <v>0</v>
      </c>
      <c r="N82" s="34">
        <f>N69+N81</f>
        <v>6625.4400000000005</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412533.272</v>
      </c>
      <c r="L83" s="35">
        <f>L18+L31+L44+L57+L82</f>
        <v>347486.36300000001</v>
      </c>
      <c r="M83" s="35">
        <f>M18+M31+M44+M57+M82</f>
        <v>148922.72700000001</v>
      </c>
      <c r="N83" s="38">
        <f>N18+N31+N44+N57+N82</f>
        <v>1008224.18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EE7C53E-D6F3-4B37-A519-3D9FF52CB0B8}">
          <x14:formula1>
            <xm:f>'2026 COB breakdown_Kris'!$A$5:$A$103</xm:f>
          </x14:formula1>
          <xm:sqref>A3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B6E16-55DC-40F3-AF5A-B4F933440079}">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161</v>
      </c>
      <c r="B3" s="58" t="s">
        <v>158</v>
      </c>
      <c r="C3" s="59">
        <f>VLOOKUP($A3,COBTABLE,15, FALSE)</f>
        <v>8271.52</v>
      </c>
      <c r="D3" s="59">
        <f>VLOOKUP($A3,COBTABLE,16, FALSE)</f>
        <v>108.91</v>
      </c>
      <c r="E3" s="59">
        <f>VLOOKUP($A3,COBTABLE,17, FALSE)</f>
        <v>775.21</v>
      </c>
      <c r="F3" s="59">
        <f>VLOOKUP($A3,COBTABLE,18, FALSE)</f>
        <v>0</v>
      </c>
      <c r="G3" s="59">
        <f>VLOOKUP($A3,COBTABLE,19, FALSE)</f>
        <v>1123.3800000000001</v>
      </c>
      <c r="H3" s="59">
        <f>VLOOKUP($A3,COBTABLE,20, FALSE)</f>
        <v>494.4</v>
      </c>
      <c r="I3" s="59">
        <f>VLOOKUP($A3,COBTABLE,21, FALSE)</f>
        <v>6365.85</v>
      </c>
      <c r="J3" s="59">
        <f>VLOOKUP($A3,COBTABLE,22, FALSE)</f>
        <v>374.25</v>
      </c>
      <c r="K3" s="59">
        <f>VLOOKUP($A3,COBTABLE,23, FALSE)</f>
        <v>351.2</v>
      </c>
      <c r="L3" s="59">
        <f>VLOOKUP($A3,COBTABLE,24, FALSE)</f>
        <v>2292.34</v>
      </c>
      <c r="M3" s="59">
        <f>VLOOKUP($A3,COBTABLE,25, FALSE)</f>
        <v>2149.8599999999969</v>
      </c>
      <c r="N3" s="60">
        <f>VLOOKUP($A3, countrygrant,2,FALSE)</f>
        <v>456818.18</v>
      </c>
      <c r="O3" s="92">
        <f>SUM(C3:N3)</f>
        <v>479125.1</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1213.1600000000001</v>
      </c>
      <c r="D4" s="59">
        <f>VLOOKUP($A3,COBTABLE,28, FALSE)</f>
        <v>15.97</v>
      </c>
      <c r="E4" s="59">
        <f>VLOOKUP($A3,COBTABLE,29, FALSE)</f>
        <v>113.7</v>
      </c>
      <c r="F4" s="59">
        <f>VLOOKUP($A3,COBTABLE,30, FALSE)</f>
        <v>0</v>
      </c>
      <c r="G4" s="59">
        <f>VLOOKUP($A3,COBTABLE,31, FALSE)</f>
        <v>164.76</v>
      </c>
      <c r="H4" s="59">
        <f>VLOOKUP($A3,COBTABLE,32, FALSE)</f>
        <v>72.510000000000005</v>
      </c>
      <c r="I4" s="59">
        <f>VLOOKUP($A3,COBTABLE,33, FALSE)</f>
        <v>933.66</v>
      </c>
      <c r="J4" s="59">
        <f>VLOOKUP($A3,COBTABLE,34, FALSE)</f>
        <v>54.89</v>
      </c>
      <c r="K4" s="59">
        <f>VLOOKUP($A3,COBTABLE,35, FALSE)</f>
        <v>51.51</v>
      </c>
      <c r="L4" s="59">
        <f>VLOOKUP($A3,COBTABLE,36, FALSE)</f>
        <v>336.21</v>
      </c>
      <c r="M4" s="59">
        <f>VLOOKUP($A3,COBTABLE,37, FALSE)</f>
        <v>315.30999999999949</v>
      </c>
      <c r="N4" s="60">
        <f>VLOOKUP($A3, countrygrant,3,FALSE)</f>
        <v>67000</v>
      </c>
      <c r="O4" s="92">
        <f t="shared" ref="O4" si="0">SUM(C4:N4)</f>
        <v>70271.679999999993</v>
      </c>
      <c r="P4" s="28"/>
      <c r="Q4" s="28"/>
      <c r="R4" s="28"/>
      <c r="S4" s="28"/>
      <c r="T4" s="28"/>
      <c r="U4" s="28"/>
      <c r="V4" s="28"/>
      <c r="W4" s="28"/>
      <c r="X4" s="28"/>
      <c r="Y4" s="28"/>
      <c r="Z4" s="28"/>
      <c r="AA4" s="28"/>
      <c r="AB4" s="28"/>
      <c r="AC4" s="28"/>
    </row>
    <row r="5" spans="1:36" s="53" customFormat="1" ht="12" customHeight="1" x14ac:dyDescent="0.25">
      <c r="A5" s="278"/>
      <c r="B5" s="61" t="s">
        <v>156</v>
      </c>
      <c r="C5" s="62">
        <f>SUM(C3:C4)</f>
        <v>9484.68</v>
      </c>
      <c r="D5" s="62">
        <f t="shared" ref="D5:O5" si="1">SUM(D3:D4)</f>
        <v>124.88</v>
      </c>
      <c r="E5" s="62">
        <f t="shared" si="1"/>
        <v>888.91000000000008</v>
      </c>
      <c r="F5" s="62">
        <f t="shared" si="1"/>
        <v>0</v>
      </c>
      <c r="G5" s="62">
        <f t="shared" si="1"/>
        <v>1288.1400000000001</v>
      </c>
      <c r="H5" s="62">
        <f t="shared" si="1"/>
        <v>566.91</v>
      </c>
      <c r="I5" s="62">
        <f t="shared" si="1"/>
        <v>7299.51</v>
      </c>
      <c r="J5" s="62">
        <f t="shared" si="1"/>
        <v>429.14</v>
      </c>
      <c r="K5" s="62">
        <f t="shared" si="1"/>
        <v>402.71</v>
      </c>
      <c r="L5" s="62">
        <f t="shared" si="1"/>
        <v>2628.55</v>
      </c>
      <c r="M5" s="62">
        <f t="shared" si="1"/>
        <v>2465.1699999999964</v>
      </c>
      <c r="N5" s="62">
        <f t="shared" si="1"/>
        <v>523818.18</v>
      </c>
      <c r="O5" s="62">
        <f t="shared" si="1"/>
        <v>549396.78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8271.52</v>
      </c>
      <c r="L19" s="34"/>
      <c r="M19" s="34"/>
      <c r="N19" s="34">
        <f>ROUND($C$3*P19,2)</f>
        <v>8271.52</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190998.79199999999</v>
      </c>
      <c r="L23" s="34">
        <f>SUM(L19:L22)</f>
        <v>159886.36299999998</v>
      </c>
      <c r="M23" s="34">
        <f>SUM(M19:M22)</f>
        <v>68522.726999999999</v>
      </c>
      <c r="N23" s="34">
        <f>SUM(N19:N22)</f>
        <v>465089.7</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190998.79199999999</v>
      </c>
      <c r="L24" s="34">
        <f t="shared" si="7"/>
        <v>159886.36299999998</v>
      </c>
      <c r="M24" s="34">
        <f t="shared" si="7"/>
        <v>68522.726999999999</v>
      </c>
      <c r="N24" s="34">
        <f t="shared" si="7"/>
        <v>465089.7</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1213.1600000000001</v>
      </c>
      <c r="L25" s="34"/>
      <c r="M25" s="34"/>
      <c r="N25" s="34">
        <f>ROUND($C$4*P25,2)</f>
        <v>1213.1600000000001</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6700</v>
      </c>
      <c r="K28" s="34">
        <f>$N28*0.4</f>
        <v>26800</v>
      </c>
      <c r="L28" s="34">
        <f>$N28*0.35</f>
        <v>23450</v>
      </c>
      <c r="M28" s="34">
        <f>$N28*0.15</f>
        <v>10050</v>
      </c>
      <c r="N28" s="34">
        <f>N4</f>
        <v>67000</v>
      </c>
      <c r="O28" s="8"/>
      <c r="P28" s="9">
        <f>VLOOKUP(H28,starratio2,4,FALSE)</f>
        <v>0</v>
      </c>
    </row>
    <row r="29" spans="1:36" ht="21.95" customHeight="1" x14ac:dyDescent="0.2">
      <c r="A29" s="262"/>
      <c r="B29" s="262"/>
      <c r="C29" s="263" t="s">
        <v>31</v>
      </c>
      <c r="D29" s="263"/>
      <c r="E29" s="263"/>
      <c r="F29" s="263"/>
      <c r="G29" s="263"/>
      <c r="H29" s="263"/>
      <c r="I29" s="263"/>
      <c r="J29" s="34">
        <f>SUM(J25:J28)</f>
        <v>6700</v>
      </c>
      <c r="K29" s="34">
        <f>SUM(K25:K28)</f>
        <v>28013.16</v>
      </c>
      <c r="L29" s="34">
        <f>SUM(L25:L28)</f>
        <v>23450</v>
      </c>
      <c r="M29" s="34">
        <f>SUM(M25:M28)</f>
        <v>10050</v>
      </c>
      <c r="N29" s="34">
        <f>SUM(N25:N28)</f>
        <v>68213.16</v>
      </c>
      <c r="O29" s="8"/>
      <c r="P29" s="9"/>
    </row>
    <row r="30" spans="1:36" ht="21.95" customHeight="1" x14ac:dyDescent="0.2">
      <c r="A30" s="262"/>
      <c r="B30" s="263" t="s">
        <v>44</v>
      </c>
      <c r="C30" s="263"/>
      <c r="D30" s="263"/>
      <c r="E30" s="263"/>
      <c r="F30" s="263"/>
      <c r="G30" s="263"/>
      <c r="H30" s="263"/>
      <c r="I30" s="263"/>
      <c r="J30" s="34">
        <f>J29</f>
        <v>6700</v>
      </c>
      <c r="K30" s="34">
        <f t="shared" ref="K30:N30" si="9">K29</f>
        <v>28013.16</v>
      </c>
      <c r="L30" s="34">
        <f t="shared" si="9"/>
        <v>23450</v>
      </c>
      <c r="M30" s="34">
        <f t="shared" si="9"/>
        <v>10050</v>
      </c>
      <c r="N30" s="34">
        <f t="shared" si="9"/>
        <v>68213.16</v>
      </c>
      <c r="O30" s="8"/>
      <c r="Q30" s="10"/>
      <c r="Z30" s="11"/>
      <c r="AC30" s="12"/>
      <c r="AD30" s="13"/>
    </row>
    <row r="31" spans="1:36" ht="21.95" customHeight="1" x14ac:dyDescent="0.2">
      <c r="A31" s="261" t="s">
        <v>45</v>
      </c>
      <c r="B31" s="261"/>
      <c r="C31" s="261"/>
      <c r="D31" s="261"/>
      <c r="E31" s="261"/>
      <c r="F31" s="261"/>
      <c r="G31" s="261"/>
      <c r="H31" s="261"/>
      <c r="I31" s="261"/>
      <c r="J31" s="34">
        <f>J24+J30</f>
        <v>52381.817999999999</v>
      </c>
      <c r="K31" s="34">
        <f>K24+K30</f>
        <v>219011.95199999999</v>
      </c>
      <c r="L31" s="34">
        <f>L24+L30</f>
        <v>183336.36299999998</v>
      </c>
      <c r="M31" s="34">
        <f>M24+M30</f>
        <v>78572.726999999999</v>
      </c>
      <c r="N31" s="34">
        <f>N24+N30</f>
        <v>533302.86</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2292.34</v>
      </c>
      <c r="L47" s="34"/>
      <c r="M47" s="34"/>
      <c r="N47" s="34">
        <f>ROUND($L$3*P47,2)</f>
        <v>2292.34</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2149.8599999999969</v>
      </c>
      <c r="L48" s="34"/>
      <c r="M48" s="34"/>
      <c r="N48" s="34">
        <f>M3-SUM(N10,N21,N35)</f>
        <v>2149.8599999999969</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4442.1999999999971</v>
      </c>
      <c r="L49" s="34">
        <f>SUM(L45:L48)</f>
        <v>0</v>
      </c>
      <c r="M49" s="34">
        <f>SUM(M45:M48)</f>
        <v>0</v>
      </c>
      <c r="N49" s="34">
        <f>SUM(N45:N48)</f>
        <v>4442.1999999999971</v>
      </c>
      <c r="O49" s="8"/>
      <c r="P49" s="9"/>
    </row>
    <row r="50" spans="1:36" ht="21.95" customHeight="1" x14ac:dyDescent="0.2">
      <c r="A50" s="262"/>
      <c r="B50" s="261" t="s">
        <v>60</v>
      </c>
      <c r="C50" s="261"/>
      <c r="D50" s="261"/>
      <c r="E50" s="261"/>
      <c r="F50" s="261"/>
      <c r="G50" s="261"/>
      <c r="H50" s="261"/>
      <c r="I50" s="261"/>
      <c r="J50" s="34">
        <f>J49</f>
        <v>0</v>
      </c>
      <c r="K50" s="34">
        <f t="shared" ref="K50:N50" si="15">K49</f>
        <v>4442.1999999999971</v>
      </c>
      <c r="L50" s="34">
        <f t="shared" si="15"/>
        <v>0</v>
      </c>
      <c r="M50" s="34">
        <f t="shared" si="15"/>
        <v>0</v>
      </c>
      <c r="N50" s="34">
        <f t="shared" si="15"/>
        <v>4442.1999999999971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336.21</v>
      </c>
      <c r="L53" s="34"/>
      <c r="M53" s="34"/>
      <c r="N53" s="34">
        <f>ROUND($L$4*P53,2)</f>
        <v>336.21</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315.30999999999949</v>
      </c>
      <c r="L54" s="34"/>
      <c r="M54" s="34"/>
      <c r="N54" s="34">
        <f>M4-SUM(N15,N27,N41)</f>
        <v>315.30999999999949</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651.51999999999953</v>
      </c>
      <c r="L55" s="34">
        <f>SUM(L51:L54)</f>
        <v>0</v>
      </c>
      <c r="M55" s="34">
        <f>SUM(M51:M54)</f>
        <v>0</v>
      </c>
      <c r="N55" s="34">
        <f>SUM(N51:N54)</f>
        <v>651.51999999999953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651.51999999999953</v>
      </c>
      <c r="L56" s="34">
        <f t="shared" si="17"/>
        <v>0</v>
      </c>
      <c r="M56" s="34">
        <f t="shared" si="17"/>
        <v>0</v>
      </c>
      <c r="N56" s="34">
        <f t="shared" si="17"/>
        <v>651.51999999999953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5093.7199999999966</v>
      </c>
      <c r="L57" s="34">
        <f>L50+L56</f>
        <v>0</v>
      </c>
      <c r="M57" s="34">
        <f>M50+M56</f>
        <v>0</v>
      </c>
      <c r="N57" s="34">
        <f>N50+N56</f>
        <v>5093.7199999999966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108.91</v>
      </c>
      <c r="L59" s="34"/>
      <c r="M59" s="34"/>
      <c r="N59" s="34">
        <f>D3</f>
        <v>108.91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775.21</v>
      </c>
      <c r="L60" s="34"/>
      <c r="M60" s="34"/>
      <c r="N60" s="34">
        <f>E3</f>
        <v>775.21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1123.3800000000001</v>
      </c>
      <c r="L61" s="34"/>
      <c r="M61" s="34"/>
      <c r="N61" s="34">
        <f>G3-SUM(N9,N20,N33,N46)</f>
        <v>1123.3800000000001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494.4</v>
      </c>
      <c r="L62" s="34"/>
      <c r="M62" s="34"/>
      <c r="N62" s="34">
        <f>H3</f>
        <v>494.4</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6365.85</v>
      </c>
      <c r="L63" s="34"/>
      <c r="M63" s="34"/>
      <c r="N63" s="34">
        <f>I3</f>
        <v>6365.85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374.25</v>
      </c>
      <c r="L64" s="34"/>
      <c r="M64" s="34"/>
      <c r="N64" s="34">
        <f>J3</f>
        <v>374.25</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351.2</v>
      </c>
      <c r="L66" s="34"/>
      <c r="M66" s="34"/>
      <c r="N66" s="34">
        <f>K3</f>
        <v>351.2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9593.2000000000007</v>
      </c>
      <c r="L68" s="34">
        <f>SUM(L58:L67)</f>
        <v>0</v>
      </c>
      <c r="M68" s="34">
        <f>SUM(M58:M67)</f>
        <v>0</v>
      </c>
      <c r="N68" s="34">
        <f>SUM(N58:N67)</f>
        <v>9593.2000000000007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9593.2000000000007</v>
      </c>
      <c r="L69" s="34">
        <f t="shared" si="20"/>
        <v>0</v>
      </c>
      <c r="M69" s="34">
        <f t="shared" si="20"/>
        <v>0</v>
      </c>
      <c r="N69" s="34">
        <f t="shared" si="20"/>
        <v>9593.2000000000007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15.97</v>
      </c>
      <c r="L71" s="34"/>
      <c r="M71" s="34"/>
      <c r="N71" s="34">
        <f>D4</f>
        <v>15.97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113.7</v>
      </c>
      <c r="L72" s="34"/>
      <c r="M72" s="34"/>
      <c r="N72" s="34">
        <f>E4</f>
        <v>113.7</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164.76</v>
      </c>
      <c r="L73" s="34"/>
      <c r="M73" s="34"/>
      <c r="N73" s="34">
        <f>G4-SUM(N14,N26,N39,N52)</f>
        <v>164.76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72.510000000000005</v>
      </c>
      <c r="L74" s="34"/>
      <c r="M74" s="34"/>
      <c r="N74" s="34">
        <f>H4</f>
        <v>72.510000000000005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933.66</v>
      </c>
      <c r="L75" s="34"/>
      <c r="M75" s="34"/>
      <c r="N75" s="34">
        <f>I4</f>
        <v>933.66</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54.89</v>
      </c>
      <c r="L76" s="34"/>
      <c r="M76" s="34"/>
      <c r="N76" s="34">
        <f>J4</f>
        <v>54.89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51.51</v>
      </c>
      <c r="L78" s="34"/>
      <c r="M78" s="34"/>
      <c r="N78" s="34">
        <f>K4</f>
        <v>51.51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1407</v>
      </c>
      <c r="L80" s="34">
        <f>SUM(L70:L79)</f>
        <v>0</v>
      </c>
      <c r="M80" s="34">
        <f>SUM(M70:M79)</f>
        <v>0</v>
      </c>
      <c r="N80" s="34">
        <f>SUM(N70:N79)</f>
        <v>1407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1407</v>
      </c>
      <c r="L81" s="34">
        <f t="shared" si="23"/>
        <v>0</v>
      </c>
      <c r="M81" s="34">
        <f t="shared" si="23"/>
        <v>0</v>
      </c>
      <c r="N81" s="34">
        <f t="shared" si="23"/>
        <v>1407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11000.2</v>
      </c>
      <c r="L82" s="34">
        <f>L69+L81</f>
        <v>0</v>
      </c>
      <c r="M82" s="34">
        <f>M69+M81</f>
        <v>0</v>
      </c>
      <c r="N82" s="34">
        <f>N69+N81</f>
        <v>11000.2</v>
      </c>
      <c r="O82" s="8"/>
      <c r="R82" s="14"/>
      <c r="Z82" s="15"/>
      <c r="AJ82" s="16"/>
    </row>
    <row r="83" spans="1:36" s="31" customFormat="1" ht="21.95" customHeight="1" x14ac:dyDescent="0.2">
      <c r="A83" s="275" t="s">
        <v>82</v>
      </c>
      <c r="B83" s="275"/>
      <c r="C83" s="275"/>
      <c r="D83" s="275"/>
      <c r="E83" s="275"/>
      <c r="F83" s="275"/>
      <c r="G83" s="275"/>
      <c r="H83" s="275"/>
      <c r="I83" s="275"/>
      <c r="J83" s="35">
        <f>J18+J31+J44+J57+J82</f>
        <v>52381.817999999999</v>
      </c>
      <c r="K83" s="35">
        <f>K18+K31+K44+K57+K82</f>
        <v>235105.872</v>
      </c>
      <c r="L83" s="35">
        <f>L18+L31+L44+L57+L82</f>
        <v>183336.36299999998</v>
      </c>
      <c r="M83" s="35">
        <f>M18+M31+M44+M57+M82</f>
        <v>78572.726999999999</v>
      </c>
      <c r="N83" s="38">
        <f>N18+N31+N44+N57+N82</f>
        <v>549396.77999999991</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FC20F9C-9704-4D22-8F72-B65C2F24A8A0}">
          <x14:formula1>
            <xm:f>'2026 COB breakdown_Kris'!$A$5:$A$103</xm:f>
          </x14:formula1>
          <xm:sqref>A3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E773E-0414-4AEF-BA96-653D0673FABF}">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162</v>
      </c>
      <c r="B3" s="58" t="s">
        <v>158</v>
      </c>
      <c r="C3" s="59">
        <f>VLOOKUP($A3,COBTABLE,15, FALSE)</f>
        <v>4082.02</v>
      </c>
      <c r="D3" s="59">
        <f>VLOOKUP($A3,COBTABLE,16, FALSE)</f>
        <v>53.75</v>
      </c>
      <c r="E3" s="59">
        <f>VLOOKUP($A3,COBTABLE,17, FALSE)</f>
        <v>382.57</v>
      </c>
      <c r="F3" s="59">
        <f>VLOOKUP($A3,COBTABLE,18, FALSE)</f>
        <v>0</v>
      </c>
      <c r="G3" s="59">
        <f>VLOOKUP($A3,COBTABLE,19, FALSE)</f>
        <v>554.39</v>
      </c>
      <c r="H3" s="59">
        <f>VLOOKUP($A3,COBTABLE,20, FALSE)</f>
        <v>243.99</v>
      </c>
      <c r="I3" s="59">
        <f>VLOOKUP($A3,COBTABLE,21, FALSE)</f>
        <v>3141.57</v>
      </c>
      <c r="J3" s="59">
        <f>VLOOKUP($A3,COBTABLE,22, FALSE)</f>
        <v>184.7</v>
      </c>
      <c r="K3" s="59">
        <f>VLOOKUP($A3,COBTABLE,23, FALSE)</f>
        <v>173.32</v>
      </c>
      <c r="L3" s="59">
        <f>VLOOKUP($A3,COBTABLE,24, FALSE)</f>
        <v>1131.28</v>
      </c>
      <c r="M3" s="59">
        <f>VLOOKUP($A3,COBTABLE,25, FALSE)</f>
        <v>1060.9499999999989</v>
      </c>
      <c r="N3" s="60">
        <f>VLOOKUP($A3, countrygrant,2,FALSE)</f>
        <v>456818.18</v>
      </c>
      <c r="O3" s="92">
        <f>SUM(C3:N3)</f>
        <v>467826.72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1496.74</v>
      </c>
      <c r="D4" s="59">
        <f>VLOOKUP($A3,COBTABLE,28, FALSE)</f>
        <v>19.71</v>
      </c>
      <c r="E4" s="59">
        <f>VLOOKUP($A3,COBTABLE,29, FALSE)</f>
        <v>140.27000000000001</v>
      </c>
      <c r="F4" s="59">
        <f>VLOOKUP($A3,COBTABLE,30, FALSE)</f>
        <v>0</v>
      </c>
      <c r="G4" s="59">
        <f>VLOOKUP($A3,COBTABLE,31, FALSE)</f>
        <v>203.28</v>
      </c>
      <c r="H4" s="59">
        <f>VLOOKUP($A3,COBTABLE,32, FALSE)</f>
        <v>89.46</v>
      </c>
      <c r="I4" s="59">
        <f>VLOOKUP($A3,COBTABLE,33, FALSE)</f>
        <v>1151.9100000000001</v>
      </c>
      <c r="J4" s="59">
        <f>VLOOKUP($A3,COBTABLE,34, FALSE)</f>
        <v>67.72</v>
      </c>
      <c r="K4" s="59">
        <f>VLOOKUP($A3,COBTABLE,35, FALSE)</f>
        <v>63.55</v>
      </c>
      <c r="L4" s="59">
        <f>VLOOKUP($A3,COBTABLE,36, FALSE)</f>
        <v>414.8</v>
      </c>
      <c r="M4" s="59">
        <f>VLOOKUP($A3,COBTABLE,37, FALSE)</f>
        <v>389.02</v>
      </c>
      <c r="N4" s="60">
        <f>VLOOKUP($A3, countrygrant,3,FALSE)</f>
        <v>167500</v>
      </c>
      <c r="O4" s="92">
        <f t="shared" ref="O4" si="0">SUM(C4:N4)</f>
        <v>171536.46</v>
      </c>
      <c r="P4" s="28"/>
      <c r="Q4" s="28"/>
      <c r="R4" s="28"/>
      <c r="S4" s="28"/>
      <c r="T4" s="28"/>
      <c r="U4" s="28"/>
      <c r="V4" s="28"/>
      <c r="W4" s="28"/>
      <c r="X4" s="28"/>
      <c r="Y4" s="28"/>
      <c r="Z4" s="28"/>
      <c r="AA4" s="28"/>
      <c r="AB4" s="28"/>
      <c r="AC4" s="28"/>
    </row>
    <row r="5" spans="1:36" s="53" customFormat="1" ht="12" customHeight="1" x14ac:dyDescent="0.25">
      <c r="A5" s="278"/>
      <c r="B5" s="61" t="s">
        <v>156</v>
      </c>
      <c r="C5" s="62">
        <f>SUM(C3:C4)</f>
        <v>5578.76</v>
      </c>
      <c r="D5" s="62">
        <f t="shared" ref="D5:O5" si="1">SUM(D3:D4)</f>
        <v>73.460000000000008</v>
      </c>
      <c r="E5" s="62">
        <f t="shared" si="1"/>
        <v>522.84</v>
      </c>
      <c r="F5" s="62">
        <f t="shared" si="1"/>
        <v>0</v>
      </c>
      <c r="G5" s="62">
        <f t="shared" si="1"/>
        <v>757.67</v>
      </c>
      <c r="H5" s="62">
        <f t="shared" si="1"/>
        <v>333.45</v>
      </c>
      <c r="I5" s="62">
        <f t="shared" si="1"/>
        <v>4293.4800000000005</v>
      </c>
      <c r="J5" s="62">
        <f t="shared" si="1"/>
        <v>252.42</v>
      </c>
      <c r="K5" s="62">
        <f t="shared" si="1"/>
        <v>236.87</v>
      </c>
      <c r="L5" s="62">
        <f t="shared" si="1"/>
        <v>1546.08</v>
      </c>
      <c r="M5" s="62">
        <f t="shared" si="1"/>
        <v>1449.9699999999989</v>
      </c>
      <c r="N5" s="62">
        <f t="shared" si="1"/>
        <v>624318.17999999993</v>
      </c>
      <c r="O5" s="62">
        <f t="shared" si="1"/>
        <v>639363.17999999993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4082.02</v>
      </c>
      <c r="L19" s="34"/>
      <c r="M19" s="34"/>
      <c r="N19" s="34">
        <f>ROUND($C$3*P19,2)</f>
        <v>4082.02</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186809.29199999999</v>
      </c>
      <c r="L23" s="34">
        <f>SUM(L19:L22)</f>
        <v>159886.36299999998</v>
      </c>
      <c r="M23" s="34">
        <f>SUM(M19:M22)</f>
        <v>68522.726999999999</v>
      </c>
      <c r="N23" s="34">
        <f>SUM(N19:N22)</f>
        <v>460900.2</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186809.29199999999</v>
      </c>
      <c r="L24" s="34">
        <f t="shared" si="7"/>
        <v>159886.36299999998</v>
      </c>
      <c r="M24" s="34">
        <f t="shared" si="7"/>
        <v>68522.726999999999</v>
      </c>
      <c r="N24" s="34">
        <f t="shared" si="7"/>
        <v>460900.2</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1496.74</v>
      </c>
      <c r="L25" s="34"/>
      <c r="M25" s="34"/>
      <c r="N25" s="34">
        <f>ROUND($C$4*P25,2)</f>
        <v>1496.74</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16750</v>
      </c>
      <c r="K28" s="34">
        <f>$N28*0.4</f>
        <v>67000</v>
      </c>
      <c r="L28" s="34">
        <f>$N28*0.35</f>
        <v>58624.999999999993</v>
      </c>
      <c r="M28" s="34">
        <f>$N28*0.15</f>
        <v>25125</v>
      </c>
      <c r="N28" s="34">
        <f>N4</f>
        <v>167500</v>
      </c>
      <c r="O28" s="8"/>
      <c r="P28" s="9">
        <f>VLOOKUP(H28,starratio2,4,FALSE)</f>
        <v>0</v>
      </c>
    </row>
    <row r="29" spans="1:36" ht="21.95" customHeight="1" x14ac:dyDescent="0.2">
      <c r="A29" s="262"/>
      <c r="B29" s="262"/>
      <c r="C29" s="263" t="s">
        <v>31</v>
      </c>
      <c r="D29" s="263"/>
      <c r="E29" s="263"/>
      <c r="F29" s="263"/>
      <c r="G29" s="263"/>
      <c r="H29" s="263"/>
      <c r="I29" s="263"/>
      <c r="J29" s="34">
        <f>SUM(J25:J28)</f>
        <v>16750</v>
      </c>
      <c r="K29" s="34">
        <f>SUM(K25:K28)</f>
        <v>68496.740000000005</v>
      </c>
      <c r="L29" s="34">
        <f>SUM(L25:L28)</f>
        <v>58624.999999999993</v>
      </c>
      <c r="M29" s="34">
        <f>SUM(M25:M28)</f>
        <v>25125</v>
      </c>
      <c r="N29" s="34">
        <f>SUM(N25:N28)</f>
        <v>168996.74</v>
      </c>
      <c r="O29" s="8"/>
      <c r="P29" s="9"/>
    </row>
    <row r="30" spans="1:36" ht="21.95" customHeight="1" x14ac:dyDescent="0.2">
      <c r="A30" s="262"/>
      <c r="B30" s="263" t="s">
        <v>44</v>
      </c>
      <c r="C30" s="263"/>
      <c r="D30" s="263"/>
      <c r="E30" s="263"/>
      <c r="F30" s="263"/>
      <c r="G30" s="263"/>
      <c r="H30" s="263"/>
      <c r="I30" s="263"/>
      <c r="J30" s="34">
        <f>J29</f>
        <v>16750</v>
      </c>
      <c r="K30" s="34">
        <f t="shared" ref="K30:N30" si="9">K29</f>
        <v>68496.740000000005</v>
      </c>
      <c r="L30" s="34">
        <f t="shared" si="9"/>
        <v>58624.999999999993</v>
      </c>
      <c r="M30" s="34">
        <f t="shared" si="9"/>
        <v>25125</v>
      </c>
      <c r="N30" s="34">
        <f t="shared" si="9"/>
        <v>168996.74</v>
      </c>
      <c r="O30" s="8"/>
      <c r="Q30" s="10"/>
      <c r="Z30" s="11"/>
      <c r="AC30" s="12"/>
      <c r="AD30" s="13"/>
    </row>
    <row r="31" spans="1:36" ht="21.95" customHeight="1" x14ac:dyDescent="0.2">
      <c r="A31" s="261" t="s">
        <v>45</v>
      </c>
      <c r="B31" s="261"/>
      <c r="C31" s="261"/>
      <c r="D31" s="261"/>
      <c r="E31" s="261"/>
      <c r="F31" s="261"/>
      <c r="G31" s="261"/>
      <c r="H31" s="261"/>
      <c r="I31" s="261"/>
      <c r="J31" s="34">
        <f>J24+J30</f>
        <v>62431.817999999999</v>
      </c>
      <c r="K31" s="34">
        <f>K24+K30</f>
        <v>255306.03200000001</v>
      </c>
      <c r="L31" s="34">
        <f>L24+L30</f>
        <v>218511.36299999998</v>
      </c>
      <c r="M31" s="34">
        <f>M24+M30</f>
        <v>93647.726999999999</v>
      </c>
      <c r="N31" s="34">
        <f>N24+N30</f>
        <v>629896.93999999994</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1131.28</v>
      </c>
      <c r="L47" s="34"/>
      <c r="M47" s="34"/>
      <c r="N47" s="34">
        <f>ROUND($L$3*P47,2)</f>
        <v>1131.28</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1060.9499999999989</v>
      </c>
      <c r="L48" s="34"/>
      <c r="M48" s="34"/>
      <c r="N48" s="34">
        <f>M3-SUM(N10,N21,N35)</f>
        <v>1060.9499999999989</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2192.2299999999987</v>
      </c>
      <c r="L49" s="34">
        <f>SUM(L45:L48)</f>
        <v>0</v>
      </c>
      <c r="M49" s="34">
        <f>SUM(M45:M48)</f>
        <v>0</v>
      </c>
      <c r="N49" s="34">
        <f>SUM(N45:N48)</f>
        <v>2192.2299999999987</v>
      </c>
      <c r="O49" s="8"/>
      <c r="P49" s="9"/>
    </row>
    <row r="50" spans="1:36" ht="21.95" customHeight="1" x14ac:dyDescent="0.2">
      <c r="A50" s="262"/>
      <c r="B50" s="261" t="s">
        <v>60</v>
      </c>
      <c r="C50" s="261"/>
      <c r="D50" s="261"/>
      <c r="E50" s="261"/>
      <c r="F50" s="261"/>
      <c r="G50" s="261"/>
      <c r="H50" s="261"/>
      <c r="I50" s="261"/>
      <c r="J50" s="34">
        <f>J49</f>
        <v>0</v>
      </c>
      <c r="K50" s="34">
        <f t="shared" ref="K50:N50" si="15">K49</f>
        <v>2192.2299999999987</v>
      </c>
      <c r="L50" s="34">
        <f t="shared" si="15"/>
        <v>0</v>
      </c>
      <c r="M50" s="34">
        <f t="shared" si="15"/>
        <v>0</v>
      </c>
      <c r="N50" s="34">
        <f t="shared" si="15"/>
        <v>2192.2299999999987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414.8</v>
      </c>
      <c r="L53" s="34"/>
      <c r="M53" s="34"/>
      <c r="N53" s="34">
        <f>ROUND($L$4*P53,2)</f>
        <v>414.8</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389.02</v>
      </c>
      <c r="L54" s="34"/>
      <c r="M54" s="34"/>
      <c r="N54" s="34">
        <f>M4-SUM(N15,N27,N41)</f>
        <v>389.02</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803.81999999999994</v>
      </c>
      <c r="L55" s="34">
        <f>SUM(L51:L54)</f>
        <v>0</v>
      </c>
      <c r="M55" s="34">
        <f>SUM(M51:M54)</f>
        <v>0</v>
      </c>
      <c r="N55" s="34">
        <f>SUM(N51:N54)</f>
        <v>803.81999999999994</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803.81999999999994</v>
      </c>
      <c r="L56" s="34">
        <f t="shared" si="17"/>
        <v>0</v>
      </c>
      <c r="M56" s="34">
        <f t="shared" si="17"/>
        <v>0</v>
      </c>
      <c r="N56" s="34">
        <f t="shared" si="17"/>
        <v>803.81999999999994</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2996.0499999999984</v>
      </c>
      <c r="L57" s="34">
        <f>L50+L56</f>
        <v>0</v>
      </c>
      <c r="M57" s="34">
        <f>M50+M56</f>
        <v>0</v>
      </c>
      <c r="N57" s="34">
        <f>N50+N56</f>
        <v>2996.0499999999984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53.75</v>
      </c>
      <c r="L59" s="34"/>
      <c r="M59" s="34"/>
      <c r="N59" s="34">
        <f>D3</f>
        <v>53.75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382.57</v>
      </c>
      <c r="L60" s="34"/>
      <c r="M60" s="34"/>
      <c r="N60" s="34">
        <f>E3</f>
        <v>382.57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554.39</v>
      </c>
      <c r="L61" s="34"/>
      <c r="M61" s="34"/>
      <c r="N61" s="34">
        <f>G3-SUM(N9,N20,N33,N46)</f>
        <v>554.39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243.99</v>
      </c>
      <c r="L62" s="34"/>
      <c r="M62" s="34"/>
      <c r="N62" s="34">
        <f>H3</f>
        <v>243.99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3141.57</v>
      </c>
      <c r="L63" s="34"/>
      <c r="M63" s="34"/>
      <c r="N63" s="34">
        <f>I3</f>
        <v>3141.57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184.7</v>
      </c>
      <c r="L64" s="34"/>
      <c r="M64" s="34"/>
      <c r="N64" s="34">
        <f>J3</f>
        <v>184.7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173.32</v>
      </c>
      <c r="L66" s="34"/>
      <c r="M66" s="34"/>
      <c r="N66" s="34">
        <f>K3</f>
        <v>173.32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4734.29</v>
      </c>
      <c r="L68" s="34">
        <f>SUM(L58:L67)</f>
        <v>0</v>
      </c>
      <c r="M68" s="34">
        <f>SUM(M58:M67)</f>
        <v>0</v>
      </c>
      <c r="N68" s="34">
        <f>SUM(N58:N67)</f>
        <v>4734.29</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4734.29</v>
      </c>
      <c r="L69" s="34">
        <f t="shared" si="20"/>
        <v>0</v>
      </c>
      <c r="M69" s="34">
        <f t="shared" si="20"/>
        <v>0</v>
      </c>
      <c r="N69" s="34">
        <f t="shared" si="20"/>
        <v>4734.29</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19.71</v>
      </c>
      <c r="L71" s="34"/>
      <c r="M71" s="34"/>
      <c r="N71" s="34">
        <f>D4</f>
        <v>19.71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140.27000000000001</v>
      </c>
      <c r="L72" s="34"/>
      <c r="M72" s="34"/>
      <c r="N72" s="34">
        <f>E4</f>
        <v>140.27000000000001</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203.28</v>
      </c>
      <c r="L73" s="34"/>
      <c r="M73" s="34"/>
      <c r="N73" s="34">
        <f>G4-SUM(N14,N26,N39,N52)</f>
        <v>203.28</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89.46</v>
      </c>
      <c r="L74" s="34"/>
      <c r="M74" s="34"/>
      <c r="N74" s="34">
        <f>H4</f>
        <v>89.46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1151.9100000000001</v>
      </c>
      <c r="L75" s="34"/>
      <c r="M75" s="34"/>
      <c r="N75" s="34">
        <f>I4</f>
        <v>1151.9100000000001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67.72</v>
      </c>
      <c r="L76" s="34"/>
      <c r="M76" s="34"/>
      <c r="N76" s="34">
        <f>J4</f>
        <v>67.72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63.55</v>
      </c>
      <c r="L78" s="34"/>
      <c r="M78" s="34"/>
      <c r="N78" s="34">
        <f>K4</f>
        <v>63.55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1735.9</v>
      </c>
      <c r="L80" s="34">
        <f>SUM(L70:L79)</f>
        <v>0</v>
      </c>
      <c r="M80" s="34">
        <f>SUM(M70:M79)</f>
        <v>0</v>
      </c>
      <c r="N80" s="34">
        <f>SUM(N70:N79)</f>
        <v>1735.9</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1735.9</v>
      </c>
      <c r="L81" s="34">
        <f t="shared" si="23"/>
        <v>0</v>
      </c>
      <c r="M81" s="34">
        <f t="shared" si="23"/>
        <v>0</v>
      </c>
      <c r="N81" s="34">
        <f t="shared" si="23"/>
        <v>1735.9</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6470.1900000000005</v>
      </c>
      <c r="L82" s="34">
        <f>L69+L81</f>
        <v>0</v>
      </c>
      <c r="M82" s="34">
        <f>M69+M81</f>
        <v>0</v>
      </c>
      <c r="N82" s="34">
        <f>N69+N81</f>
        <v>6470.1900000000005</v>
      </c>
      <c r="O82" s="8"/>
      <c r="R82" s="14"/>
      <c r="Z82" s="15"/>
      <c r="AJ82" s="16"/>
    </row>
    <row r="83" spans="1:36" s="31" customFormat="1" ht="21.95" customHeight="1" x14ac:dyDescent="0.2">
      <c r="A83" s="275" t="s">
        <v>82</v>
      </c>
      <c r="B83" s="275"/>
      <c r="C83" s="275"/>
      <c r="D83" s="275"/>
      <c r="E83" s="275"/>
      <c r="F83" s="275"/>
      <c r="G83" s="275"/>
      <c r="H83" s="275"/>
      <c r="I83" s="275"/>
      <c r="J83" s="35">
        <f>J18+J31+J44+J57+J82</f>
        <v>62431.817999999999</v>
      </c>
      <c r="K83" s="35">
        <f>K18+K31+K44+K57+K82</f>
        <v>264772.272</v>
      </c>
      <c r="L83" s="35">
        <f>L18+L31+L44+L57+L82</f>
        <v>218511.36299999998</v>
      </c>
      <c r="M83" s="35">
        <f>M18+M31+M44+M57+M82</f>
        <v>93647.726999999999</v>
      </c>
      <c r="N83" s="38">
        <f>N18+N31+N44+N57+N82</f>
        <v>639363.17999999993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88B5BEF-E045-4143-A353-360705CD9326}">
          <x14:formula1>
            <xm:f>'2026 COB breakdown_Kris'!$A$5:$A$103</xm:f>
          </x14:formula1>
          <xm:sqref>A3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8A44-646C-4A1D-AECC-793ADC086BB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163</v>
      </c>
      <c r="B3" s="58" t="s">
        <v>158</v>
      </c>
      <c r="C3" s="59">
        <f>VLOOKUP($A3,COBTABLE,15, FALSE)</f>
        <v>7842.09</v>
      </c>
      <c r="D3" s="59">
        <f>VLOOKUP($A3,COBTABLE,16, FALSE)</f>
        <v>103.26</v>
      </c>
      <c r="E3" s="59">
        <f>VLOOKUP($A3,COBTABLE,17, FALSE)</f>
        <v>734.97</v>
      </c>
      <c r="F3" s="59">
        <f>VLOOKUP($A3,COBTABLE,18, FALSE)</f>
        <v>0</v>
      </c>
      <c r="G3" s="59">
        <f>VLOOKUP($A3,COBTABLE,19, FALSE)</f>
        <v>1065.06</v>
      </c>
      <c r="H3" s="59">
        <f>VLOOKUP($A3,COBTABLE,20, FALSE)</f>
        <v>468.73</v>
      </c>
      <c r="I3" s="59">
        <f>VLOOKUP($A3,COBTABLE,21, FALSE)</f>
        <v>6035.36</v>
      </c>
      <c r="J3" s="59">
        <f>VLOOKUP($A3,COBTABLE,22, FALSE)</f>
        <v>354.82</v>
      </c>
      <c r="K3" s="59">
        <f>VLOOKUP($A3,COBTABLE,23, FALSE)</f>
        <v>332.97</v>
      </c>
      <c r="L3" s="59">
        <f>VLOOKUP($A3,COBTABLE,24, FALSE)</f>
        <v>2173.33</v>
      </c>
      <c r="M3" s="59">
        <f>VLOOKUP($A3,COBTABLE,25, FALSE)</f>
        <v>2038.2200000000012</v>
      </c>
      <c r="N3" s="60">
        <f>VLOOKUP($A3, countrygrant,2,FALSE)</f>
        <v>456818.18</v>
      </c>
      <c r="O3" s="92">
        <f>SUM(C3:N3)</f>
        <v>477966.99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14607.2</v>
      </c>
      <c r="D4" s="59">
        <f>VLOOKUP($A3,COBTABLE,28, FALSE)</f>
        <v>192.33</v>
      </c>
      <c r="E4" s="59">
        <f>VLOOKUP($A3,COBTABLE,29, FALSE)</f>
        <v>1368.99</v>
      </c>
      <c r="F4" s="59">
        <f>VLOOKUP($A3,COBTABLE,30, FALSE)</f>
        <v>0</v>
      </c>
      <c r="G4" s="59">
        <f>VLOOKUP($A3,COBTABLE,31, FALSE)</f>
        <v>1983.84</v>
      </c>
      <c r="H4" s="59">
        <f>VLOOKUP($A3,COBTABLE,32, FALSE)</f>
        <v>873.09</v>
      </c>
      <c r="I4" s="59">
        <f>VLOOKUP($A3,COBTABLE,33, FALSE)</f>
        <v>11241.87</v>
      </c>
      <c r="J4" s="59">
        <f>VLOOKUP($A3,COBTABLE,34, FALSE)</f>
        <v>660.93</v>
      </c>
      <c r="K4" s="59">
        <f>VLOOKUP($A3,COBTABLE,35, FALSE)</f>
        <v>620.20000000000005</v>
      </c>
      <c r="L4" s="59">
        <f>VLOOKUP($A3,COBTABLE,36, FALSE)</f>
        <v>4048.2</v>
      </c>
      <c r="M4" s="59">
        <f>VLOOKUP($A3,COBTABLE,37, FALSE)</f>
        <v>3796.5400000000009</v>
      </c>
      <c r="N4" s="60">
        <f>VLOOKUP($A3, countrygrant,3,FALSE)</f>
        <v>850900</v>
      </c>
      <c r="O4" s="92">
        <f t="shared" ref="O4" si="0">SUM(C4:N4)</f>
        <v>890293.19</v>
      </c>
      <c r="P4" s="28"/>
      <c r="Q4" s="28"/>
      <c r="R4" s="28"/>
      <c r="S4" s="28"/>
      <c r="T4" s="28"/>
      <c r="U4" s="28"/>
      <c r="V4" s="28"/>
      <c r="W4" s="28"/>
      <c r="X4" s="28"/>
      <c r="Y4" s="28"/>
      <c r="Z4" s="28"/>
      <c r="AA4" s="28"/>
      <c r="AB4" s="28"/>
      <c r="AC4" s="28"/>
    </row>
    <row r="5" spans="1:36" s="53" customFormat="1" ht="12" customHeight="1" x14ac:dyDescent="0.25">
      <c r="A5" s="278"/>
      <c r="B5" s="61" t="s">
        <v>156</v>
      </c>
      <c r="C5" s="62">
        <f>SUM(C3:C4)</f>
        <v>22449.29</v>
      </c>
      <c r="D5" s="62">
        <f t="shared" ref="D5:O5" si="1">SUM(D3:D4)</f>
        <v>295.59000000000003</v>
      </c>
      <c r="E5" s="62">
        <f t="shared" si="1"/>
        <v>2103.96</v>
      </c>
      <c r="F5" s="62">
        <f t="shared" si="1"/>
        <v>0</v>
      </c>
      <c r="G5" s="62">
        <f t="shared" si="1"/>
        <v>3048.8999999999996</v>
      </c>
      <c r="H5" s="62">
        <f t="shared" si="1"/>
        <v>1341.8200000000002</v>
      </c>
      <c r="I5" s="62">
        <f t="shared" si="1"/>
        <v>17277.23</v>
      </c>
      <c r="J5" s="62">
        <f t="shared" si="1"/>
        <v>1015.75</v>
      </c>
      <c r="K5" s="62">
        <f t="shared" si="1"/>
        <v>953.17000000000007</v>
      </c>
      <c r="L5" s="62">
        <f t="shared" si="1"/>
        <v>6221.53</v>
      </c>
      <c r="M5" s="62">
        <f t="shared" si="1"/>
        <v>5834.760000000002</v>
      </c>
      <c r="N5" s="62">
        <f t="shared" si="1"/>
        <v>1307718.18</v>
      </c>
      <c r="O5" s="62">
        <f t="shared" si="1"/>
        <v>1368260.18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7842.09</v>
      </c>
      <c r="L19" s="34"/>
      <c r="M19" s="34"/>
      <c r="N19" s="34">
        <f>ROUND($C$3*P19,2)</f>
        <v>7842.09</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190569.36199999999</v>
      </c>
      <c r="L23" s="34">
        <f>SUM(L19:L22)</f>
        <v>159886.36299999998</v>
      </c>
      <c r="M23" s="34">
        <f>SUM(M19:M22)</f>
        <v>68522.726999999999</v>
      </c>
      <c r="N23" s="34">
        <f>SUM(N19:N22)</f>
        <v>464660.27</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190569.36199999999</v>
      </c>
      <c r="L24" s="34">
        <f t="shared" si="7"/>
        <v>159886.36299999998</v>
      </c>
      <c r="M24" s="34">
        <f t="shared" si="7"/>
        <v>68522.726999999999</v>
      </c>
      <c r="N24" s="34">
        <f t="shared" si="7"/>
        <v>464660.27</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14607.2</v>
      </c>
      <c r="L25" s="34"/>
      <c r="M25" s="34"/>
      <c r="N25" s="34">
        <f>ROUND($C$4*P25,2)</f>
        <v>14607.2</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85090</v>
      </c>
      <c r="K28" s="34">
        <f>$N28*0.4</f>
        <v>340360</v>
      </c>
      <c r="L28" s="34">
        <f>$N28*0.35</f>
        <v>297815</v>
      </c>
      <c r="M28" s="34">
        <f>$N28*0.15</f>
        <v>127635</v>
      </c>
      <c r="N28" s="34">
        <f>N4</f>
        <v>850900</v>
      </c>
      <c r="O28" s="8"/>
      <c r="P28" s="9">
        <f>VLOOKUP(H28,starratio2,4,FALSE)</f>
        <v>0</v>
      </c>
    </row>
    <row r="29" spans="1:36" ht="21.95" customHeight="1" x14ac:dyDescent="0.2">
      <c r="A29" s="262"/>
      <c r="B29" s="262"/>
      <c r="C29" s="263" t="s">
        <v>31</v>
      </c>
      <c r="D29" s="263"/>
      <c r="E29" s="263"/>
      <c r="F29" s="263"/>
      <c r="G29" s="263"/>
      <c r="H29" s="263"/>
      <c r="I29" s="263"/>
      <c r="J29" s="34">
        <f>SUM(J25:J28)</f>
        <v>85090</v>
      </c>
      <c r="K29" s="34">
        <f>SUM(K25:K28)</f>
        <v>354967.2</v>
      </c>
      <c r="L29" s="34">
        <f>SUM(L25:L28)</f>
        <v>297815</v>
      </c>
      <c r="M29" s="34">
        <f>SUM(M25:M28)</f>
        <v>127635</v>
      </c>
      <c r="N29" s="34">
        <f>SUM(N25:N28)</f>
        <v>865507.2</v>
      </c>
      <c r="O29" s="8"/>
      <c r="P29" s="9"/>
    </row>
    <row r="30" spans="1:36" ht="21.95" customHeight="1" x14ac:dyDescent="0.2">
      <c r="A30" s="262"/>
      <c r="B30" s="263" t="s">
        <v>44</v>
      </c>
      <c r="C30" s="263"/>
      <c r="D30" s="263"/>
      <c r="E30" s="263"/>
      <c r="F30" s="263"/>
      <c r="G30" s="263"/>
      <c r="H30" s="263"/>
      <c r="I30" s="263"/>
      <c r="J30" s="34">
        <f>J29</f>
        <v>85090</v>
      </c>
      <c r="K30" s="34">
        <f t="shared" ref="K30:N30" si="9">K29</f>
        <v>354967.2</v>
      </c>
      <c r="L30" s="34">
        <f t="shared" si="9"/>
        <v>297815</v>
      </c>
      <c r="M30" s="34">
        <f t="shared" si="9"/>
        <v>127635</v>
      </c>
      <c r="N30" s="34">
        <f t="shared" si="9"/>
        <v>865507.2</v>
      </c>
      <c r="O30" s="8"/>
      <c r="Q30" s="10"/>
      <c r="Z30" s="11"/>
      <c r="AC30" s="12"/>
      <c r="AD30" s="13"/>
    </row>
    <row r="31" spans="1:36" ht="21.95" customHeight="1" x14ac:dyDescent="0.2">
      <c r="A31" s="261" t="s">
        <v>45</v>
      </c>
      <c r="B31" s="261"/>
      <c r="C31" s="261"/>
      <c r="D31" s="261"/>
      <c r="E31" s="261"/>
      <c r="F31" s="261"/>
      <c r="G31" s="261"/>
      <c r="H31" s="261"/>
      <c r="I31" s="261"/>
      <c r="J31" s="34">
        <f>J24+J30</f>
        <v>130771.818</v>
      </c>
      <c r="K31" s="34">
        <f>K24+K30</f>
        <v>545536.56200000003</v>
      </c>
      <c r="L31" s="34">
        <f>L24+L30</f>
        <v>457701.36300000001</v>
      </c>
      <c r="M31" s="34">
        <f>M24+M30</f>
        <v>196157.72700000001</v>
      </c>
      <c r="N31" s="34">
        <f>N24+N30</f>
        <v>1330167.47</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2173.33</v>
      </c>
      <c r="L47" s="34"/>
      <c r="M47" s="34"/>
      <c r="N47" s="34">
        <f>ROUND($L$3*P47,2)</f>
        <v>2173.33</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2038.2200000000012</v>
      </c>
      <c r="L48" s="34"/>
      <c r="M48" s="34"/>
      <c r="N48" s="34">
        <f>M3-SUM(N10,N21,N35)</f>
        <v>2038.2200000000012</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4211.5500000000011</v>
      </c>
      <c r="L49" s="34">
        <f>SUM(L45:L48)</f>
        <v>0</v>
      </c>
      <c r="M49" s="34">
        <f>SUM(M45:M48)</f>
        <v>0</v>
      </c>
      <c r="N49" s="34">
        <f>SUM(N45:N48)</f>
        <v>4211.5500000000011</v>
      </c>
      <c r="O49" s="8"/>
      <c r="P49" s="9"/>
    </row>
    <row r="50" spans="1:36" ht="21.95" customHeight="1" x14ac:dyDescent="0.2">
      <c r="A50" s="262"/>
      <c r="B50" s="261" t="s">
        <v>60</v>
      </c>
      <c r="C50" s="261"/>
      <c r="D50" s="261"/>
      <c r="E50" s="261"/>
      <c r="F50" s="261"/>
      <c r="G50" s="261"/>
      <c r="H50" s="261"/>
      <c r="I50" s="261"/>
      <c r="J50" s="34">
        <f>J49</f>
        <v>0</v>
      </c>
      <c r="K50" s="34">
        <f t="shared" ref="K50:N50" si="15">K49</f>
        <v>4211.5500000000011</v>
      </c>
      <c r="L50" s="34">
        <f t="shared" si="15"/>
        <v>0</v>
      </c>
      <c r="M50" s="34">
        <f t="shared" si="15"/>
        <v>0</v>
      </c>
      <c r="N50" s="34">
        <f t="shared" si="15"/>
        <v>4211.5500000000011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4048.2</v>
      </c>
      <c r="L53" s="34"/>
      <c r="M53" s="34"/>
      <c r="N53" s="34">
        <f>ROUND($L$4*P53,2)</f>
        <v>4048.2</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3796.5400000000009</v>
      </c>
      <c r="L54" s="34"/>
      <c r="M54" s="34"/>
      <c r="N54" s="34">
        <f>M4-SUM(N15,N27,N41)</f>
        <v>3796.5400000000009</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7844.7400000000007</v>
      </c>
      <c r="L55" s="34">
        <f>SUM(L51:L54)</f>
        <v>0</v>
      </c>
      <c r="M55" s="34">
        <f>SUM(M51:M54)</f>
        <v>0</v>
      </c>
      <c r="N55" s="34">
        <f>SUM(N51:N54)</f>
        <v>7844.7400000000007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7844.7400000000007</v>
      </c>
      <c r="L56" s="34">
        <f t="shared" si="17"/>
        <v>0</v>
      </c>
      <c r="M56" s="34">
        <f t="shared" si="17"/>
        <v>0</v>
      </c>
      <c r="N56" s="34">
        <f t="shared" si="17"/>
        <v>7844.7400000000007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12056.29</v>
      </c>
      <c r="L57" s="34">
        <f>L50+L56</f>
        <v>0</v>
      </c>
      <c r="M57" s="34">
        <f>M50+M56</f>
        <v>0</v>
      </c>
      <c r="N57" s="34">
        <f>N50+N56</f>
        <v>12056.29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103.26</v>
      </c>
      <c r="L59" s="34"/>
      <c r="M59" s="34"/>
      <c r="N59" s="34">
        <f>D3</f>
        <v>103.26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734.97</v>
      </c>
      <c r="L60" s="34"/>
      <c r="M60" s="34"/>
      <c r="N60" s="34">
        <f>E3</f>
        <v>734.97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1065.06</v>
      </c>
      <c r="L61" s="34"/>
      <c r="M61" s="34"/>
      <c r="N61" s="34">
        <f>G3-SUM(N9,N20,N33,N46)</f>
        <v>1065.06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468.73</v>
      </c>
      <c r="L62" s="34"/>
      <c r="M62" s="34"/>
      <c r="N62" s="34">
        <f>H3</f>
        <v>468.73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6035.36</v>
      </c>
      <c r="L63" s="34"/>
      <c r="M63" s="34"/>
      <c r="N63" s="34">
        <f>I3</f>
        <v>6035.36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354.82</v>
      </c>
      <c r="L64" s="34"/>
      <c r="M64" s="34"/>
      <c r="N64" s="34">
        <f>J3</f>
        <v>354.82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332.97</v>
      </c>
      <c r="L66" s="34"/>
      <c r="M66" s="34"/>
      <c r="N66" s="34">
        <f>K3</f>
        <v>332.97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9095.1699999999983</v>
      </c>
      <c r="L68" s="34">
        <f>SUM(L58:L67)</f>
        <v>0</v>
      </c>
      <c r="M68" s="34">
        <f>SUM(M58:M67)</f>
        <v>0</v>
      </c>
      <c r="N68" s="34">
        <f>SUM(N58:N67)</f>
        <v>9095.1699999999983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9095.1699999999983</v>
      </c>
      <c r="L69" s="34">
        <f t="shared" si="20"/>
        <v>0</v>
      </c>
      <c r="M69" s="34">
        <f t="shared" si="20"/>
        <v>0</v>
      </c>
      <c r="N69" s="34">
        <f t="shared" si="20"/>
        <v>9095.1699999999983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192.33</v>
      </c>
      <c r="L71" s="34"/>
      <c r="M71" s="34"/>
      <c r="N71" s="34">
        <f>D4</f>
        <v>192.33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1368.99</v>
      </c>
      <c r="L72" s="34"/>
      <c r="M72" s="34"/>
      <c r="N72" s="34">
        <f>E4</f>
        <v>1368.99</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1983.84</v>
      </c>
      <c r="L73" s="34"/>
      <c r="M73" s="34"/>
      <c r="N73" s="34">
        <f>G4-SUM(N14,N26,N39,N52)</f>
        <v>1983.84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873.09</v>
      </c>
      <c r="L74" s="34"/>
      <c r="M74" s="34"/>
      <c r="N74" s="34">
        <f>H4</f>
        <v>873.09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11241.87</v>
      </c>
      <c r="L75" s="34"/>
      <c r="M75" s="34"/>
      <c r="N75" s="34">
        <f>I4</f>
        <v>11241.87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660.93</v>
      </c>
      <c r="L76" s="34"/>
      <c r="M76" s="34"/>
      <c r="N76" s="34">
        <f>J4</f>
        <v>660.93</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620.20000000000005</v>
      </c>
      <c r="L78" s="34"/>
      <c r="M78" s="34"/>
      <c r="N78" s="34">
        <f>K4</f>
        <v>620.20000000000005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16941.25</v>
      </c>
      <c r="L80" s="34">
        <f>SUM(L70:L79)</f>
        <v>0</v>
      </c>
      <c r="M80" s="34">
        <f>SUM(M70:M79)</f>
        <v>0</v>
      </c>
      <c r="N80" s="34">
        <f>SUM(N70:N79)</f>
        <v>16941.25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16941.25</v>
      </c>
      <c r="L81" s="34">
        <f t="shared" si="23"/>
        <v>0</v>
      </c>
      <c r="M81" s="34">
        <f t="shared" si="23"/>
        <v>0</v>
      </c>
      <c r="N81" s="34">
        <f t="shared" si="23"/>
        <v>16941.25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26036.42</v>
      </c>
      <c r="L82" s="34">
        <f>L69+L81</f>
        <v>0</v>
      </c>
      <c r="M82" s="34">
        <f>M69+M81</f>
        <v>0</v>
      </c>
      <c r="N82" s="34">
        <f>N69+N81</f>
        <v>26036.42</v>
      </c>
      <c r="O82" s="8"/>
      <c r="R82" s="14"/>
      <c r="Z82" s="15"/>
      <c r="AJ82" s="16"/>
    </row>
    <row r="83" spans="1:36" s="31" customFormat="1" ht="21.95" customHeight="1" x14ac:dyDescent="0.2">
      <c r="A83" s="275" t="s">
        <v>82</v>
      </c>
      <c r="B83" s="275"/>
      <c r="C83" s="275"/>
      <c r="D83" s="275"/>
      <c r="E83" s="275"/>
      <c r="F83" s="275"/>
      <c r="G83" s="275"/>
      <c r="H83" s="275"/>
      <c r="I83" s="275"/>
      <c r="J83" s="35">
        <f>J18+J31+J44+J57+J82</f>
        <v>130771.818</v>
      </c>
      <c r="K83" s="35">
        <f>K18+K31+K44+K57+K82</f>
        <v>583629.27200000011</v>
      </c>
      <c r="L83" s="35">
        <f>L18+L31+L44+L57+L82</f>
        <v>457701.36300000001</v>
      </c>
      <c r="M83" s="35">
        <f>M18+M31+M44+M57+M82</f>
        <v>196157.72700000001</v>
      </c>
      <c r="N83" s="38">
        <f>N18+N31+N44+N57+N82</f>
        <v>1368260.18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242291A-D873-40E1-A38B-D961C19C3E4B}">
          <x14:formula1>
            <xm:f>'2026 COB breakdown_Kris'!$A$5:$A$103</xm:f>
          </x14:formula1>
          <xm:sqref>A3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05FB9-09D1-4ED0-9425-8B61A2BAD2F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164</v>
      </c>
      <c r="B3" s="58" t="s">
        <v>158</v>
      </c>
      <c r="C3" s="59">
        <f>VLOOKUP($A3,COBTABLE,15, FALSE)</f>
        <v>9911.76</v>
      </c>
      <c r="D3" s="59">
        <f>VLOOKUP($A3,COBTABLE,16, FALSE)</f>
        <v>130.51</v>
      </c>
      <c r="E3" s="59">
        <f>VLOOKUP($A3,COBTABLE,17, FALSE)</f>
        <v>928.94</v>
      </c>
      <c r="F3" s="59">
        <f>VLOOKUP($A3,COBTABLE,18, FALSE)</f>
        <v>0</v>
      </c>
      <c r="G3" s="59">
        <f>VLOOKUP($A3,COBTABLE,19, FALSE)</f>
        <v>1346.15</v>
      </c>
      <c r="H3" s="59">
        <f>VLOOKUP($A3,COBTABLE,20, FALSE)</f>
        <v>592.44000000000005</v>
      </c>
      <c r="I3" s="59">
        <f>VLOOKUP($A3,COBTABLE,21, FALSE)</f>
        <v>7628.2</v>
      </c>
      <c r="J3" s="59">
        <f>VLOOKUP($A3,COBTABLE,22, FALSE)</f>
        <v>448.47</v>
      </c>
      <c r="K3" s="59">
        <f>VLOOKUP($A3,COBTABLE,23, FALSE)</f>
        <v>420.85</v>
      </c>
      <c r="L3" s="59">
        <f>VLOOKUP($A3,COBTABLE,24, FALSE)</f>
        <v>2746.91</v>
      </c>
      <c r="M3" s="59">
        <f>VLOOKUP($A3,COBTABLE,25, FALSE)</f>
        <v>2576.1299999999974</v>
      </c>
      <c r="N3" s="60">
        <f>VLOOKUP($A3, countrygrant,2,FALSE)</f>
        <v>456818.18</v>
      </c>
      <c r="O3" s="92">
        <f>SUM(C3:N3)</f>
        <v>483548.54</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792.28</v>
      </c>
      <c r="D4" s="59">
        <f>VLOOKUP($A3,COBTABLE,28, FALSE)</f>
        <v>10.43</v>
      </c>
      <c r="E4" s="59">
        <f>VLOOKUP($A3,COBTABLE,29, FALSE)</f>
        <v>74.25</v>
      </c>
      <c r="F4" s="59">
        <f>VLOOKUP($A3,COBTABLE,30, FALSE)</f>
        <v>0</v>
      </c>
      <c r="G4" s="59">
        <f>VLOOKUP($A3,COBTABLE,31, FALSE)</f>
        <v>107.6</v>
      </c>
      <c r="H4" s="59">
        <f>VLOOKUP($A3,COBTABLE,32, FALSE)</f>
        <v>47.36</v>
      </c>
      <c r="I4" s="59">
        <f>VLOOKUP($A3,COBTABLE,33, FALSE)</f>
        <v>609.75</v>
      </c>
      <c r="J4" s="59">
        <f>VLOOKUP($A3,COBTABLE,34, FALSE)</f>
        <v>35.85</v>
      </c>
      <c r="K4" s="59">
        <f>VLOOKUP($A3,COBTABLE,35, FALSE)</f>
        <v>33.64</v>
      </c>
      <c r="L4" s="59">
        <f>VLOOKUP($A3,COBTABLE,36, FALSE)</f>
        <v>219.57</v>
      </c>
      <c r="M4" s="59">
        <f>VLOOKUP($A3,COBTABLE,37, FALSE)</f>
        <v>205.9200000000003</v>
      </c>
      <c r="N4" s="60">
        <f>VLOOKUP($A3, countrygrant,3,FALSE)</f>
        <v>36515</v>
      </c>
      <c r="O4" s="92">
        <f t="shared" ref="O4" si="0">SUM(C4:N4)</f>
        <v>38651.65</v>
      </c>
      <c r="P4" s="28"/>
      <c r="Q4" s="28"/>
      <c r="R4" s="28"/>
      <c r="S4" s="28"/>
      <c r="T4" s="28"/>
      <c r="U4" s="28"/>
      <c r="V4" s="28"/>
      <c r="W4" s="28"/>
      <c r="X4" s="28"/>
      <c r="Y4" s="28"/>
      <c r="Z4" s="28"/>
      <c r="AA4" s="28"/>
      <c r="AB4" s="28"/>
      <c r="AC4" s="28"/>
    </row>
    <row r="5" spans="1:36" s="53" customFormat="1" ht="12" customHeight="1" x14ac:dyDescent="0.25">
      <c r="A5" s="278"/>
      <c r="B5" s="61" t="s">
        <v>156</v>
      </c>
      <c r="C5" s="62">
        <f>SUM(C3:C4)</f>
        <v>10704.04</v>
      </c>
      <c r="D5" s="62">
        <f t="shared" ref="D5:O5" si="1">SUM(D3:D4)</f>
        <v>140.94</v>
      </c>
      <c r="E5" s="62">
        <f t="shared" si="1"/>
        <v>1003.19</v>
      </c>
      <c r="F5" s="62">
        <f t="shared" si="1"/>
        <v>0</v>
      </c>
      <c r="G5" s="62">
        <f t="shared" si="1"/>
        <v>1453.75</v>
      </c>
      <c r="H5" s="62">
        <f t="shared" si="1"/>
        <v>639.80000000000007</v>
      </c>
      <c r="I5" s="62">
        <f t="shared" si="1"/>
        <v>8237.9500000000007</v>
      </c>
      <c r="J5" s="62">
        <f t="shared" si="1"/>
        <v>484.32000000000005</v>
      </c>
      <c r="K5" s="62">
        <f t="shared" si="1"/>
        <v>454.49</v>
      </c>
      <c r="L5" s="62">
        <f t="shared" si="1"/>
        <v>2966.48</v>
      </c>
      <c r="M5" s="62">
        <f t="shared" si="1"/>
        <v>2782.0499999999975</v>
      </c>
      <c r="N5" s="62">
        <f t="shared" si="1"/>
        <v>493333.18</v>
      </c>
      <c r="O5" s="62">
        <f t="shared" si="1"/>
        <v>522200.19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9911.76</v>
      </c>
      <c r="L19" s="34"/>
      <c r="M19" s="34"/>
      <c r="N19" s="34">
        <f>ROUND($C$3*P19,2)</f>
        <v>9911.76</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192639.03200000001</v>
      </c>
      <c r="L23" s="34">
        <f>SUM(L19:L22)</f>
        <v>159886.36299999998</v>
      </c>
      <c r="M23" s="34">
        <f>SUM(M19:M22)</f>
        <v>68522.726999999999</v>
      </c>
      <c r="N23" s="34">
        <f>SUM(N19:N22)</f>
        <v>466729.94</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192639.03200000001</v>
      </c>
      <c r="L24" s="34">
        <f t="shared" si="7"/>
        <v>159886.36299999998</v>
      </c>
      <c r="M24" s="34">
        <f t="shared" si="7"/>
        <v>68522.726999999999</v>
      </c>
      <c r="N24" s="34">
        <f t="shared" si="7"/>
        <v>466729.94</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792.28</v>
      </c>
      <c r="L25" s="34"/>
      <c r="M25" s="34"/>
      <c r="N25" s="34">
        <f>ROUND($C$4*P25,2)</f>
        <v>792.28</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3651.5</v>
      </c>
      <c r="K28" s="34">
        <f>$N28*0.4</f>
        <v>14606</v>
      </c>
      <c r="L28" s="34">
        <f>$N28*0.35</f>
        <v>12780.25</v>
      </c>
      <c r="M28" s="34">
        <f>$N28*0.15</f>
        <v>5477.25</v>
      </c>
      <c r="N28" s="34">
        <f>N4</f>
        <v>36515</v>
      </c>
      <c r="O28" s="8"/>
      <c r="P28" s="9">
        <f>VLOOKUP(H28,starratio2,4,FALSE)</f>
        <v>0</v>
      </c>
    </row>
    <row r="29" spans="1:36" ht="21.95" customHeight="1" x14ac:dyDescent="0.2">
      <c r="A29" s="262"/>
      <c r="B29" s="262"/>
      <c r="C29" s="263" t="s">
        <v>31</v>
      </c>
      <c r="D29" s="263"/>
      <c r="E29" s="263"/>
      <c r="F29" s="263"/>
      <c r="G29" s="263"/>
      <c r="H29" s="263"/>
      <c r="I29" s="263"/>
      <c r="J29" s="34">
        <f>SUM(J25:J28)</f>
        <v>3651.5</v>
      </c>
      <c r="K29" s="34">
        <f>SUM(K25:K28)</f>
        <v>15398.28</v>
      </c>
      <c r="L29" s="34">
        <f>SUM(L25:L28)</f>
        <v>12780.25</v>
      </c>
      <c r="M29" s="34">
        <f>SUM(M25:M28)</f>
        <v>5477.25</v>
      </c>
      <c r="N29" s="34">
        <f>SUM(N25:N28)</f>
        <v>37307.279999999999</v>
      </c>
      <c r="O29" s="8"/>
      <c r="P29" s="9"/>
    </row>
    <row r="30" spans="1:36" ht="21.95" customHeight="1" x14ac:dyDescent="0.2">
      <c r="A30" s="262"/>
      <c r="B30" s="263" t="s">
        <v>44</v>
      </c>
      <c r="C30" s="263"/>
      <c r="D30" s="263"/>
      <c r="E30" s="263"/>
      <c r="F30" s="263"/>
      <c r="G30" s="263"/>
      <c r="H30" s="263"/>
      <c r="I30" s="263"/>
      <c r="J30" s="34">
        <f>J29</f>
        <v>3651.5</v>
      </c>
      <c r="K30" s="34">
        <f t="shared" ref="K30:N30" si="9">K29</f>
        <v>15398.28</v>
      </c>
      <c r="L30" s="34">
        <f t="shared" si="9"/>
        <v>12780.25</v>
      </c>
      <c r="M30" s="34">
        <f t="shared" si="9"/>
        <v>5477.25</v>
      </c>
      <c r="N30" s="34">
        <f t="shared" si="9"/>
        <v>37307.279999999999</v>
      </c>
      <c r="O30" s="8"/>
      <c r="Q30" s="10"/>
      <c r="Z30" s="11"/>
      <c r="AC30" s="12"/>
      <c r="AD30" s="13"/>
    </row>
    <row r="31" spans="1:36" ht="21.95" customHeight="1" x14ac:dyDescent="0.2">
      <c r="A31" s="261" t="s">
        <v>45</v>
      </c>
      <c r="B31" s="261"/>
      <c r="C31" s="261"/>
      <c r="D31" s="261"/>
      <c r="E31" s="261"/>
      <c r="F31" s="261"/>
      <c r="G31" s="261"/>
      <c r="H31" s="261"/>
      <c r="I31" s="261"/>
      <c r="J31" s="34">
        <f>J24+J30</f>
        <v>49333.317999999999</v>
      </c>
      <c r="K31" s="34">
        <f>K24+K30</f>
        <v>208037.31200000001</v>
      </c>
      <c r="L31" s="34">
        <f>L24+L30</f>
        <v>172666.61299999998</v>
      </c>
      <c r="M31" s="34">
        <f>M24+M30</f>
        <v>73999.976999999999</v>
      </c>
      <c r="N31" s="34">
        <f>N24+N30</f>
        <v>504037.22</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2746.91</v>
      </c>
      <c r="L47" s="34"/>
      <c r="M47" s="34"/>
      <c r="N47" s="34">
        <f>ROUND($L$3*P47,2)</f>
        <v>2746.91</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2576.1299999999974</v>
      </c>
      <c r="L48" s="34"/>
      <c r="M48" s="34"/>
      <c r="N48" s="34">
        <f>M3-SUM(N10,N21,N35)</f>
        <v>2576.1299999999974</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5323.0399999999972</v>
      </c>
      <c r="L49" s="34">
        <f>SUM(L45:L48)</f>
        <v>0</v>
      </c>
      <c r="M49" s="34">
        <f>SUM(M45:M48)</f>
        <v>0</v>
      </c>
      <c r="N49" s="34">
        <f>SUM(N45:N48)</f>
        <v>5323.0399999999972</v>
      </c>
      <c r="O49" s="8"/>
      <c r="P49" s="9"/>
    </row>
    <row r="50" spans="1:36" ht="21.95" customHeight="1" x14ac:dyDescent="0.2">
      <c r="A50" s="262"/>
      <c r="B50" s="261" t="s">
        <v>60</v>
      </c>
      <c r="C50" s="261"/>
      <c r="D50" s="261"/>
      <c r="E50" s="261"/>
      <c r="F50" s="261"/>
      <c r="G50" s="261"/>
      <c r="H50" s="261"/>
      <c r="I50" s="261"/>
      <c r="J50" s="34">
        <f>J49</f>
        <v>0</v>
      </c>
      <c r="K50" s="34">
        <f t="shared" ref="K50:N50" si="15">K49</f>
        <v>5323.0399999999972</v>
      </c>
      <c r="L50" s="34">
        <f t="shared" si="15"/>
        <v>0</v>
      </c>
      <c r="M50" s="34">
        <f t="shared" si="15"/>
        <v>0</v>
      </c>
      <c r="N50" s="34">
        <f t="shared" si="15"/>
        <v>5323.0399999999972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219.57</v>
      </c>
      <c r="L53" s="34"/>
      <c r="M53" s="34"/>
      <c r="N53" s="34">
        <f>ROUND($L$4*P53,2)</f>
        <v>219.57</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205.9200000000003</v>
      </c>
      <c r="L54" s="34"/>
      <c r="M54" s="34"/>
      <c r="N54" s="34">
        <f>M4-SUM(N15,N27,N41)</f>
        <v>205.9200000000003</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425.49000000000029</v>
      </c>
      <c r="L55" s="34">
        <f>SUM(L51:L54)</f>
        <v>0</v>
      </c>
      <c r="M55" s="34">
        <f>SUM(M51:M54)</f>
        <v>0</v>
      </c>
      <c r="N55" s="34">
        <f>SUM(N51:N54)</f>
        <v>425.49000000000029</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425.49000000000029</v>
      </c>
      <c r="L56" s="34">
        <f t="shared" si="17"/>
        <v>0</v>
      </c>
      <c r="M56" s="34">
        <f t="shared" si="17"/>
        <v>0</v>
      </c>
      <c r="N56" s="34">
        <f t="shared" si="17"/>
        <v>425.49000000000029</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5748.5299999999979</v>
      </c>
      <c r="L57" s="34">
        <f>L50+L56</f>
        <v>0</v>
      </c>
      <c r="M57" s="34">
        <f>M50+M56</f>
        <v>0</v>
      </c>
      <c r="N57" s="34">
        <f>N50+N56</f>
        <v>5748.5299999999979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130.51</v>
      </c>
      <c r="L59" s="34"/>
      <c r="M59" s="34"/>
      <c r="N59" s="34">
        <f>D3</f>
        <v>130.51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928.94</v>
      </c>
      <c r="L60" s="34"/>
      <c r="M60" s="34"/>
      <c r="N60" s="34">
        <f>E3</f>
        <v>928.94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1346.15</v>
      </c>
      <c r="L61" s="34"/>
      <c r="M61" s="34"/>
      <c r="N61" s="34">
        <f>G3-SUM(N9,N20,N33,N46)</f>
        <v>1346.15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592.44000000000005</v>
      </c>
      <c r="L62" s="34"/>
      <c r="M62" s="34"/>
      <c r="N62" s="34">
        <f>H3</f>
        <v>592.44000000000005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7628.2</v>
      </c>
      <c r="L63" s="34"/>
      <c r="M63" s="34"/>
      <c r="N63" s="34">
        <f>I3</f>
        <v>7628.2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448.47</v>
      </c>
      <c r="L64" s="34"/>
      <c r="M64" s="34"/>
      <c r="N64" s="34">
        <f>J3</f>
        <v>448.47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420.85</v>
      </c>
      <c r="L66" s="34"/>
      <c r="M66" s="34"/>
      <c r="N66" s="34">
        <f>K3</f>
        <v>420.85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11495.56</v>
      </c>
      <c r="L68" s="34">
        <f>SUM(L58:L67)</f>
        <v>0</v>
      </c>
      <c r="M68" s="34">
        <f>SUM(M58:M67)</f>
        <v>0</v>
      </c>
      <c r="N68" s="34">
        <f>SUM(N58:N67)</f>
        <v>11495.56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11495.56</v>
      </c>
      <c r="L69" s="34">
        <f t="shared" si="20"/>
        <v>0</v>
      </c>
      <c r="M69" s="34">
        <f t="shared" si="20"/>
        <v>0</v>
      </c>
      <c r="N69" s="34">
        <f t="shared" si="20"/>
        <v>11495.56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10.43</v>
      </c>
      <c r="L71" s="34"/>
      <c r="M71" s="34"/>
      <c r="N71" s="34">
        <f>D4</f>
        <v>10.43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74.25</v>
      </c>
      <c r="L72" s="34"/>
      <c r="M72" s="34"/>
      <c r="N72" s="34">
        <f>E4</f>
        <v>74.25</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107.6</v>
      </c>
      <c r="L73" s="34"/>
      <c r="M73" s="34"/>
      <c r="N73" s="34">
        <f>G4-SUM(N14,N26,N39,N52)</f>
        <v>107.6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47.36</v>
      </c>
      <c r="L74" s="34"/>
      <c r="M74" s="34"/>
      <c r="N74" s="34">
        <f>H4</f>
        <v>47.36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609.75</v>
      </c>
      <c r="L75" s="34"/>
      <c r="M75" s="34"/>
      <c r="N75" s="34">
        <f>I4</f>
        <v>609.75</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35.85</v>
      </c>
      <c r="L76" s="34"/>
      <c r="M76" s="34"/>
      <c r="N76" s="34">
        <f>J4</f>
        <v>35.85</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33.64</v>
      </c>
      <c r="L78" s="34"/>
      <c r="M78" s="34"/>
      <c r="N78" s="34">
        <f>K4</f>
        <v>33.64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918.88</v>
      </c>
      <c r="L80" s="34">
        <f>SUM(L70:L79)</f>
        <v>0</v>
      </c>
      <c r="M80" s="34">
        <f>SUM(M70:M79)</f>
        <v>0</v>
      </c>
      <c r="N80" s="34">
        <f>SUM(N70:N79)</f>
        <v>918.88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918.88</v>
      </c>
      <c r="L81" s="34">
        <f t="shared" si="23"/>
        <v>0</v>
      </c>
      <c r="M81" s="34">
        <f t="shared" si="23"/>
        <v>0</v>
      </c>
      <c r="N81" s="34">
        <f t="shared" si="23"/>
        <v>918.88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12414.439999999999</v>
      </c>
      <c r="L82" s="34">
        <f>L69+L81</f>
        <v>0</v>
      </c>
      <c r="M82" s="34">
        <f>M69+M81</f>
        <v>0</v>
      </c>
      <c r="N82" s="34">
        <f>N69+N81</f>
        <v>12414.439999999999</v>
      </c>
      <c r="O82" s="8"/>
      <c r="R82" s="14"/>
      <c r="Z82" s="15"/>
      <c r="AJ82" s="16"/>
    </row>
    <row r="83" spans="1:36" s="31" customFormat="1" ht="21.95" customHeight="1" x14ac:dyDescent="0.2">
      <c r="A83" s="275" t="s">
        <v>82</v>
      </c>
      <c r="B83" s="275"/>
      <c r="C83" s="275"/>
      <c r="D83" s="275"/>
      <c r="E83" s="275"/>
      <c r="F83" s="275"/>
      <c r="G83" s="275"/>
      <c r="H83" s="275"/>
      <c r="I83" s="275"/>
      <c r="J83" s="35">
        <f>J18+J31+J44+J57+J82</f>
        <v>49333.317999999999</v>
      </c>
      <c r="K83" s="35">
        <f>K18+K31+K44+K57+K82</f>
        <v>226200.28200000001</v>
      </c>
      <c r="L83" s="35">
        <f>L18+L31+L44+L57+L82</f>
        <v>172666.61299999998</v>
      </c>
      <c r="M83" s="35">
        <f>M18+M31+M44+M57+M82</f>
        <v>73999.976999999999</v>
      </c>
      <c r="N83" s="38">
        <f>N18+N31+N44+N57+N82</f>
        <v>522200.18999999994</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E878D8E-266D-4248-B9B1-D2AC724D889E}">
          <x14:formula1>
            <xm:f>'2026 COB breakdown_Kris'!$A$5:$A$103</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B6D7-2071-40AC-8F25-4090263BF105}">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165</v>
      </c>
      <c r="B3" s="58" t="s">
        <v>158</v>
      </c>
      <c r="C3" s="59">
        <f>VLOOKUP($A3,COBTABLE,15, FALSE)</f>
        <v>6582.92</v>
      </c>
      <c r="D3" s="59">
        <f>VLOOKUP($A3,COBTABLE,16, FALSE)</f>
        <v>86.68</v>
      </c>
      <c r="E3" s="59">
        <f>VLOOKUP($A3,COBTABLE,17, FALSE)</f>
        <v>616.96</v>
      </c>
      <c r="F3" s="59">
        <f>VLOOKUP($A3,COBTABLE,18, FALSE)</f>
        <v>0</v>
      </c>
      <c r="G3" s="59">
        <f>VLOOKUP($A3,COBTABLE,19, FALSE)</f>
        <v>894.05</v>
      </c>
      <c r="H3" s="59">
        <f>VLOOKUP($A3,COBTABLE,20, FALSE)</f>
        <v>393.47</v>
      </c>
      <c r="I3" s="59">
        <f>VLOOKUP($A3,COBTABLE,21, FALSE)</f>
        <v>5066.29</v>
      </c>
      <c r="J3" s="59">
        <f>VLOOKUP($A3,COBTABLE,22, FALSE)</f>
        <v>297.85000000000002</v>
      </c>
      <c r="K3" s="59">
        <f>VLOOKUP($A3,COBTABLE,23, FALSE)</f>
        <v>279.51</v>
      </c>
      <c r="L3" s="59">
        <f>VLOOKUP($A3,COBTABLE,24, FALSE)</f>
        <v>1824.37</v>
      </c>
      <c r="M3" s="59">
        <f>VLOOKUP($A3,COBTABLE,25, FALSE)</f>
        <v>1710.9500000000007</v>
      </c>
      <c r="N3" s="60">
        <f>VLOOKUP($A3, countrygrant,2,FALSE)</f>
        <v>456818.18</v>
      </c>
      <c r="O3" s="92">
        <f>SUM(C3:N3)</f>
        <v>474571.23</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9249.4500000000007</v>
      </c>
      <c r="D4" s="59">
        <f>VLOOKUP($A3,COBTABLE,28, FALSE)</f>
        <v>121.79</v>
      </c>
      <c r="E4" s="59">
        <f>VLOOKUP($A3,COBTABLE,29, FALSE)</f>
        <v>866.86</v>
      </c>
      <c r="F4" s="59">
        <f>VLOOKUP($A3,COBTABLE,30, FALSE)</f>
        <v>0</v>
      </c>
      <c r="G4" s="59">
        <f>VLOOKUP($A3,COBTABLE,31, FALSE)</f>
        <v>1256.19</v>
      </c>
      <c r="H4" s="59">
        <f>VLOOKUP($A3,COBTABLE,32, FALSE)</f>
        <v>552.85</v>
      </c>
      <c r="I4" s="59">
        <f>VLOOKUP($A3,COBTABLE,33, FALSE)</f>
        <v>7118.48</v>
      </c>
      <c r="J4" s="59">
        <f>VLOOKUP($A3,COBTABLE,34, FALSE)</f>
        <v>418.51</v>
      </c>
      <c r="K4" s="59">
        <f>VLOOKUP($A3,COBTABLE,35, FALSE)</f>
        <v>392.72</v>
      </c>
      <c r="L4" s="59">
        <f>VLOOKUP($A3,COBTABLE,36, FALSE)</f>
        <v>2563.37</v>
      </c>
      <c r="M4" s="59">
        <f>VLOOKUP($A3,COBTABLE,37, FALSE)</f>
        <v>2404.0099999999984</v>
      </c>
      <c r="N4" s="60">
        <f>VLOOKUP($A3, countrygrant,3,FALSE)</f>
        <v>641860</v>
      </c>
      <c r="O4" s="92">
        <f t="shared" ref="O4" si="0">SUM(C4:N4)</f>
        <v>666804.23</v>
      </c>
      <c r="P4" s="28"/>
      <c r="Q4" s="28"/>
      <c r="R4" s="28"/>
      <c r="S4" s="28"/>
      <c r="T4" s="28"/>
      <c r="U4" s="28"/>
      <c r="V4" s="28"/>
      <c r="W4" s="28"/>
      <c r="X4" s="28"/>
      <c r="Y4" s="28"/>
      <c r="Z4" s="28"/>
      <c r="AA4" s="28"/>
      <c r="AB4" s="28"/>
      <c r="AC4" s="28"/>
    </row>
    <row r="5" spans="1:36" s="53" customFormat="1" ht="12" customHeight="1" x14ac:dyDescent="0.25">
      <c r="A5" s="278"/>
      <c r="B5" s="61" t="s">
        <v>156</v>
      </c>
      <c r="C5" s="62">
        <f>SUM(C3:C4)</f>
        <v>15832.37</v>
      </c>
      <c r="D5" s="62">
        <f t="shared" ref="D5:O5" si="1">SUM(D3:D4)</f>
        <v>208.47000000000003</v>
      </c>
      <c r="E5" s="62">
        <f t="shared" si="1"/>
        <v>1483.8200000000002</v>
      </c>
      <c r="F5" s="62">
        <f t="shared" si="1"/>
        <v>0</v>
      </c>
      <c r="G5" s="62">
        <f t="shared" si="1"/>
        <v>2150.2399999999998</v>
      </c>
      <c r="H5" s="62">
        <f t="shared" si="1"/>
        <v>946.32</v>
      </c>
      <c r="I5" s="62">
        <f t="shared" si="1"/>
        <v>12184.77</v>
      </c>
      <c r="J5" s="62">
        <f t="shared" si="1"/>
        <v>716.36</v>
      </c>
      <c r="K5" s="62">
        <f t="shared" si="1"/>
        <v>672.23</v>
      </c>
      <c r="L5" s="62">
        <f t="shared" si="1"/>
        <v>4387.74</v>
      </c>
      <c r="M5" s="62">
        <f t="shared" si="1"/>
        <v>4114.9599999999991</v>
      </c>
      <c r="N5" s="62">
        <f t="shared" si="1"/>
        <v>1098678.18</v>
      </c>
      <c r="O5" s="62">
        <f t="shared" si="1"/>
        <v>1141375.46</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6582.92</v>
      </c>
      <c r="L19" s="34"/>
      <c r="M19" s="34"/>
      <c r="N19" s="34">
        <f>ROUND($C$3*P19,2)</f>
        <v>6582.92</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189310.19200000001</v>
      </c>
      <c r="L23" s="34">
        <f>SUM(L19:L22)</f>
        <v>159886.36299999998</v>
      </c>
      <c r="M23" s="34">
        <f>SUM(M19:M22)</f>
        <v>68522.726999999999</v>
      </c>
      <c r="N23" s="34">
        <f>SUM(N19:N22)</f>
        <v>463401.1</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189310.19200000001</v>
      </c>
      <c r="L24" s="34">
        <f t="shared" si="7"/>
        <v>159886.36299999998</v>
      </c>
      <c r="M24" s="34">
        <f t="shared" si="7"/>
        <v>68522.726999999999</v>
      </c>
      <c r="N24" s="34">
        <f t="shared" si="7"/>
        <v>463401.1</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9249.4500000000007</v>
      </c>
      <c r="L25" s="34"/>
      <c r="M25" s="34"/>
      <c r="N25" s="34">
        <f>ROUND($C$4*P25,2)</f>
        <v>9249.4500000000007</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64186</v>
      </c>
      <c r="K28" s="34">
        <f>$N28*0.4</f>
        <v>256744</v>
      </c>
      <c r="L28" s="34">
        <f>$N28*0.35</f>
        <v>224651</v>
      </c>
      <c r="M28" s="34">
        <f>$N28*0.15</f>
        <v>96279</v>
      </c>
      <c r="N28" s="34">
        <f>N4</f>
        <v>641860</v>
      </c>
      <c r="O28" s="8"/>
      <c r="P28" s="9">
        <f>VLOOKUP(H28,starratio2,4,FALSE)</f>
        <v>0</v>
      </c>
    </row>
    <row r="29" spans="1:36" ht="21.95" customHeight="1" x14ac:dyDescent="0.2">
      <c r="A29" s="262"/>
      <c r="B29" s="262"/>
      <c r="C29" s="263" t="s">
        <v>31</v>
      </c>
      <c r="D29" s="263"/>
      <c r="E29" s="263"/>
      <c r="F29" s="263"/>
      <c r="G29" s="263"/>
      <c r="H29" s="263"/>
      <c r="I29" s="263"/>
      <c r="J29" s="34">
        <f>SUM(J25:J28)</f>
        <v>64186</v>
      </c>
      <c r="K29" s="34">
        <f>SUM(K25:K28)</f>
        <v>265993.45</v>
      </c>
      <c r="L29" s="34">
        <f>SUM(L25:L28)</f>
        <v>224651</v>
      </c>
      <c r="M29" s="34">
        <f>SUM(M25:M28)</f>
        <v>96279</v>
      </c>
      <c r="N29" s="34">
        <f>SUM(N25:N28)</f>
        <v>651109.44999999995</v>
      </c>
      <c r="O29" s="8"/>
      <c r="P29" s="9"/>
    </row>
    <row r="30" spans="1:36" ht="21.95" customHeight="1" x14ac:dyDescent="0.2">
      <c r="A30" s="262"/>
      <c r="B30" s="263" t="s">
        <v>44</v>
      </c>
      <c r="C30" s="263"/>
      <c r="D30" s="263"/>
      <c r="E30" s="263"/>
      <c r="F30" s="263"/>
      <c r="G30" s="263"/>
      <c r="H30" s="263"/>
      <c r="I30" s="263"/>
      <c r="J30" s="34">
        <f>J29</f>
        <v>64186</v>
      </c>
      <c r="K30" s="34">
        <f t="shared" ref="K30:N30" si="9">K29</f>
        <v>265993.45</v>
      </c>
      <c r="L30" s="34">
        <f t="shared" si="9"/>
        <v>224651</v>
      </c>
      <c r="M30" s="34">
        <f t="shared" si="9"/>
        <v>96279</v>
      </c>
      <c r="N30" s="34">
        <f t="shared" si="9"/>
        <v>651109.44999999995</v>
      </c>
      <c r="O30" s="8"/>
      <c r="Q30" s="10"/>
      <c r="Z30" s="11"/>
      <c r="AC30" s="12"/>
      <c r="AD30" s="13"/>
    </row>
    <row r="31" spans="1:36" ht="21.95" customHeight="1" x14ac:dyDescent="0.2">
      <c r="A31" s="261" t="s">
        <v>45</v>
      </c>
      <c r="B31" s="261"/>
      <c r="C31" s="261"/>
      <c r="D31" s="261"/>
      <c r="E31" s="261"/>
      <c r="F31" s="261"/>
      <c r="G31" s="261"/>
      <c r="H31" s="261"/>
      <c r="I31" s="261"/>
      <c r="J31" s="34">
        <f>J24+J30</f>
        <v>109867.818</v>
      </c>
      <c r="K31" s="34">
        <f>K24+K30</f>
        <v>455303.64199999999</v>
      </c>
      <c r="L31" s="34">
        <f>L24+L30</f>
        <v>384537.36300000001</v>
      </c>
      <c r="M31" s="34">
        <f>M24+M30</f>
        <v>164801.72700000001</v>
      </c>
      <c r="N31" s="34">
        <f>N24+N30</f>
        <v>1114510.5499999998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1824.37</v>
      </c>
      <c r="L47" s="34"/>
      <c r="M47" s="34"/>
      <c r="N47" s="34">
        <f>ROUND($L$3*P47,2)</f>
        <v>1824.37</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1710.9500000000007</v>
      </c>
      <c r="L48" s="34"/>
      <c r="M48" s="34"/>
      <c r="N48" s="34">
        <f>M3-SUM(N10,N21,N35)</f>
        <v>1710.9500000000007</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3535.3200000000006</v>
      </c>
      <c r="L49" s="34">
        <f>SUM(L45:L48)</f>
        <v>0</v>
      </c>
      <c r="M49" s="34">
        <f>SUM(M45:M48)</f>
        <v>0</v>
      </c>
      <c r="N49" s="34">
        <f>SUM(N45:N48)</f>
        <v>3535.3200000000006</v>
      </c>
      <c r="O49" s="8"/>
      <c r="P49" s="9"/>
    </row>
    <row r="50" spans="1:36" ht="21.95" customHeight="1" x14ac:dyDescent="0.2">
      <c r="A50" s="262"/>
      <c r="B50" s="261" t="s">
        <v>60</v>
      </c>
      <c r="C50" s="261"/>
      <c r="D50" s="261"/>
      <c r="E50" s="261"/>
      <c r="F50" s="261"/>
      <c r="G50" s="261"/>
      <c r="H50" s="261"/>
      <c r="I50" s="261"/>
      <c r="J50" s="34">
        <f>J49</f>
        <v>0</v>
      </c>
      <c r="K50" s="34">
        <f t="shared" ref="K50:N50" si="15">K49</f>
        <v>3535.3200000000006</v>
      </c>
      <c r="L50" s="34">
        <f t="shared" si="15"/>
        <v>0</v>
      </c>
      <c r="M50" s="34">
        <f t="shared" si="15"/>
        <v>0</v>
      </c>
      <c r="N50" s="34">
        <f t="shared" si="15"/>
        <v>3535.3200000000006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2563.37</v>
      </c>
      <c r="L53" s="34"/>
      <c r="M53" s="34"/>
      <c r="N53" s="34">
        <f>ROUND($L$4*P53,2)</f>
        <v>2563.37</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2404.0099999999984</v>
      </c>
      <c r="L54" s="34"/>
      <c r="M54" s="34"/>
      <c r="N54" s="34">
        <f>M4-SUM(N15,N27,N41)</f>
        <v>2404.0099999999984</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4967.3799999999983</v>
      </c>
      <c r="L55" s="34">
        <f>SUM(L51:L54)</f>
        <v>0</v>
      </c>
      <c r="M55" s="34">
        <f>SUM(M51:M54)</f>
        <v>0</v>
      </c>
      <c r="N55" s="34">
        <f>SUM(N51:N54)</f>
        <v>4967.3799999999983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4967.3799999999983</v>
      </c>
      <c r="L56" s="34">
        <f t="shared" si="17"/>
        <v>0</v>
      </c>
      <c r="M56" s="34">
        <f t="shared" si="17"/>
        <v>0</v>
      </c>
      <c r="N56" s="34">
        <f t="shared" si="17"/>
        <v>4967.3799999999983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8502.6999999999989</v>
      </c>
      <c r="L57" s="34">
        <f>L50+L56</f>
        <v>0</v>
      </c>
      <c r="M57" s="34">
        <f>M50+M56</f>
        <v>0</v>
      </c>
      <c r="N57" s="34">
        <f>N50+N56</f>
        <v>8502.6999999999989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86.68</v>
      </c>
      <c r="L59" s="34"/>
      <c r="M59" s="34"/>
      <c r="N59" s="34">
        <f>D3</f>
        <v>86.68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616.96</v>
      </c>
      <c r="L60" s="34"/>
      <c r="M60" s="34"/>
      <c r="N60" s="34">
        <f>E3</f>
        <v>616.96</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894.05</v>
      </c>
      <c r="L61" s="34"/>
      <c r="M61" s="34"/>
      <c r="N61" s="34">
        <f>G3-SUM(N9,N20,N33,N46)</f>
        <v>894.05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393.47</v>
      </c>
      <c r="L62" s="34"/>
      <c r="M62" s="34"/>
      <c r="N62" s="34">
        <f>H3</f>
        <v>393.47</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5066.29</v>
      </c>
      <c r="L63" s="34"/>
      <c r="M63" s="34"/>
      <c r="N63" s="34">
        <f>I3</f>
        <v>5066.29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297.85000000000002</v>
      </c>
      <c r="L64" s="34"/>
      <c r="M64" s="34"/>
      <c r="N64" s="34">
        <f>J3</f>
        <v>297.85000000000002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279.51</v>
      </c>
      <c r="L66" s="34"/>
      <c r="M66" s="34"/>
      <c r="N66" s="34">
        <f>K3</f>
        <v>279.51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7634.81</v>
      </c>
      <c r="L68" s="34">
        <f>SUM(L58:L67)</f>
        <v>0</v>
      </c>
      <c r="M68" s="34">
        <f>SUM(M58:M67)</f>
        <v>0</v>
      </c>
      <c r="N68" s="34">
        <f>SUM(N58:N67)</f>
        <v>7634.81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7634.81</v>
      </c>
      <c r="L69" s="34">
        <f t="shared" si="20"/>
        <v>0</v>
      </c>
      <c r="M69" s="34">
        <f t="shared" si="20"/>
        <v>0</v>
      </c>
      <c r="N69" s="34">
        <f t="shared" si="20"/>
        <v>7634.81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121.79</v>
      </c>
      <c r="L71" s="34"/>
      <c r="M71" s="34"/>
      <c r="N71" s="34">
        <f>D4</f>
        <v>121.79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866.86</v>
      </c>
      <c r="L72" s="34"/>
      <c r="M72" s="34"/>
      <c r="N72" s="34">
        <f>E4</f>
        <v>866.86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1256.19</v>
      </c>
      <c r="L73" s="34"/>
      <c r="M73" s="34"/>
      <c r="N73" s="34">
        <f>G4-SUM(N14,N26,N39,N52)</f>
        <v>1256.19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552.85</v>
      </c>
      <c r="L74" s="34"/>
      <c r="M74" s="34"/>
      <c r="N74" s="34">
        <f>H4</f>
        <v>552.85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7118.48</v>
      </c>
      <c r="L75" s="34"/>
      <c r="M75" s="34"/>
      <c r="N75" s="34">
        <f>I4</f>
        <v>7118.48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418.51</v>
      </c>
      <c r="L76" s="34"/>
      <c r="M76" s="34"/>
      <c r="N76" s="34">
        <f>J4</f>
        <v>418.51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392.72</v>
      </c>
      <c r="L78" s="34"/>
      <c r="M78" s="34"/>
      <c r="N78" s="34">
        <f>K4</f>
        <v>392.72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10727.4</v>
      </c>
      <c r="L80" s="34">
        <f>SUM(L70:L79)</f>
        <v>0</v>
      </c>
      <c r="M80" s="34">
        <f>SUM(M70:M79)</f>
        <v>0</v>
      </c>
      <c r="N80" s="34">
        <f>SUM(N70:N79)</f>
        <v>10727.4</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10727.4</v>
      </c>
      <c r="L81" s="34">
        <f t="shared" si="23"/>
        <v>0</v>
      </c>
      <c r="M81" s="34">
        <f t="shared" si="23"/>
        <v>0</v>
      </c>
      <c r="N81" s="34">
        <f t="shared" si="23"/>
        <v>10727.4</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18362.21</v>
      </c>
      <c r="L82" s="34">
        <f>L69+L81</f>
        <v>0</v>
      </c>
      <c r="M82" s="34">
        <f>M69+M81</f>
        <v>0</v>
      </c>
      <c r="N82" s="34">
        <f>N69+N81</f>
        <v>18362.21</v>
      </c>
      <c r="O82" s="8"/>
      <c r="R82" s="14"/>
      <c r="Z82" s="15"/>
      <c r="AJ82" s="16"/>
    </row>
    <row r="83" spans="1:36" s="31" customFormat="1" ht="21.95" customHeight="1" x14ac:dyDescent="0.2">
      <c r="A83" s="275" t="s">
        <v>82</v>
      </c>
      <c r="B83" s="275"/>
      <c r="C83" s="275"/>
      <c r="D83" s="275"/>
      <c r="E83" s="275"/>
      <c r="F83" s="275"/>
      <c r="G83" s="275"/>
      <c r="H83" s="275"/>
      <c r="I83" s="275"/>
      <c r="J83" s="35">
        <f>J18+J31+J44+J57+J82</f>
        <v>109867.818</v>
      </c>
      <c r="K83" s="35">
        <f>K18+K31+K44+K57+K82</f>
        <v>482168.55200000003</v>
      </c>
      <c r="L83" s="35">
        <f>L18+L31+L44+L57+L82</f>
        <v>384537.36300000001</v>
      </c>
      <c r="M83" s="35">
        <f>M18+M31+M44+M57+M82</f>
        <v>164801.72700000001</v>
      </c>
      <c r="N83" s="38">
        <f>N18+N31+N44+N57+N82</f>
        <v>1141375.4599999997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D8F700F-AA52-4FB3-B051-9E0C1E2FFB4E}">
          <x14:formula1>
            <xm:f>'2026 COB breakdown_Kris'!$A$5:$A$103</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6BB24-066E-410E-AD80-C691CF30025A}">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166</v>
      </c>
      <c r="B3" s="58" t="s">
        <v>158</v>
      </c>
      <c r="C3" s="59">
        <f>VLOOKUP($A3,COBTABLE,15, FALSE)</f>
        <v>6017.37</v>
      </c>
      <c r="D3" s="59">
        <f>VLOOKUP($A3,COBTABLE,16, FALSE)</f>
        <v>79.23</v>
      </c>
      <c r="E3" s="59">
        <f>VLOOKUP($A3,COBTABLE,17, FALSE)</f>
        <v>563.95000000000005</v>
      </c>
      <c r="F3" s="59">
        <f>VLOOKUP($A3,COBTABLE,18, FALSE)</f>
        <v>0</v>
      </c>
      <c r="G3" s="59">
        <f>VLOOKUP($A3,COBTABLE,19, FALSE)</f>
        <v>817.24</v>
      </c>
      <c r="H3" s="59">
        <f>VLOOKUP($A3,COBTABLE,20, FALSE)</f>
        <v>359.67</v>
      </c>
      <c r="I3" s="59">
        <f>VLOOKUP($A3,COBTABLE,21, FALSE)</f>
        <v>4631.03</v>
      </c>
      <c r="J3" s="59">
        <f>VLOOKUP($A3,COBTABLE,22, FALSE)</f>
        <v>272.26</v>
      </c>
      <c r="K3" s="59">
        <f>VLOOKUP($A3,COBTABLE,23, FALSE)</f>
        <v>255.49</v>
      </c>
      <c r="L3" s="59">
        <f>VLOOKUP($A3,COBTABLE,24, FALSE)</f>
        <v>1667.63</v>
      </c>
      <c r="M3" s="59">
        <f>VLOOKUP($A3,COBTABLE,25, FALSE)</f>
        <v>1563.9700000000012</v>
      </c>
      <c r="N3" s="60">
        <f>VLOOKUP($A3, countrygrant,2,FALSE)</f>
        <v>456818.18</v>
      </c>
      <c r="O3" s="92">
        <f>SUM(C3:N3)</f>
        <v>473046.02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1765.09</v>
      </c>
      <c r="D4" s="59">
        <f>VLOOKUP($A3,COBTABLE,28, FALSE)</f>
        <v>23.24</v>
      </c>
      <c r="E4" s="59">
        <f>VLOOKUP($A3,COBTABLE,29, FALSE)</f>
        <v>165.42</v>
      </c>
      <c r="F4" s="59">
        <f>VLOOKUP($A3,COBTABLE,30, FALSE)</f>
        <v>0</v>
      </c>
      <c r="G4" s="59">
        <f>VLOOKUP($A3,COBTABLE,31, FALSE)</f>
        <v>239.72</v>
      </c>
      <c r="H4" s="59">
        <f>VLOOKUP($A3,COBTABLE,32, FALSE)</f>
        <v>105.5</v>
      </c>
      <c r="I4" s="59">
        <f>VLOOKUP($A3,COBTABLE,33, FALSE)</f>
        <v>1358.44</v>
      </c>
      <c r="J4" s="59">
        <f>VLOOKUP($A3,COBTABLE,34, FALSE)</f>
        <v>79.86</v>
      </c>
      <c r="K4" s="59">
        <f>VLOOKUP($A3,COBTABLE,35, FALSE)</f>
        <v>74.94</v>
      </c>
      <c r="L4" s="59">
        <f>VLOOKUP($A3,COBTABLE,36, FALSE)</f>
        <v>489.17</v>
      </c>
      <c r="M4" s="59">
        <f>VLOOKUP($A3,COBTABLE,37, FALSE)</f>
        <v>458.77999999999975</v>
      </c>
      <c r="N4" s="60">
        <f>VLOOKUP($A3, countrygrant,3,FALSE)</f>
        <v>134000</v>
      </c>
      <c r="O4" s="92">
        <f t="shared" ref="O4" si="0">SUM(C4:N4)</f>
        <v>138760.16</v>
      </c>
      <c r="P4" s="28"/>
      <c r="Q4" s="28"/>
      <c r="R4" s="28"/>
      <c r="S4" s="28"/>
      <c r="T4" s="28"/>
      <c r="U4" s="28"/>
      <c r="V4" s="28"/>
      <c r="W4" s="28"/>
      <c r="X4" s="28"/>
      <c r="Y4" s="28"/>
      <c r="Z4" s="28"/>
      <c r="AA4" s="28"/>
      <c r="AB4" s="28"/>
      <c r="AC4" s="28"/>
    </row>
    <row r="5" spans="1:36" s="53" customFormat="1" ht="12" customHeight="1" x14ac:dyDescent="0.25">
      <c r="A5" s="278"/>
      <c r="B5" s="61" t="s">
        <v>156</v>
      </c>
      <c r="C5" s="62">
        <f>SUM(C3:C4)</f>
        <v>7782.46</v>
      </c>
      <c r="D5" s="62">
        <f t="shared" ref="D5:O5" si="1">SUM(D3:D4)</f>
        <v>102.47</v>
      </c>
      <c r="E5" s="62">
        <f t="shared" si="1"/>
        <v>729.37</v>
      </c>
      <c r="F5" s="62">
        <f t="shared" si="1"/>
        <v>0</v>
      </c>
      <c r="G5" s="62">
        <f t="shared" si="1"/>
        <v>1056.96</v>
      </c>
      <c r="H5" s="62">
        <f t="shared" si="1"/>
        <v>465.17</v>
      </c>
      <c r="I5" s="62">
        <f t="shared" si="1"/>
        <v>5989.4699999999993</v>
      </c>
      <c r="J5" s="62">
        <f t="shared" si="1"/>
        <v>352.12</v>
      </c>
      <c r="K5" s="62">
        <f t="shared" si="1"/>
        <v>330.43</v>
      </c>
      <c r="L5" s="62">
        <f t="shared" si="1"/>
        <v>2156.8000000000002</v>
      </c>
      <c r="M5" s="62">
        <f t="shared" si="1"/>
        <v>2022.7500000000009</v>
      </c>
      <c r="N5" s="62">
        <f t="shared" si="1"/>
        <v>590818.17999999993</v>
      </c>
      <c r="O5" s="62">
        <f t="shared" si="1"/>
        <v>611806.18000000005</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6017.37</v>
      </c>
      <c r="L19" s="34"/>
      <c r="M19" s="34"/>
      <c r="N19" s="34">
        <f>ROUND($C$3*P19,2)</f>
        <v>6017.37</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188744.64199999999</v>
      </c>
      <c r="L23" s="34">
        <f>SUM(L19:L22)</f>
        <v>159886.36299999998</v>
      </c>
      <c r="M23" s="34">
        <f>SUM(M19:M22)</f>
        <v>68522.726999999999</v>
      </c>
      <c r="N23" s="34">
        <f>SUM(N19:N22)</f>
        <v>462835.55</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188744.64199999999</v>
      </c>
      <c r="L24" s="34">
        <f t="shared" si="7"/>
        <v>159886.36299999998</v>
      </c>
      <c r="M24" s="34">
        <f t="shared" si="7"/>
        <v>68522.726999999999</v>
      </c>
      <c r="N24" s="34">
        <f t="shared" si="7"/>
        <v>462835.55</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1765.09</v>
      </c>
      <c r="L25" s="34"/>
      <c r="M25" s="34"/>
      <c r="N25" s="34">
        <f>ROUND($C$4*P25,2)</f>
        <v>1765.09</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13400</v>
      </c>
      <c r="K28" s="34">
        <f>$N28*0.4</f>
        <v>53600</v>
      </c>
      <c r="L28" s="34">
        <f>$N28*0.35</f>
        <v>46900</v>
      </c>
      <c r="M28" s="34">
        <f>$N28*0.15</f>
        <v>20100</v>
      </c>
      <c r="N28" s="34">
        <f>N4</f>
        <v>134000</v>
      </c>
      <c r="O28" s="8"/>
      <c r="P28" s="9">
        <f>VLOOKUP(H28,starratio2,4,FALSE)</f>
        <v>0</v>
      </c>
    </row>
    <row r="29" spans="1:36" ht="21.95" customHeight="1" x14ac:dyDescent="0.2">
      <c r="A29" s="262"/>
      <c r="B29" s="262"/>
      <c r="C29" s="263" t="s">
        <v>31</v>
      </c>
      <c r="D29" s="263"/>
      <c r="E29" s="263"/>
      <c r="F29" s="263"/>
      <c r="G29" s="263"/>
      <c r="H29" s="263"/>
      <c r="I29" s="263"/>
      <c r="J29" s="34">
        <f>SUM(J25:J28)</f>
        <v>13400</v>
      </c>
      <c r="K29" s="34">
        <f>SUM(K25:K28)</f>
        <v>55365.09</v>
      </c>
      <c r="L29" s="34">
        <f>SUM(L25:L28)</f>
        <v>46900</v>
      </c>
      <c r="M29" s="34">
        <f>SUM(M25:M28)</f>
        <v>20100</v>
      </c>
      <c r="N29" s="34">
        <f>SUM(N25:N28)</f>
        <v>135765.09</v>
      </c>
      <c r="O29" s="8"/>
      <c r="P29" s="9"/>
    </row>
    <row r="30" spans="1:36" ht="21.95" customHeight="1" x14ac:dyDescent="0.2">
      <c r="A30" s="262"/>
      <c r="B30" s="263" t="s">
        <v>44</v>
      </c>
      <c r="C30" s="263"/>
      <c r="D30" s="263"/>
      <c r="E30" s="263"/>
      <c r="F30" s="263"/>
      <c r="G30" s="263"/>
      <c r="H30" s="263"/>
      <c r="I30" s="263"/>
      <c r="J30" s="34">
        <f>J29</f>
        <v>13400</v>
      </c>
      <c r="K30" s="34">
        <f t="shared" ref="K30:N30" si="9">K29</f>
        <v>55365.09</v>
      </c>
      <c r="L30" s="34">
        <f t="shared" si="9"/>
        <v>46900</v>
      </c>
      <c r="M30" s="34">
        <f t="shared" si="9"/>
        <v>20100</v>
      </c>
      <c r="N30" s="34">
        <f t="shared" si="9"/>
        <v>135765.09</v>
      </c>
      <c r="O30" s="8"/>
      <c r="Q30" s="10"/>
      <c r="Z30" s="11"/>
      <c r="AC30" s="12"/>
      <c r="AD30" s="13"/>
    </row>
    <row r="31" spans="1:36" ht="21.95" customHeight="1" x14ac:dyDescent="0.2">
      <c r="A31" s="261" t="s">
        <v>45</v>
      </c>
      <c r="B31" s="261"/>
      <c r="C31" s="261"/>
      <c r="D31" s="261"/>
      <c r="E31" s="261"/>
      <c r="F31" s="261"/>
      <c r="G31" s="261"/>
      <c r="H31" s="261"/>
      <c r="I31" s="261"/>
      <c r="J31" s="34">
        <f>J24+J30</f>
        <v>59081.817999999999</v>
      </c>
      <c r="K31" s="34">
        <f>K24+K30</f>
        <v>244109.73199999999</v>
      </c>
      <c r="L31" s="34">
        <f>L24+L30</f>
        <v>206786.36299999998</v>
      </c>
      <c r="M31" s="34">
        <f>M24+M30</f>
        <v>88622.726999999999</v>
      </c>
      <c r="N31" s="34">
        <f>N24+N30</f>
        <v>598600.64</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1667.63</v>
      </c>
      <c r="L47" s="34"/>
      <c r="M47" s="34"/>
      <c r="N47" s="34">
        <f>ROUND($L$3*P47,2)</f>
        <v>1667.63</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1563.9700000000012</v>
      </c>
      <c r="L48" s="34"/>
      <c r="M48" s="34"/>
      <c r="N48" s="34">
        <f>M3-SUM(N10,N21,N35)</f>
        <v>1563.9700000000012</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3231.6000000000013</v>
      </c>
      <c r="L49" s="34">
        <f>SUM(L45:L48)</f>
        <v>0</v>
      </c>
      <c r="M49" s="34">
        <f>SUM(M45:M48)</f>
        <v>0</v>
      </c>
      <c r="N49" s="34">
        <f>SUM(N45:N48)</f>
        <v>3231.6000000000013</v>
      </c>
      <c r="O49" s="8"/>
      <c r="P49" s="9"/>
    </row>
    <row r="50" spans="1:36" ht="21.95" customHeight="1" x14ac:dyDescent="0.2">
      <c r="A50" s="262"/>
      <c r="B50" s="261" t="s">
        <v>60</v>
      </c>
      <c r="C50" s="261"/>
      <c r="D50" s="261"/>
      <c r="E50" s="261"/>
      <c r="F50" s="261"/>
      <c r="G50" s="261"/>
      <c r="H50" s="261"/>
      <c r="I50" s="261"/>
      <c r="J50" s="34">
        <f>J49</f>
        <v>0</v>
      </c>
      <c r="K50" s="34">
        <f t="shared" ref="K50:N50" si="15">K49</f>
        <v>3231.6000000000013</v>
      </c>
      <c r="L50" s="34">
        <f t="shared" si="15"/>
        <v>0</v>
      </c>
      <c r="M50" s="34">
        <f t="shared" si="15"/>
        <v>0</v>
      </c>
      <c r="N50" s="34">
        <f t="shared" si="15"/>
        <v>3231.6000000000013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489.17</v>
      </c>
      <c r="L53" s="34"/>
      <c r="M53" s="34"/>
      <c r="N53" s="34">
        <f>ROUND($L$4*P53,2)</f>
        <v>489.17</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458.77999999999975</v>
      </c>
      <c r="L54" s="34"/>
      <c r="M54" s="34"/>
      <c r="N54" s="34">
        <f>M4-SUM(N15,N27,N41)</f>
        <v>458.77999999999975</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947.94999999999982</v>
      </c>
      <c r="L55" s="34">
        <f>SUM(L51:L54)</f>
        <v>0</v>
      </c>
      <c r="M55" s="34">
        <f>SUM(M51:M54)</f>
        <v>0</v>
      </c>
      <c r="N55" s="34">
        <f>SUM(N51:N54)</f>
        <v>947.94999999999982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947.94999999999982</v>
      </c>
      <c r="L56" s="34">
        <f t="shared" si="17"/>
        <v>0</v>
      </c>
      <c r="M56" s="34">
        <f t="shared" si="17"/>
        <v>0</v>
      </c>
      <c r="N56" s="34">
        <f t="shared" si="17"/>
        <v>947.94999999999982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4179.5500000000011</v>
      </c>
      <c r="L57" s="34">
        <f>L50+L56</f>
        <v>0</v>
      </c>
      <c r="M57" s="34">
        <f>M50+M56</f>
        <v>0</v>
      </c>
      <c r="N57" s="34">
        <f>N50+N56</f>
        <v>4179.5500000000011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79.23</v>
      </c>
      <c r="L59" s="34"/>
      <c r="M59" s="34"/>
      <c r="N59" s="34">
        <f>D3</f>
        <v>79.23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563.95000000000005</v>
      </c>
      <c r="L60" s="34"/>
      <c r="M60" s="34"/>
      <c r="N60" s="34">
        <f>E3</f>
        <v>563.95000000000005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817.24</v>
      </c>
      <c r="L61" s="34"/>
      <c r="M61" s="34"/>
      <c r="N61" s="34">
        <f>G3-SUM(N9,N20,N33,N46)</f>
        <v>817.24</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359.67</v>
      </c>
      <c r="L62" s="34"/>
      <c r="M62" s="34"/>
      <c r="N62" s="34">
        <f>H3</f>
        <v>359.67</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4631.03</v>
      </c>
      <c r="L63" s="34"/>
      <c r="M63" s="34"/>
      <c r="N63" s="34">
        <f>I3</f>
        <v>4631.03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272.26</v>
      </c>
      <c r="L64" s="34"/>
      <c r="M64" s="34"/>
      <c r="N64" s="34">
        <f>J3</f>
        <v>272.26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255.49</v>
      </c>
      <c r="L66" s="34"/>
      <c r="M66" s="34"/>
      <c r="N66" s="34">
        <f>K3</f>
        <v>255.49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6978.87</v>
      </c>
      <c r="L68" s="34">
        <f>SUM(L58:L67)</f>
        <v>0</v>
      </c>
      <c r="M68" s="34">
        <f>SUM(M58:M67)</f>
        <v>0</v>
      </c>
      <c r="N68" s="34">
        <f>SUM(N58:N67)</f>
        <v>6978.87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6978.87</v>
      </c>
      <c r="L69" s="34">
        <f t="shared" si="20"/>
        <v>0</v>
      </c>
      <c r="M69" s="34">
        <f t="shared" si="20"/>
        <v>0</v>
      </c>
      <c r="N69" s="34">
        <f t="shared" si="20"/>
        <v>6978.87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23.24</v>
      </c>
      <c r="L71" s="34"/>
      <c r="M71" s="34"/>
      <c r="N71" s="34">
        <f>D4</f>
        <v>23.24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165.42</v>
      </c>
      <c r="L72" s="34"/>
      <c r="M72" s="34"/>
      <c r="N72" s="34">
        <f>E4</f>
        <v>165.42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239.72</v>
      </c>
      <c r="L73" s="34"/>
      <c r="M73" s="34"/>
      <c r="N73" s="34">
        <f>G4-SUM(N14,N26,N39,N52)</f>
        <v>239.72</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105.5</v>
      </c>
      <c r="L74" s="34"/>
      <c r="M74" s="34"/>
      <c r="N74" s="34">
        <f>H4</f>
        <v>105.5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1358.44</v>
      </c>
      <c r="L75" s="34"/>
      <c r="M75" s="34"/>
      <c r="N75" s="34">
        <f>I4</f>
        <v>1358.44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79.86</v>
      </c>
      <c r="L76" s="34"/>
      <c r="M76" s="34"/>
      <c r="N76" s="34">
        <f>J4</f>
        <v>79.86</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74.94</v>
      </c>
      <c r="L78" s="34"/>
      <c r="M78" s="34"/>
      <c r="N78" s="34">
        <f>K4</f>
        <v>74.94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2047.1200000000001</v>
      </c>
      <c r="L80" s="34">
        <f>SUM(L70:L79)</f>
        <v>0</v>
      </c>
      <c r="M80" s="34">
        <f>SUM(M70:M79)</f>
        <v>0</v>
      </c>
      <c r="N80" s="34">
        <f>SUM(N70:N79)</f>
        <v>2047.1200000000001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2047.1200000000001</v>
      </c>
      <c r="L81" s="34">
        <f t="shared" si="23"/>
        <v>0</v>
      </c>
      <c r="M81" s="34">
        <f t="shared" si="23"/>
        <v>0</v>
      </c>
      <c r="N81" s="34">
        <f t="shared" si="23"/>
        <v>2047.1200000000001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9025.99</v>
      </c>
      <c r="L82" s="34">
        <f>L69+L81</f>
        <v>0</v>
      </c>
      <c r="M82" s="34">
        <f>M69+M81</f>
        <v>0</v>
      </c>
      <c r="N82" s="34">
        <f>N69+N81</f>
        <v>9025.99</v>
      </c>
      <c r="O82" s="8"/>
      <c r="R82" s="14"/>
      <c r="Z82" s="15"/>
      <c r="AJ82" s="16"/>
    </row>
    <row r="83" spans="1:36" s="31" customFormat="1" ht="21.95" customHeight="1" x14ac:dyDescent="0.2">
      <c r="A83" s="275" t="s">
        <v>82</v>
      </c>
      <c r="B83" s="275"/>
      <c r="C83" s="275"/>
      <c r="D83" s="275"/>
      <c r="E83" s="275"/>
      <c r="F83" s="275"/>
      <c r="G83" s="275"/>
      <c r="H83" s="275"/>
      <c r="I83" s="275"/>
      <c r="J83" s="35">
        <f>J18+J31+J44+J57+J82</f>
        <v>59081.817999999999</v>
      </c>
      <c r="K83" s="35">
        <f>K18+K31+K44+K57+K82</f>
        <v>257315.27199999997</v>
      </c>
      <c r="L83" s="35">
        <f>L18+L31+L44+L57+L82</f>
        <v>206786.36299999998</v>
      </c>
      <c r="M83" s="35">
        <f>M18+M31+M44+M57+M82</f>
        <v>88622.726999999999</v>
      </c>
      <c r="N83" s="38">
        <f>N18+N31+N44+N57+N82</f>
        <v>611806.18000000005</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E91E3C4-54A7-4E47-AD3C-589977E0DE0C}">
          <x14:formula1>
            <xm:f>'2026 COB breakdown_Kris'!$A$5:$A$103</xm:f>
          </x14:formula1>
          <xm:sqref>A3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09F6F-9FF9-477F-A89B-AFA2CB50283F}">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167</v>
      </c>
      <c r="B3" s="58" t="s">
        <v>158</v>
      </c>
      <c r="C3" s="59">
        <f>VLOOKUP($A3,COBTABLE,15, FALSE)</f>
        <v>8671.7199999999993</v>
      </c>
      <c r="D3" s="59">
        <f>VLOOKUP($A3,COBTABLE,16, FALSE)</f>
        <v>114.18</v>
      </c>
      <c r="E3" s="59">
        <f>VLOOKUP($A3,COBTABLE,17, FALSE)</f>
        <v>812.72</v>
      </c>
      <c r="F3" s="59">
        <f>VLOOKUP($A3,COBTABLE,18, FALSE)</f>
        <v>0</v>
      </c>
      <c r="G3" s="59">
        <f>VLOOKUP($A3,COBTABLE,19, FALSE)</f>
        <v>1177.73</v>
      </c>
      <c r="H3" s="59">
        <f>VLOOKUP($A3,COBTABLE,20, FALSE)</f>
        <v>518.32000000000005</v>
      </c>
      <c r="I3" s="59">
        <f>VLOOKUP($A3,COBTABLE,21, FALSE)</f>
        <v>6673.85</v>
      </c>
      <c r="J3" s="59">
        <f>VLOOKUP($A3,COBTABLE,22, FALSE)</f>
        <v>392.36</v>
      </c>
      <c r="K3" s="59">
        <f>VLOOKUP($A3,COBTABLE,23, FALSE)</f>
        <v>368.2</v>
      </c>
      <c r="L3" s="59">
        <f>VLOOKUP($A3,COBTABLE,24, FALSE)</f>
        <v>2403.25</v>
      </c>
      <c r="M3" s="59">
        <f>VLOOKUP($A3,COBTABLE,25, FALSE)</f>
        <v>2253.8700000000026</v>
      </c>
      <c r="N3" s="60">
        <f>VLOOKUP($A3, countrygrant,2,FALSE)</f>
        <v>456818.18</v>
      </c>
      <c r="O3" s="92">
        <f>SUM(C3:N3)</f>
        <v>480204.38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8671.7199999999993</v>
      </c>
      <c r="D5" s="62">
        <f t="shared" ref="D5:O5" si="1">SUM(D3:D4)</f>
        <v>114.18</v>
      </c>
      <c r="E5" s="62">
        <f t="shared" si="1"/>
        <v>812.72</v>
      </c>
      <c r="F5" s="62">
        <f t="shared" si="1"/>
        <v>0</v>
      </c>
      <c r="G5" s="62">
        <f t="shared" si="1"/>
        <v>1177.73</v>
      </c>
      <c r="H5" s="62">
        <f t="shared" si="1"/>
        <v>518.32000000000005</v>
      </c>
      <c r="I5" s="62">
        <f t="shared" si="1"/>
        <v>6673.85</v>
      </c>
      <c r="J5" s="62">
        <f t="shared" si="1"/>
        <v>392.36</v>
      </c>
      <c r="K5" s="62">
        <f t="shared" si="1"/>
        <v>368.2</v>
      </c>
      <c r="L5" s="62">
        <f t="shared" si="1"/>
        <v>2403.25</v>
      </c>
      <c r="M5" s="62">
        <f t="shared" si="1"/>
        <v>2253.8700000000026</v>
      </c>
      <c r="N5" s="62">
        <f t="shared" si="1"/>
        <v>456818.18</v>
      </c>
      <c r="O5" s="62">
        <f t="shared" si="1"/>
        <v>480204.38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8671.7199999999993</v>
      </c>
      <c r="L19" s="34"/>
      <c r="M19" s="34"/>
      <c r="N19" s="34">
        <f>ROUND($C$3*P19,2)</f>
        <v>8671.7199999999993</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191398.992</v>
      </c>
      <c r="L23" s="34">
        <f>SUM(L19:L22)</f>
        <v>159886.36299999998</v>
      </c>
      <c r="M23" s="34">
        <f>SUM(M19:M22)</f>
        <v>68522.726999999999</v>
      </c>
      <c r="N23" s="34">
        <f>SUM(N19:N22)</f>
        <v>465489.89999999997</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191398.992</v>
      </c>
      <c r="L24" s="34">
        <f t="shared" si="7"/>
        <v>159886.36299999998</v>
      </c>
      <c r="M24" s="34">
        <f t="shared" si="7"/>
        <v>68522.726999999999</v>
      </c>
      <c r="N24" s="34">
        <f t="shared" si="7"/>
        <v>465489.89999999997</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VLOOKUP(H28,starratio2,4,FALSE)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191398.992</v>
      </c>
      <c r="L31" s="34">
        <f>L24+L30</f>
        <v>159886.36299999998</v>
      </c>
      <c r="M31" s="34">
        <f>M24+M30</f>
        <v>68522.726999999999</v>
      </c>
      <c r="N31" s="34">
        <f>N24+N30</f>
        <v>465489.89999999997</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2403.25</v>
      </c>
      <c r="L47" s="34"/>
      <c r="M47" s="34"/>
      <c r="N47" s="34">
        <f>ROUND($L$3*P47,2)</f>
        <v>2403.25</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2253.8700000000026</v>
      </c>
      <c r="L48" s="34"/>
      <c r="M48" s="34"/>
      <c r="N48" s="34">
        <f>M3-SUM(N10,N21,N35)</f>
        <v>2253.8700000000026</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4657.1200000000026</v>
      </c>
      <c r="L49" s="34">
        <f>SUM(L45:L48)</f>
        <v>0</v>
      </c>
      <c r="M49" s="34">
        <f>SUM(M45:M48)</f>
        <v>0</v>
      </c>
      <c r="N49" s="34">
        <f>SUM(N45:N48)</f>
        <v>4657.1200000000026</v>
      </c>
      <c r="O49" s="8"/>
      <c r="P49" s="9"/>
    </row>
    <row r="50" spans="1:36" ht="21.95" customHeight="1" x14ac:dyDescent="0.2">
      <c r="A50" s="262"/>
      <c r="B50" s="261" t="s">
        <v>60</v>
      </c>
      <c r="C50" s="261"/>
      <c r="D50" s="261"/>
      <c r="E50" s="261"/>
      <c r="F50" s="261"/>
      <c r="G50" s="261"/>
      <c r="H50" s="261"/>
      <c r="I50" s="261"/>
      <c r="J50" s="34">
        <f>J49</f>
        <v>0</v>
      </c>
      <c r="K50" s="34">
        <f t="shared" ref="K50:N50" si="15">K49</f>
        <v>4657.1200000000026</v>
      </c>
      <c r="L50" s="34">
        <f t="shared" si="15"/>
        <v>0</v>
      </c>
      <c r="M50" s="34">
        <f t="shared" si="15"/>
        <v>0</v>
      </c>
      <c r="N50" s="34">
        <f t="shared" si="15"/>
        <v>4657.1200000000026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4657.1200000000026</v>
      </c>
      <c r="L57" s="34">
        <f>L50+L56</f>
        <v>0</v>
      </c>
      <c r="M57" s="34">
        <f>M50+M56</f>
        <v>0</v>
      </c>
      <c r="N57" s="34">
        <f>N50+N56</f>
        <v>4657.1200000000026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114.18</v>
      </c>
      <c r="L59" s="34"/>
      <c r="M59" s="34"/>
      <c r="N59" s="34">
        <f>D3</f>
        <v>114.18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812.72</v>
      </c>
      <c r="L60" s="34"/>
      <c r="M60" s="34"/>
      <c r="N60" s="34">
        <f>E3</f>
        <v>812.72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1177.73</v>
      </c>
      <c r="L61" s="34"/>
      <c r="M61" s="34"/>
      <c r="N61" s="34">
        <f>G3-SUM(N9,N20,N33,N46)</f>
        <v>1177.73</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518.32000000000005</v>
      </c>
      <c r="L62" s="34"/>
      <c r="M62" s="34"/>
      <c r="N62" s="34">
        <f>H3</f>
        <v>518.32000000000005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6673.85</v>
      </c>
      <c r="L63" s="34"/>
      <c r="M63" s="34"/>
      <c r="N63" s="34">
        <f>I3</f>
        <v>6673.85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392.36</v>
      </c>
      <c r="L64" s="34"/>
      <c r="M64" s="34"/>
      <c r="N64" s="34">
        <f>J3</f>
        <v>392.36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368.2</v>
      </c>
      <c r="L66" s="34"/>
      <c r="M66" s="34"/>
      <c r="N66" s="34">
        <f>K3</f>
        <v>368.2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10057.360000000002</v>
      </c>
      <c r="L68" s="34">
        <f>SUM(L58:L67)</f>
        <v>0</v>
      </c>
      <c r="M68" s="34">
        <f>SUM(M58:M67)</f>
        <v>0</v>
      </c>
      <c r="N68" s="34">
        <f>SUM(N58:N67)</f>
        <v>10057.360000000002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10057.360000000002</v>
      </c>
      <c r="L69" s="34">
        <f t="shared" si="20"/>
        <v>0</v>
      </c>
      <c r="M69" s="34">
        <f t="shared" si="20"/>
        <v>0</v>
      </c>
      <c r="N69" s="34">
        <f t="shared" si="20"/>
        <v>10057.360000000002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10057.360000000002</v>
      </c>
      <c r="L82" s="34">
        <f>L69+L81</f>
        <v>0</v>
      </c>
      <c r="M82" s="34">
        <f>M69+M81</f>
        <v>0</v>
      </c>
      <c r="N82" s="34">
        <f>N69+N81</f>
        <v>10057.360000000002</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206113.47200000001</v>
      </c>
      <c r="L83" s="35">
        <f>L18+L31+L44+L57+L82</f>
        <v>159886.36299999998</v>
      </c>
      <c r="M83" s="35">
        <f>M18+M31+M44+M57+M82</f>
        <v>68522.726999999999</v>
      </c>
      <c r="N83" s="38">
        <f>N18+N31+N44+N57+N82</f>
        <v>480204.37999999995</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FD62AF0-BB68-46DC-B204-B1A72B1FAC38}">
          <x14:formula1>
            <xm:f>'2026 COB breakdown_Kris'!$A$5:$A$103</xm:f>
          </x14:formula1>
          <xm:sqref>A3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7EC4-CEBA-4741-B424-682243D3D035}">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168</v>
      </c>
      <c r="B3" s="58" t="s">
        <v>158</v>
      </c>
      <c r="C3" s="59">
        <f>VLOOKUP($A3,COBTABLE,15, FALSE)</f>
        <v>7188.05</v>
      </c>
      <c r="D3" s="59">
        <f>VLOOKUP($A3,COBTABLE,16, FALSE)</f>
        <v>94.64</v>
      </c>
      <c r="E3" s="59">
        <f>VLOOKUP($A3,COBTABLE,17, FALSE)</f>
        <v>673.67</v>
      </c>
      <c r="F3" s="59">
        <f>VLOOKUP($A3,COBTABLE,18, FALSE)</f>
        <v>0</v>
      </c>
      <c r="G3" s="59">
        <f>VLOOKUP($A3,COBTABLE,19, FALSE)</f>
        <v>976.23</v>
      </c>
      <c r="H3" s="59">
        <f>VLOOKUP($A3,COBTABLE,20, FALSE)</f>
        <v>429.64</v>
      </c>
      <c r="I3" s="59">
        <f>VLOOKUP($A3,COBTABLE,21, FALSE)</f>
        <v>5532</v>
      </c>
      <c r="J3" s="59">
        <f>VLOOKUP($A3,COBTABLE,22, FALSE)</f>
        <v>325.23</v>
      </c>
      <c r="K3" s="59">
        <f>VLOOKUP($A3,COBTABLE,23, FALSE)</f>
        <v>305.2</v>
      </c>
      <c r="L3" s="59">
        <f>VLOOKUP($A3,COBTABLE,24, FALSE)</f>
        <v>1992.07</v>
      </c>
      <c r="M3" s="59">
        <f>VLOOKUP($A3,COBTABLE,25, FALSE)</f>
        <v>1868.2499999999964</v>
      </c>
      <c r="N3" s="60">
        <f>VLOOKUP($A3, countrygrant,2,FALSE)</f>
        <v>456818.18</v>
      </c>
      <c r="O3" s="92">
        <f>SUM(C3:N3)</f>
        <v>476203.16</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8433.98</v>
      </c>
      <c r="D4" s="59">
        <f>VLOOKUP($A3,COBTABLE,28, FALSE)</f>
        <v>111.05</v>
      </c>
      <c r="E4" s="59">
        <f>VLOOKUP($A3,COBTABLE,29, FALSE)</f>
        <v>790.43</v>
      </c>
      <c r="F4" s="59">
        <f>VLOOKUP($A3,COBTABLE,30, FALSE)</f>
        <v>0</v>
      </c>
      <c r="G4" s="59">
        <f>VLOOKUP($A3,COBTABLE,31, FALSE)</f>
        <v>1145.44</v>
      </c>
      <c r="H4" s="59">
        <f>VLOOKUP($A3,COBTABLE,32, FALSE)</f>
        <v>504.11</v>
      </c>
      <c r="I4" s="59">
        <f>VLOOKUP($A3,COBTABLE,33, FALSE)</f>
        <v>6490.89</v>
      </c>
      <c r="J4" s="59">
        <f>VLOOKUP($A3,COBTABLE,34, FALSE)</f>
        <v>381.61</v>
      </c>
      <c r="K4" s="59">
        <f>VLOOKUP($A3,COBTABLE,35, FALSE)</f>
        <v>358.1</v>
      </c>
      <c r="L4" s="59">
        <f>VLOOKUP($A3,COBTABLE,36, FALSE)</f>
        <v>2337.37</v>
      </c>
      <c r="M4" s="59">
        <f>VLOOKUP($A3,COBTABLE,37, FALSE)</f>
        <v>2192.0600000000013</v>
      </c>
      <c r="N4" s="60">
        <f>VLOOKUP($A3, countrygrant,3,FALSE)</f>
        <v>536000</v>
      </c>
      <c r="O4" s="92">
        <f t="shared" ref="O4" si="0">SUM(C4:N4)</f>
        <v>558745.04</v>
      </c>
      <c r="P4" s="28"/>
      <c r="Q4" s="28"/>
      <c r="R4" s="28"/>
      <c r="S4" s="28"/>
      <c r="T4" s="28"/>
      <c r="U4" s="28"/>
      <c r="V4" s="28"/>
      <c r="W4" s="28"/>
      <c r="X4" s="28"/>
      <c r="Y4" s="28"/>
      <c r="Z4" s="28"/>
      <c r="AA4" s="28"/>
      <c r="AB4" s="28"/>
      <c r="AC4" s="28"/>
    </row>
    <row r="5" spans="1:36" s="53" customFormat="1" ht="12" customHeight="1" x14ac:dyDescent="0.25">
      <c r="A5" s="278"/>
      <c r="B5" s="61" t="s">
        <v>156</v>
      </c>
      <c r="C5" s="62">
        <f>SUM(C3:C4)</f>
        <v>15622.029999999999</v>
      </c>
      <c r="D5" s="62">
        <f t="shared" ref="D5:O5" si="1">SUM(D3:D4)</f>
        <v>205.69</v>
      </c>
      <c r="E5" s="62">
        <f t="shared" si="1"/>
        <v>1464.1</v>
      </c>
      <c r="F5" s="62">
        <f t="shared" si="1"/>
        <v>0</v>
      </c>
      <c r="G5" s="62">
        <f t="shared" si="1"/>
        <v>2121.67</v>
      </c>
      <c r="H5" s="62">
        <f t="shared" si="1"/>
        <v>933.75</v>
      </c>
      <c r="I5" s="62">
        <f t="shared" si="1"/>
        <v>12022.89</v>
      </c>
      <c r="J5" s="62">
        <f t="shared" si="1"/>
        <v>706.84</v>
      </c>
      <c r="K5" s="62">
        <f t="shared" si="1"/>
        <v>663.3</v>
      </c>
      <c r="L5" s="62">
        <f t="shared" si="1"/>
        <v>4329.4399999999996</v>
      </c>
      <c r="M5" s="62">
        <f t="shared" si="1"/>
        <v>4060.3099999999977</v>
      </c>
      <c r="N5" s="62">
        <f t="shared" si="1"/>
        <v>992818.17999999993</v>
      </c>
      <c r="O5" s="62">
        <f t="shared" si="1"/>
        <v>1034948.2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7188.05</v>
      </c>
      <c r="L19" s="34"/>
      <c r="M19" s="34"/>
      <c r="N19" s="34">
        <f>ROUND($C$3*P19,2)</f>
        <v>7188.05</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189915.32199999999</v>
      </c>
      <c r="L23" s="34">
        <f>SUM(L19:L22)</f>
        <v>159886.36299999998</v>
      </c>
      <c r="M23" s="34">
        <f>SUM(M19:M22)</f>
        <v>68522.726999999999</v>
      </c>
      <c r="N23" s="34">
        <f>SUM(N19:N22)</f>
        <v>464006.23</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189915.32199999999</v>
      </c>
      <c r="L24" s="34">
        <f t="shared" si="7"/>
        <v>159886.36299999998</v>
      </c>
      <c r="M24" s="34">
        <f t="shared" si="7"/>
        <v>68522.726999999999</v>
      </c>
      <c r="N24" s="34">
        <f t="shared" si="7"/>
        <v>464006.23</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8433.98</v>
      </c>
      <c r="L25" s="34"/>
      <c r="M25" s="34"/>
      <c r="N25" s="34">
        <f>ROUND($C$4*P25,2)</f>
        <v>8433.98</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VLOOKUP(H28,starratio2,4,FALSE)</f>
        <v>0</v>
      </c>
    </row>
    <row r="29" spans="1:36" ht="21.95" customHeight="1" x14ac:dyDescent="0.2">
      <c r="A29" s="262"/>
      <c r="B29" s="262"/>
      <c r="C29" s="263" t="s">
        <v>31</v>
      </c>
      <c r="D29" s="263"/>
      <c r="E29" s="263"/>
      <c r="F29" s="263"/>
      <c r="G29" s="263"/>
      <c r="H29" s="263"/>
      <c r="I29" s="263"/>
      <c r="J29" s="34">
        <f>SUM(J25:J28)</f>
        <v>53600</v>
      </c>
      <c r="K29" s="34">
        <f>SUM(K25:K28)</f>
        <v>222833.98</v>
      </c>
      <c r="L29" s="34">
        <f>SUM(L25:L28)</f>
        <v>187600</v>
      </c>
      <c r="M29" s="34">
        <f>SUM(M25:M28)</f>
        <v>80400</v>
      </c>
      <c r="N29" s="34">
        <f>SUM(N25:N28)</f>
        <v>544433.98</v>
      </c>
      <c r="O29" s="8"/>
      <c r="P29" s="9"/>
    </row>
    <row r="30" spans="1:36" ht="21.95" customHeight="1" x14ac:dyDescent="0.2">
      <c r="A30" s="262"/>
      <c r="B30" s="263" t="s">
        <v>44</v>
      </c>
      <c r="C30" s="263"/>
      <c r="D30" s="263"/>
      <c r="E30" s="263"/>
      <c r="F30" s="263"/>
      <c r="G30" s="263"/>
      <c r="H30" s="263"/>
      <c r="I30" s="263"/>
      <c r="J30" s="34">
        <f>J29</f>
        <v>53600</v>
      </c>
      <c r="K30" s="34">
        <f t="shared" ref="K30:N30" si="9">K29</f>
        <v>222833.98</v>
      </c>
      <c r="L30" s="34">
        <f t="shared" si="9"/>
        <v>187600</v>
      </c>
      <c r="M30" s="34">
        <f t="shared" si="9"/>
        <v>80400</v>
      </c>
      <c r="N30" s="34">
        <f t="shared" si="9"/>
        <v>544433.98</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412749.30200000003</v>
      </c>
      <c r="L31" s="34">
        <f>L24+L30</f>
        <v>347486.36300000001</v>
      </c>
      <c r="M31" s="34">
        <f>M24+M30</f>
        <v>148922.72700000001</v>
      </c>
      <c r="N31" s="34">
        <f>N24+N30</f>
        <v>1008440.21</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1992.07</v>
      </c>
      <c r="L47" s="34"/>
      <c r="M47" s="34"/>
      <c r="N47" s="34">
        <f>ROUND($L$3*P47,2)</f>
        <v>1992.07</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1868.2499999999964</v>
      </c>
      <c r="L48" s="34"/>
      <c r="M48" s="34"/>
      <c r="N48" s="34">
        <f>M3-SUM(N10,N21,N35)</f>
        <v>1868.2499999999964</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3860.3199999999961</v>
      </c>
      <c r="L49" s="34">
        <f>SUM(L45:L48)</f>
        <v>0</v>
      </c>
      <c r="M49" s="34">
        <f>SUM(M45:M48)</f>
        <v>0</v>
      </c>
      <c r="N49" s="34">
        <f>SUM(N45:N48)</f>
        <v>3860.3199999999961</v>
      </c>
      <c r="O49" s="8"/>
      <c r="P49" s="9"/>
    </row>
    <row r="50" spans="1:36" ht="21.95" customHeight="1" x14ac:dyDescent="0.2">
      <c r="A50" s="262"/>
      <c r="B50" s="261" t="s">
        <v>60</v>
      </c>
      <c r="C50" s="261"/>
      <c r="D50" s="261"/>
      <c r="E50" s="261"/>
      <c r="F50" s="261"/>
      <c r="G50" s="261"/>
      <c r="H50" s="261"/>
      <c r="I50" s="261"/>
      <c r="J50" s="34">
        <f>J49</f>
        <v>0</v>
      </c>
      <c r="K50" s="34">
        <f t="shared" ref="K50:N50" si="15">K49</f>
        <v>3860.3199999999961</v>
      </c>
      <c r="L50" s="34">
        <f t="shared" si="15"/>
        <v>0</v>
      </c>
      <c r="M50" s="34">
        <f t="shared" si="15"/>
        <v>0</v>
      </c>
      <c r="N50" s="34">
        <f t="shared" si="15"/>
        <v>3860.3199999999961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2337.37</v>
      </c>
      <c r="L53" s="34"/>
      <c r="M53" s="34"/>
      <c r="N53" s="34">
        <f>ROUND($L$4*P53,2)</f>
        <v>2337.37</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2192.0600000000013</v>
      </c>
      <c r="L54" s="34"/>
      <c r="M54" s="34"/>
      <c r="N54" s="34">
        <f>M4-SUM(N15,N27,N41)</f>
        <v>2192.0600000000013</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4529.4300000000012</v>
      </c>
      <c r="L55" s="34">
        <f>SUM(L51:L54)</f>
        <v>0</v>
      </c>
      <c r="M55" s="34">
        <f>SUM(M51:M54)</f>
        <v>0</v>
      </c>
      <c r="N55" s="34">
        <f>SUM(N51:N54)</f>
        <v>4529.4300000000012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4529.4300000000012</v>
      </c>
      <c r="L56" s="34">
        <f t="shared" si="17"/>
        <v>0</v>
      </c>
      <c r="M56" s="34">
        <f t="shared" si="17"/>
        <v>0</v>
      </c>
      <c r="N56" s="34">
        <f t="shared" si="17"/>
        <v>4529.4300000000012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8389.7499999999964</v>
      </c>
      <c r="L57" s="34">
        <f>L50+L56</f>
        <v>0</v>
      </c>
      <c r="M57" s="34">
        <f>M50+M56</f>
        <v>0</v>
      </c>
      <c r="N57" s="34">
        <f>N50+N56</f>
        <v>8389.7499999999964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94.64</v>
      </c>
      <c r="L59" s="34"/>
      <c r="M59" s="34"/>
      <c r="N59" s="34">
        <f>D3</f>
        <v>94.64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673.67</v>
      </c>
      <c r="L60" s="34"/>
      <c r="M60" s="34"/>
      <c r="N60" s="34">
        <f>E3</f>
        <v>673.67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976.23</v>
      </c>
      <c r="L61" s="34"/>
      <c r="M61" s="34"/>
      <c r="N61" s="34">
        <f>G3-SUM(N9,N20,N33,N46)</f>
        <v>976.23</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429.64</v>
      </c>
      <c r="L62" s="34"/>
      <c r="M62" s="34"/>
      <c r="N62" s="34">
        <f>H3</f>
        <v>429.64</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5532</v>
      </c>
      <c r="L63" s="34"/>
      <c r="M63" s="34"/>
      <c r="N63" s="34">
        <f>I3</f>
        <v>5532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325.23</v>
      </c>
      <c r="L64" s="34"/>
      <c r="M64" s="34"/>
      <c r="N64" s="34">
        <f>J3</f>
        <v>325.23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305.2</v>
      </c>
      <c r="L66" s="34"/>
      <c r="M66" s="34"/>
      <c r="N66" s="34">
        <f>K3</f>
        <v>305.2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8336.61</v>
      </c>
      <c r="L68" s="34">
        <f>SUM(L58:L67)</f>
        <v>0</v>
      </c>
      <c r="M68" s="34">
        <f>SUM(M58:M67)</f>
        <v>0</v>
      </c>
      <c r="N68" s="34">
        <f>SUM(N58:N67)</f>
        <v>8336.61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8336.61</v>
      </c>
      <c r="L69" s="34">
        <f t="shared" si="20"/>
        <v>0</v>
      </c>
      <c r="M69" s="34">
        <f t="shared" si="20"/>
        <v>0</v>
      </c>
      <c r="N69" s="34">
        <f t="shared" si="20"/>
        <v>8336.61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111.05</v>
      </c>
      <c r="L71" s="34"/>
      <c r="M71" s="34"/>
      <c r="N71" s="34">
        <f>D4</f>
        <v>111.05</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790.43</v>
      </c>
      <c r="L72" s="34"/>
      <c r="M72" s="34"/>
      <c r="N72" s="34">
        <f>E4</f>
        <v>790.43</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1145.44</v>
      </c>
      <c r="L73" s="34"/>
      <c r="M73" s="34"/>
      <c r="N73" s="34">
        <f>G4-SUM(N14,N26,N39,N52)</f>
        <v>1145.44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504.11</v>
      </c>
      <c r="L74" s="34"/>
      <c r="M74" s="34"/>
      <c r="N74" s="34">
        <f>H4</f>
        <v>504.11</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6490.89</v>
      </c>
      <c r="L75" s="34"/>
      <c r="M75" s="34"/>
      <c r="N75" s="34">
        <f>I4</f>
        <v>6490.89</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381.61</v>
      </c>
      <c r="L76" s="34"/>
      <c r="M76" s="34"/>
      <c r="N76" s="34">
        <f>J4</f>
        <v>381.61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358.1</v>
      </c>
      <c r="L78" s="34"/>
      <c r="M78" s="34"/>
      <c r="N78" s="34">
        <f>K4</f>
        <v>358.1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9781.630000000001</v>
      </c>
      <c r="L80" s="34">
        <f>SUM(L70:L79)</f>
        <v>0</v>
      </c>
      <c r="M80" s="34">
        <f>SUM(M70:M79)</f>
        <v>0</v>
      </c>
      <c r="N80" s="34">
        <f>SUM(N70:N79)</f>
        <v>9781.630000000001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9781.630000000001</v>
      </c>
      <c r="L81" s="34">
        <f t="shared" si="23"/>
        <v>0</v>
      </c>
      <c r="M81" s="34">
        <f t="shared" si="23"/>
        <v>0</v>
      </c>
      <c r="N81" s="34">
        <f t="shared" si="23"/>
        <v>9781.630000000001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18118.240000000002</v>
      </c>
      <c r="L82" s="34">
        <f>L69+L81</f>
        <v>0</v>
      </c>
      <c r="M82" s="34">
        <f>M69+M81</f>
        <v>0</v>
      </c>
      <c r="N82" s="34">
        <f>N69+N81</f>
        <v>18118.240000000002</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439257.29200000002</v>
      </c>
      <c r="L83" s="35">
        <f>L18+L31+L44+L57+L82</f>
        <v>347486.36300000001</v>
      </c>
      <c r="M83" s="35">
        <f>M18+M31+M44+M57+M82</f>
        <v>148922.72700000001</v>
      </c>
      <c r="N83" s="38">
        <f>N18+N31+N44+N57+N82</f>
        <v>1034948.2</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7A1E653-BF0B-4D3F-AEB7-8E56E0F64CF8}">
          <x14:formula1>
            <xm:f>'2026 COB breakdown_Kris'!$A$5:$A$103</xm:f>
          </x14:formula1>
          <xm:sqref>A3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52AD-EFB8-4B86-8661-7BD3903975F4}">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169</v>
      </c>
      <c r="B3" s="58" t="s">
        <v>158</v>
      </c>
      <c r="C3" s="59">
        <f>VLOOKUP($A3,COBTABLE,15, FALSE)</f>
        <v>4336.34</v>
      </c>
      <c r="D3" s="59">
        <f>VLOOKUP($A3,COBTABLE,16, FALSE)</f>
        <v>57.1</v>
      </c>
      <c r="E3" s="59">
        <f>VLOOKUP($A3,COBTABLE,17, FALSE)</f>
        <v>406.4</v>
      </c>
      <c r="F3" s="59">
        <f>VLOOKUP($A3,COBTABLE,18, FALSE)</f>
        <v>0</v>
      </c>
      <c r="G3" s="59">
        <f>VLOOKUP($A3,COBTABLE,19, FALSE)</f>
        <v>588.92999999999995</v>
      </c>
      <c r="H3" s="59">
        <f>VLOOKUP($A3,COBTABLE,20, FALSE)</f>
        <v>259.19</v>
      </c>
      <c r="I3" s="59">
        <f>VLOOKUP($A3,COBTABLE,21, FALSE)</f>
        <v>3337.3</v>
      </c>
      <c r="J3" s="59">
        <f>VLOOKUP($A3,COBTABLE,22, FALSE)</f>
        <v>196.2</v>
      </c>
      <c r="K3" s="59">
        <f>VLOOKUP($A3,COBTABLE,23, FALSE)</f>
        <v>184.12</v>
      </c>
      <c r="L3" s="59">
        <f>VLOOKUP($A3,COBTABLE,24, FALSE)</f>
        <v>1201.76</v>
      </c>
      <c r="M3" s="59">
        <f>VLOOKUP($A3,COBTABLE,25, FALSE)</f>
        <v>1127.0499999999975</v>
      </c>
      <c r="N3" s="60">
        <f>VLOOKUP($A3, countrygrant,2,FALSE)</f>
        <v>456818.18</v>
      </c>
      <c r="O3" s="92">
        <f>SUM(C3:N3)</f>
        <v>468512.57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4006.78</v>
      </c>
      <c r="D4" s="59">
        <f>VLOOKUP($A3,COBTABLE,28, FALSE)</f>
        <v>52.76</v>
      </c>
      <c r="E4" s="59">
        <f>VLOOKUP($A3,COBTABLE,29, FALSE)</f>
        <v>375.52</v>
      </c>
      <c r="F4" s="59">
        <f>VLOOKUP($A3,COBTABLE,30, FALSE)</f>
        <v>0</v>
      </c>
      <c r="G4" s="59">
        <f>VLOOKUP($A3,COBTABLE,31, FALSE)</f>
        <v>544.16999999999996</v>
      </c>
      <c r="H4" s="59">
        <f>VLOOKUP($A3,COBTABLE,32, FALSE)</f>
        <v>239.49</v>
      </c>
      <c r="I4" s="59">
        <f>VLOOKUP($A3,COBTABLE,33, FALSE)</f>
        <v>3083.66</v>
      </c>
      <c r="J4" s="59">
        <f>VLOOKUP($A3,COBTABLE,34, FALSE)</f>
        <v>181.29</v>
      </c>
      <c r="K4" s="59">
        <f>VLOOKUP($A3,COBTABLE,35, FALSE)</f>
        <v>170.12</v>
      </c>
      <c r="L4" s="59">
        <f>VLOOKUP($A3,COBTABLE,36, FALSE)</f>
        <v>1110.43</v>
      </c>
      <c r="M4" s="59">
        <f>VLOOKUP($A3,COBTABLE,37, FALSE)</f>
        <v>1041.3899999999976</v>
      </c>
      <c r="N4" s="60">
        <f>VLOOKUP($A3, countrygrant,3,FALSE)</f>
        <v>422100</v>
      </c>
      <c r="O4" s="92">
        <f t="shared" ref="O4" si="0">SUM(C4:N4)</f>
        <v>432905.61</v>
      </c>
      <c r="P4" s="28"/>
      <c r="Q4" s="28"/>
      <c r="R4" s="28"/>
      <c r="S4" s="28"/>
      <c r="T4" s="28"/>
      <c r="U4" s="28"/>
      <c r="V4" s="28"/>
      <c r="W4" s="28"/>
      <c r="X4" s="28"/>
      <c r="Y4" s="28"/>
      <c r="Z4" s="28"/>
      <c r="AA4" s="28"/>
      <c r="AB4" s="28"/>
      <c r="AC4" s="28"/>
    </row>
    <row r="5" spans="1:36" s="53" customFormat="1" ht="12" customHeight="1" x14ac:dyDescent="0.25">
      <c r="A5" s="278"/>
      <c r="B5" s="61" t="s">
        <v>156</v>
      </c>
      <c r="C5" s="62">
        <f>SUM(C3:C4)</f>
        <v>8343.1200000000008</v>
      </c>
      <c r="D5" s="62">
        <f t="shared" ref="D5:O5" si="1">SUM(D3:D4)</f>
        <v>109.86</v>
      </c>
      <c r="E5" s="62">
        <f t="shared" si="1"/>
        <v>781.92</v>
      </c>
      <c r="F5" s="62">
        <f t="shared" si="1"/>
        <v>0</v>
      </c>
      <c r="G5" s="62">
        <f t="shared" si="1"/>
        <v>1133.0999999999999</v>
      </c>
      <c r="H5" s="62">
        <f t="shared" si="1"/>
        <v>498.68</v>
      </c>
      <c r="I5" s="62">
        <f t="shared" si="1"/>
        <v>6420.96</v>
      </c>
      <c r="J5" s="62">
        <f t="shared" si="1"/>
        <v>377.49</v>
      </c>
      <c r="K5" s="62">
        <f t="shared" si="1"/>
        <v>354.24</v>
      </c>
      <c r="L5" s="62">
        <f t="shared" si="1"/>
        <v>2312.19</v>
      </c>
      <c r="M5" s="62">
        <f t="shared" si="1"/>
        <v>2168.4399999999951</v>
      </c>
      <c r="N5" s="62">
        <f t="shared" si="1"/>
        <v>878918.17999999993</v>
      </c>
      <c r="O5" s="62">
        <f t="shared" si="1"/>
        <v>901418.17999999993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4336.34</v>
      </c>
      <c r="L19" s="34"/>
      <c r="M19" s="34"/>
      <c r="N19" s="34">
        <f>ROUND($C$3*P19,2)</f>
        <v>4336.34</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187063.61199999999</v>
      </c>
      <c r="L23" s="34">
        <f>SUM(L19:L22)</f>
        <v>159886.36299999998</v>
      </c>
      <c r="M23" s="34">
        <f>SUM(M19:M22)</f>
        <v>68522.726999999999</v>
      </c>
      <c r="N23" s="34">
        <f>SUM(N19:N22)</f>
        <v>461154.52</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187063.61199999999</v>
      </c>
      <c r="L24" s="34">
        <f t="shared" si="7"/>
        <v>159886.36299999998</v>
      </c>
      <c r="M24" s="34">
        <f t="shared" si="7"/>
        <v>68522.726999999999</v>
      </c>
      <c r="N24" s="34">
        <f t="shared" si="7"/>
        <v>461154.52</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4006.78</v>
      </c>
      <c r="L25" s="34"/>
      <c r="M25" s="34"/>
      <c r="N25" s="34">
        <f>ROUND($C$4*P25,2)</f>
        <v>4006.78</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42210</v>
      </c>
      <c r="K28" s="34">
        <f>$N28*0.4</f>
        <v>168840</v>
      </c>
      <c r="L28" s="34">
        <f>$N28*0.35</f>
        <v>147735</v>
      </c>
      <c r="M28" s="34">
        <f>$N28*0.15</f>
        <v>63315</v>
      </c>
      <c r="N28" s="34">
        <f>N4</f>
        <v>422100</v>
      </c>
      <c r="O28" s="8"/>
      <c r="P28" s="9">
        <f>VLOOKUP(H28,starratio2,4,FALSE)</f>
        <v>0</v>
      </c>
    </row>
    <row r="29" spans="1:36" ht="21.95" customHeight="1" x14ac:dyDescent="0.2">
      <c r="A29" s="262"/>
      <c r="B29" s="262"/>
      <c r="C29" s="263" t="s">
        <v>31</v>
      </c>
      <c r="D29" s="263"/>
      <c r="E29" s="263"/>
      <c r="F29" s="263"/>
      <c r="G29" s="263"/>
      <c r="H29" s="263"/>
      <c r="I29" s="263"/>
      <c r="J29" s="34">
        <f>SUM(J25:J28)</f>
        <v>42210</v>
      </c>
      <c r="K29" s="34">
        <f>SUM(K25:K28)</f>
        <v>172846.78</v>
      </c>
      <c r="L29" s="34">
        <f>SUM(L25:L28)</f>
        <v>147735</v>
      </c>
      <c r="M29" s="34">
        <f>SUM(M25:M28)</f>
        <v>63315</v>
      </c>
      <c r="N29" s="34">
        <f>SUM(N25:N28)</f>
        <v>426106.78</v>
      </c>
      <c r="O29" s="8"/>
      <c r="P29" s="9"/>
    </row>
    <row r="30" spans="1:36" ht="21.95" customHeight="1" x14ac:dyDescent="0.2">
      <c r="A30" s="262"/>
      <c r="B30" s="263" t="s">
        <v>44</v>
      </c>
      <c r="C30" s="263"/>
      <c r="D30" s="263"/>
      <c r="E30" s="263"/>
      <c r="F30" s="263"/>
      <c r="G30" s="263"/>
      <c r="H30" s="263"/>
      <c r="I30" s="263"/>
      <c r="J30" s="34">
        <f>J29</f>
        <v>42210</v>
      </c>
      <c r="K30" s="34">
        <f t="shared" ref="K30:N30" si="9">K29</f>
        <v>172846.78</v>
      </c>
      <c r="L30" s="34">
        <f t="shared" si="9"/>
        <v>147735</v>
      </c>
      <c r="M30" s="34">
        <f t="shared" si="9"/>
        <v>63315</v>
      </c>
      <c r="N30" s="34">
        <f t="shared" si="9"/>
        <v>426106.78</v>
      </c>
      <c r="O30" s="8"/>
      <c r="Q30" s="10"/>
      <c r="Z30" s="11"/>
      <c r="AC30" s="12"/>
      <c r="AD30" s="13"/>
    </row>
    <row r="31" spans="1:36" ht="21.95" customHeight="1" x14ac:dyDescent="0.2">
      <c r="A31" s="261" t="s">
        <v>45</v>
      </c>
      <c r="B31" s="261"/>
      <c r="C31" s="261"/>
      <c r="D31" s="261"/>
      <c r="E31" s="261"/>
      <c r="F31" s="261"/>
      <c r="G31" s="261"/>
      <c r="H31" s="261"/>
      <c r="I31" s="261"/>
      <c r="J31" s="34">
        <f>J24+J30</f>
        <v>87891.817999999999</v>
      </c>
      <c r="K31" s="34">
        <f>K24+K30</f>
        <v>359910.39199999999</v>
      </c>
      <c r="L31" s="34">
        <f>L24+L30</f>
        <v>307621.36300000001</v>
      </c>
      <c r="M31" s="34">
        <f>M24+M30</f>
        <v>131837.72700000001</v>
      </c>
      <c r="N31" s="34">
        <f>N24+N30</f>
        <v>887261.3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1201.76</v>
      </c>
      <c r="L47" s="34"/>
      <c r="M47" s="34"/>
      <c r="N47" s="34">
        <f>ROUND($L$3*P47,2)</f>
        <v>1201.76</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1127.0499999999975</v>
      </c>
      <c r="L48" s="34"/>
      <c r="M48" s="34"/>
      <c r="N48" s="34">
        <f>M3-SUM(N10,N21,N35)</f>
        <v>1127.0499999999975</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2328.8099999999977</v>
      </c>
      <c r="L49" s="34">
        <f>SUM(L45:L48)</f>
        <v>0</v>
      </c>
      <c r="M49" s="34">
        <f>SUM(M45:M48)</f>
        <v>0</v>
      </c>
      <c r="N49" s="34">
        <f>SUM(N45:N48)</f>
        <v>2328.8099999999977</v>
      </c>
      <c r="O49" s="8"/>
      <c r="P49" s="9"/>
    </row>
    <row r="50" spans="1:36" ht="21.95" customHeight="1" x14ac:dyDescent="0.2">
      <c r="A50" s="262"/>
      <c r="B50" s="261" t="s">
        <v>60</v>
      </c>
      <c r="C50" s="261"/>
      <c r="D50" s="261"/>
      <c r="E50" s="261"/>
      <c r="F50" s="261"/>
      <c r="G50" s="261"/>
      <c r="H50" s="261"/>
      <c r="I50" s="261"/>
      <c r="J50" s="34">
        <f>J49</f>
        <v>0</v>
      </c>
      <c r="K50" s="34">
        <f t="shared" ref="K50:N50" si="15">K49</f>
        <v>2328.8099999999977</v>
      </c>
      <c r="L50" s="34">
        <f t="shared" si="15"/>
        <v>0</v>
      </c>
      <c r="M50" s="34">
        <f t="shared" si="15"/>
        <v>0</v>
      </c>
      <c r="N50" s="34">
        <f t="shared" si="15"/>
        <v>2328.8099999999977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1110.43</v>
      </c>
      <c r="L53" s="34"/>
      <c r="M53" s="34"/>
      <c r="N53" s="34">
        <f>ROUND($L$4*P53,2)</f>
        <v>1110.43</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1041.3899999999976</v>
      </c>
      <c r="L54" s="34"/>
      <c r="M54" s="34"/>
      <c r="N54" s="34">
        <f>M4-SUM(N15,N27,N41)</f>
        <v>1041.3899999999976</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2151.8199999999979</v>
      </c>
      <c r="L55" s="34">
        <f>SUM(L51:L54)</f>
        <v>0</v>
      </c>
      <c r="M55" s="34">
        <f>SUM(M51:M54)</f>
        <v>0</v>
      </c>
      <c r="N55" s="34">
        <f>SUM(N51:N54)</f>
        <v>2151.8199999999979</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2151.8199999999979</v>
      </c>
      <c r="L56" s="34">
        <f t="shared" si="17"/>
        <v>0</v>
      </c>
      <c r="M56" s="34">
        <f t="shared" si="17"/>
        <v>0</v>
      </c>
      <c r="N56" s="34">
        <f t="shared" si="17"/>
        <v>2151.8199999999979</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4480.6299999999956</v>
      </c>
      <c r="L57" s="34">
        <f>L50+L56</f>
        <v>0</v>
      </c>
      <c r="M57" s="34">
        <f>M50+M56</f>
        <v>0</v>
      </c>
      <c r="N57" s="34">
        <f>N50+N56</f>
        <v>4480.6299999999956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57.1</v>
      </c>
      <c r="L59" s="34"/>
      <c r="M59" s="34"/>
      <c r="N59" s="34">
        <f>D3</f>
        <v>57.1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406.4</v>
      </c>
      <c r="L60" s="34"/>
      <c r="M60" s="34"/>
      <c r="N60" s="34">
        <f>E3</f>
        <v>406.4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588.92999999999995</v>
      </c>
      <c r="L61" s="34"/>
      <c r="M61" s="34"/>
      <c r="N61" s="34">
        <f>G3-SUM(N9,N20,N33,N46)</f>
        <v>588.92999999999995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259.19</v>
      </c>
      <c r="L62" s="34"/>
      <c r="M62" s="34"/>
      <c r="N62" s="34">
        <f>H3</f>
        <v>259.19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3337.3</v>
      </c>
      <c r="L63" s="34"/>
      <c r="M63" s="34"/>
      <c r="N63" s="34">
        <f>I3</f>
        <v>3337.3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196.2</v>
      </c>
      <c r="L64" s="34"/>
      <c r="M64" s="34"/>
      <c r="N64" s="34">
        <f>J3</f>
        <v>196.2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184.12</v>
      </c>
      <c r="L66" s="34"/>
      <c r="M66" s="34"/>
      <c r="N66" s="34">
        <f>K3</f>
        <v>184.12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5029.24</v>
      </c>
      <c r="L68" s="34">
        <f>SUM(L58:L67)</f>
        <v>0</v>
      </c>
      <c r="M68" s="34">
        <f>SUM(M58:M67)</f>
        <v>0</v>
      </c>
      <c r="N68" s="34">
        <f>SUM(N58:N67)</f>
        <v>5029.24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5029.24</v>
      </c>
      <c r="L69" s="34">
        <f t="shared" si="20"/>
        <v>0</v>
      </c>
      <c r="M69" s="34">
        <f t="shared" si="20"/>
        <v>0</v>
      </c>
      <c r="N69" s="34">
        <f t="shared" si="20"/>
        <v>5029.24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52.76</v>
      </c>
      <c r="L71" s="34"/>
      <c r="M71" s="34"/>
      <c r="N71" s="34">
        <f>D4</f>
        <v>52.76</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375.52</v>
      </c>
      <c r="L72" s="34"/>
      <c r="M72" s="34"/>
      <c r="N72" s="34">
        <f>E4</f>
        <v>375.52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544.16999999999996</v>
      </c>
      <c r="L73" s="34"/>
      <c r="M73" s="34"/>
      <c r="N73" s="34">
        <f>G4-SUM(N14,N26,N39,N52)</f>
        <v>544.16999999999996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239.49</v>
      </c>
      <c r="L74" s="34"/>
      <c r="M74" s="34"/>
      <c r="N74" s="34">
        <f>H4</f>
        <v>239.49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3083.66</v>
      </c>
      <c r="L75" s="34"/>
      <c r="M75" s="34"/>
      <c r="N75" s="34">
        <f>I4</f>
        <v>3083.66</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181.29</v>
      </c>
      <c r="L76" s="34"/>
      <c r="M76" s="34"/>
      <c r="N76" s="34">
        <f>J4</f>
        <v>181.29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170.12</v>
      </c>
      <c r="L78" s="34"/>
      <c r="M78" s="34"/>
      <c r="N78" s="34">
        <f>K4</f>
        <v>170.12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4647.01</v>
      </c>
      <c r="L80" s="34">
        <f>SUM(L70:L79)</f>
        <v>0</v>
      </c>
      <c r="M80" s="34">
        <f>SUM(M70:M79)</f>
        <v>0</v>
      </c>
      <c r="N80" s="34">
        <f>SUM(N70:N79)</f>
        <v>4647.01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4647.01</v>
      </c>
      <c r="L81" s="34">
        <f t="shared" si="23"/>
        <v>0</v>
      </c>
      <c r="M81" s="34">
        <f t="shared" si="23"/>
        <v>0</v>
      </c>
      <c r="N81" s="34">
        <f t="shared" si="23"/>
        <v>4647.01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9676.25</v>
      </c>
      <c r="L82" s="34">
        <f>L69+L81</f>
        <v>0</v>
      </c>
      <c r="M82" s="34">
        <f>M69+M81</f>
        <v>0</v>
      </c>
      <c r="N82" s="34">
        <f>N69+N81</f>
        <v>9676.25</v>
      </c>
      <c r="O82" s="8"/>
      <c r="R82" s="14"/>
      <c r="Z82" s="15"/>
      <c r="AJ82" s="16"/>
    </row>
    <row r="83" spans="1:36" s="31" customFormat="1" ht="21.95" customHeight="1" x14ac:dyDescent="0.2">
      <c r="A83" s="275" t="s">
        <v>82</v>
      </c>
      <c r="B83" s="275"/>
      <c r="C83" s="275"/>
      <c r="D83" s="275"/>
      <c r="E83" s="275"/>
      <c r="F83" s="275"/>
      <c r="G83" s="275"/>
      <c r="H83" s="275"/>
      <c r="I83" s="275"/>
      <c r="J83" s="35">
        <f>J18+J31+J44+J57+J82</f>
        <v>87891.817999999999</v>
      </c>
      <c r="K83" s="35">
        <f>K18+K31+K44+K57+K82</f>
        <v>374067.272</v>
      </c>
      <c r="L83" s="35">
        <f>L18+L31+L44+L57+L82</f>
        <v>307621.36300000001</v>
      </c>
      <c r="M83" s="35">
        <f>M18+M31+M44+M57+M82</f>
        <v>131837.72700000001</v>
      </c>
      <c r="N83" s="38">
        <f>N18+N31+N44+N57+N82</f>
        <v>901418.18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3FC35D-9C78-44BA-A010-1C6A9CFADB3F}">
          <x14:formula1>
            <xm:f>'2026 COB breakdown_Kris'!$A$5:$A$103</xm:f>
          </x14:formula1>
          <xm:sqref>A3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0EEDB-7848-430D-AEB5-3937297D9D6E}">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170</v>
      </c>
      <c r="B3" s="58" t="s">
        <v>158</v>
      </c>
      <c r="C3" s="59">
        <f>VLOOKUP($A3,COBTABLE,15, FALSE)</f>
        <v>5433.26</v>
      </c>
      <c r="D3" s="59">
        <f>VLOOKUP($A3,COBTABLE,16, FALSE)</f>
        <v>71.540000000000006</v>
      </c>
      <c r="E3" s="59">
        <f>VLOOKUP($A3,COBTABLE,17, FALSE)</f>
        <v>509.21</v>
      </c>
      <c r="F3" s="59">
        <f>VLOOKUP($A3,COBTABLE,18, FALSE)</f>
        <v>0</v>
      </c>
      <c r="G3" s="59">
        <f>VLOOKUP($A3,COBTABLE,19, FALSE)</f>
        <v>737.91</v>
      </c>
      <c r="H3" s="59">
        <f>VLOOKUP($A3,COBTABLE,20, FALSE)</f>
        <v>324.75</v>
      </c>
      <c r="I3" s="59">
        <f>VLOOKUP($A3,COBTABLE,21, FALSE)</f>
        <v>4181.5</v>
      </c>
      <c r="J3" s="59">
        <f>VLOOKUP($A3,COBTABLE,22, FALSE)</f>
        <v>245.83</v>
      </c>
      <c r="K3" s="59">
        <f>VLOOKUP($A3,COBTABLE,23, FALSE)</f>
        <v>230.69</v>
      </c>
      <c r="L3" s="59">
        <f>VLOOKUP($A3,COBTABLE,24, FALSE)</f>
        <v>1505.76</v>
      </c>
      <c r="M3" s="59">
        <f>VLOOKUP($A3,COBTABLE,25, FALSE)</f>
        <v>1412.1499999999996</v>
      </c>
      <c r="N3" s="60">
        <f>VLOOKUP($A3, countrygrant,2,FALSE)</f>
        <v>456818.18</v>
      </c>
      <c r="O3" s="92">
        <f>SUM(C3:N3)</f>
        <v>471470.77999999997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5433.26</v>
      </c>
      <c r="D5" s="62">
        <f t="shared" ref="D5:O5" si="1">SUM(D3:D4)</f>
        <v>71.540000000000006</v>
      </c>
      <c r="E5" s="62">
        <f t="shared" si="1"/>
        <v>509.21</v>
      </c>
      <c r="F5" s="62">
        <f t="shared" si="1"/>
        <v>0</v>
      </c>
      <c r="G5" s="62">
        <f t="shared" si="1"/>
        <v>737.91</v>
      </c>
      <c r="H5" s="62">
        <f t="shared" si="1"/>
        <v>324.75</v>
      </c>
      <c r="I5" s="62">
        <f t="shared" si="1"/>
        <v>4181.5</v>
      </c>
      <c r="J5" s="62">
        <f t="shared" si="1"/>
        <v>245.83</v>
      </c>
      <c r="K5" s="62">
        <f t="shared" si="1"/>
        <v>230.69</v>
      </c>
      <c r="L5" s="62">
        <f t="shared" si="1"/>
        <v>1505.76</v>
      </c>
      <c r="M5" s="62">
        <f t="shared" si="1"/>
        <v>1412.1499999999996</v>
      </c>
      <c r="N5" s="62">
        <f t="shared" si="1"/>
        <v>456818.18</v>
      </c>
      <c r="O5" s="62">
        <f t="shared" si="1"/>
        <v>471470.77999999997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5433.26</v>
      </c>
      <c r="L19" s="34"/>
      <c r="M19" s="34"/>
      <c r="N19" s="34">
        <f>ROUND($C$3*P19,2)</f>
        <v>5433.26</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188160.53200000001</v>
      </c>
      <c r="L23" s="34">
        <f>SUM(L19:L22)</f>
        <v>159886.36299999998</v>
      </c>
      <c r="M23" s="34">
        <f>SUM(M19:M22)</f>
        <v>68522.726999999999</v>
      </c>
      <c r="N23" s="34">
        <f>SUM(N19:N22)</f>
        <v>462251.44</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188160.53200000001</v>
      </c>
      <c r="L24" s="34">
        <f t="shared" si="7"/>
        <v>159886.36299999998</v>
      </c>
      <c r="M24" s="34">
        <f t="shared" si="7"/>
        <v>68522.726999999999</v>
      </c>
      <c r="N24" s="34">
        <f t="shared" si="7"/>
        <v>462251.44</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VLOOKUP(H28,starratio2,4,FALSE)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188160.53200000001</v>
      </c>
      <c r="L31" s="34">
        <f>L24+L30</f>
        <v>159886.36299999998</v>
      </c>
      <c r="M31" s="34">
        <f>M24+M30</f>
        <v>68522.726999999999</v>
      </c>
      <c r="N31" s="34">
        <f>N24+N30</f>
        <v>462251.44</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1505.76</v>
      </c>
      <c r="L47" s="34"/>
      <c r="M47" s="34"/>
      <c r="N47" s="34">
        <f>ROUND($L$3*P47,2)</f>
        <v>1505.76</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1412.1499999999996</v>
      </c>
      <c r="L48" s="34"/>
      <c r="M48" s="34"/>
      <c r="N48" s="34">
        <f>M3-SUM(N10,N21,N35)</f>
        <v>1412.1499999999996</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2917.91</v>
      </c>
      <c r="L49" s="34">
        <f>SUM(L45:L48)</f>
        <v>0</v>
      </c>
      <c r="M49" s="34">
        <f>SUM(M45:M48)</f>
        <v>0</v>
      </c>
      <c r="N49" s="34">
        <f>SUM(N45:N48)</f>
        <v>2917.91</v>
      </c>
      <c r="O49" s="8"/>
      <c r="P49" s="9"/>
    </row>
    <row r="50" spans="1:36" ht="21.95" customHeight="1" x14ac:dyDescent="0.2">
      <c r="A50" s="262"/>
      <c r="B50" s="261" t="s">
        <v>60</v>
      </c>
      <c r="C50" s="261"/>
      <c r="D50" s="261"/>
      <c r="E50" s="261"/>
      <c r="F50" s="261"/>
      <c r="G50" s="261"/>
      <c r="H50" s="261"/>
      <c r="I50" s="261"/>
      <c r="J50" s="34">
        <f>J49</f>
        <v>0</v>
      </c>
      <c r="K50" s="34">
        <f t="shared" ref="K50:N50" si="15">K49</f>
        <v>2917.91</v>
      </c>
      <c r="L50" s="34">
        <f t="shared" si="15"/>
        <v>0</v>
      </c>
      <c r="M50" s="34">
        <f t="shared" si="15"/>
        <v>0</v>
      </c>
      <c r="N50" s="34">
        <f t="shared" si="15"/>
        <v>2917.91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2917.91</v>
      </c>
      <c r="L57" s="34">
        <f>L50+L56</f>
        <v>0</v>
      </c>
      <c r="M57" s="34">
        <f>M50+M56</f>
        <v>0</v>
      </c>
      <c r="N57" s="34">
        <f>N50+N56</f>
        <v>2917.91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71.540000000000006</v>
      </c>
      <c r="L59" s="34"/>
      <c r="M59" s="34"/>
      <c r="N59" s="34">
        <f>D3</f>
        <v>71.540000000000006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509.21</v>
      </c>
      <c r="L60" s="34"/>
      <c r="M60" s="34"/>
      <c r="N60" s="34">
        <f>E3</f>
        <v>509.21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737.91</v>
      </c>
      <c r="L61" s="34"/>
      <c r="M61" s="34"/>
      <c r="N61" s="34">
        <f>G3-SUM(N9,N20,N33,N46)</f>
        <v>737.91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324.75</v>
      </c>
      <c r="L62" s="34"/>
      <c r="M62" s="34"/>
      <c r="N62" s="34">
        <f>H3</f>
        <v>324.75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4181.5</v>
      </c>
      <c r="L63" s="34"/>
      <c r="M63" s="34"/>
      <c r="N63" s="34">
        <f>I3</f>
        <v>4181.5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245.83</v>
      </c>
      <c r="L64" s="34"/>
      <c r="M64" s="34"/>
      <c r="N64" s="34">
        <f>J3</f>
        <v>245.83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230.69</v>
      </c>
      <c r="L66" s="34"/>
      <c r="M66" s="34"/>
      <c r="N66" s="34">
        <f>K3</f>
        <v>230.69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6301.4299999999994</v>
      </c>
      <c r="L68" s="34">
        <f>SUM(L58:L67)</f>
        <v>0</v>
      </c>
      <c r="M68" s="34">
        <f>SUM(M58:M67)</f>
        <v>0</v>
      </c>
      <c r="N68" s="34">
        <f>SUM(N58:N67)</f>
        <v>6301.4299999999994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6301.4299999999994</v>
      </c>
      <c r="L69" s="34">
        <f t="shared" si="20"/>
        <v>0</v>
      </c>
      <c r="M69" s="34">
        <f t="shared" si="20"/>
        <v>0</v>
      </c>
      <c r="N69" s="34">
        <f t="shared" si="20"/>
        <v>6301.4299999999994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6301.4299999999994</v>
      </c>
      <c r="L82" s="34">
        <f>L69+L81</f>
        <v>0</v>
      </c>
      <c r="M82" s="34">
        <f>M69+M81</f>
        <v>0</v>
      </c>
      <c r="N82" s="34">
        <f>N69+N81</f>
        <v>6301.4299999999994</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197379.872</v>
      </c>
      <c r="L83" s="35">
        <f>L18+L31+L44+L57+L82</f>
        <v>159886.36299999998</v>
      </c>
      <c r="M83" s="35">
        <f>M18+M31+M44+M57+M82</f>
        <v>68522.726999999999</v>
      </c>
      <c r="N83" s="38">
        <f>N18+N31+N44+N57+N82</f>
        <v>471470.77999999997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3043462-C9F9-4CD7-9FDA-3D27B8026FF0}">
          <x14:formula1>
            <xm:f>'2026 COB breakdown_Kris'!$A$5:$A$103</xm:f>
          </x14:formula1>
          <xm:sqref>A3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F97F-4838-490F-908F-FF872808860D}">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171</v>
      </c>
      <c r="B3" s="58" t="s">
        <v>158</v>
      </c>
      <c r="C3" s="59">
        <f>VLOOKUP($A3,COBTABLE,15, FALSE)</f>
        <v>12514.67</v>
      </c>
      <c r="D3" s="59">
        <f>VLOOKUP($A3,COBTABLE,16, FALSE)</f>
        <v>164.78</v>
      </c>
      <c r="E3" s="59">
        <f>VLOOKUP($A3,COBTABLE,17, FALSE)</f>
        <v>1172.8800000000001</v>
      </c>
      <c r="F3" s="59">
        <f>VLOOKUP($A3,COBTABLE,18, FALSE)</f>
        <v>0</v>
      </c>
      <c r="G3" s="59">
        <f>VLOOKUP($A3,COBTABLE,19, FALSE)</f>
        <v>1699.66</v>
      </c>
      <c r="H3" s="59">
        <f>VLOOKUP($A3,COBTABLE,20, FALSE)</f>
        <v>748.02</v>
      </c>
      <c r="I3" s="59">
        <f>VLOOKUP($A3,COBTABLE,21, FALSE)</f>
        <v>9631.43</v>
      </c>
      <c r="J3" s="59">
        <f>VLOOKUP($A3,COBTABLE,22, FALSE)</f>
        <v>566.24</v>
      </c>
      <c r="K3" s="59">
        <f>VLOOKUP($A3,COBTABLE,23, FALSE)</f>
        <v>531.36</v>
      </c>
      <c r="L3" s="59">
        <f>VLOOKUP($A3,COBTABLE,24, FALSE)</f>
        <v>3468.28</v>
      </c>
      <c r="M3" s="59">
        <f>VLOOKUP($A3,COBTABLE,25, FALSE)</f>
        <v>3252.6799999999967</v>
      </c>
      <c r="N3" s="60">
        <f>VLOOKUP($A3, countrygrant,2,FALSE)</f>
        <v>456818.18</v>
      </c>
      <c r="O3" s="92">
        <f>SUM(C3:N3)</f>
        <v>490568.18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12514.67</v>
      </c>
      <c r="D5" s="62">
        <f t="shared" ref="D5:O5" si="1">SUM(D3:D4)</f>
        <v>164.78</v>
      </c>
      <c r="E5" s="62">
        <f t="shared" si="1"/>
        <v>1172.8800000000001</v>
      </c>
      <c r="F5" s="62">
        <f t="shared" si="1"/>
        <v>0</v>
      </c>
      <c r="G5" s="62">
        <f t="shared" si="1"/>
        <v>1699.66</v>
      </c>
      <c r="H5" s="62">
        <f t="shared" si="1"/>
        <v>748.02</v>
      </c>
      <c r="I5" s="62">
        <f t="shared" si="1"/>
        <v>9631.43</v>
      </c>
      <c r="J5" s="62">
        <f t="shared" si="1"/>
        <v>566.24</v>
      </c>
      <c r="K5" s="62">
        <f t="shared" si="1"/>
        <v>531.36</v>
      </c>
      <c r="L5" s="62">
        <f t="shared" si="1"/>
        <v>3468.28</v>
      </c>
      <c r="M5" s="62">
        <f t="shared" si="1"/>
        <v>3252.6799999999967</v>
      </c>
      <c r="N5" s="62">
        <f t="shared" si="1"/>
        <v>456818.18</v>
      </c>
      <c r="O5" s="62">
        <f t="shared" si="1"/>
        <v>490568.18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12514.67</v>
      </c>
      <c r="L19" s="34"/>
      <c r="M19" s="34"/>
      <c r="N19" s="34">
        <f>ROUND($C$3*P19,2)</f>
        <v>12514.67</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195241.94200000001</v>
      </c>
      <c r="L23" s="34">
        <f>SUM(L19:L22)</f>
        <v>159886.36299999998</v>
      </c>
      <c r="M23" s="34">
        <f>SUM(M19:M22)</f>
        <v>68522.726999999999</v>
      </c>
      <c r="N23" s="34">
        <f>SUM(N19:N22)</f>
        <v>469332.85</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195241.94200000001</v>
      </c>
      <c r="L24" s="34">
        <f t="shared" si="7"/>
        <v>159886.36299999998</v>
      </c>
      <c r="M24" s="34">
        <f t="shared" si="7"/>
        <v>68522.726999999999</v>
      </c>
      <c r="N24" s="34">
        <f t="shared" si="7"/>
        <v>469332.85</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VLOOKUP(H28,starratio2,4,FALSE)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195241.94200000001</v>
      </c>
      <c r="L31" s="34">
        <f>L24+L30</f>
        <v>159886.36299999998</v>
      </c>
      <c r="M31" s="34">
        <f>M24+M30</f>
        <v>68522.726999999999</v>
      </c>
      <c r="N31" s="34">
        <f>N24+N30</f>
        <v>469332.85</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3468.28</v>
      </c>
      <c r="L47" s="34"/>
      <c r="M47" s="34"/>
      <c r="N47" s="34">
        <f>ROUND($L$3*P47,2)</f>
        <v>3468.28</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3252.6799999999967</v>
      </c>
      <c r="L48" s="34"/>
      <c r="M48" s="34"/>
      <c r="N48" s="34">
        <f>M3-SUM(N10,N21,N35)</f>
        <v>3252.6799999999967</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6720.9599999999973</v>
      </c>
      <c r="L49" s="34">
        <f>SUM(L45:L48)</f>
        <v>0</v>
      </c>
      <c r="M49" s="34">
        <f>SUM(M45:M48)</f>
        <v>0</v>
      </c>
      <c r="N49" s="34">
        <f>SUM(N45:N48)</f>
        <v>6720.9599999999973</v>
      </c>
      <c r="O49" s="8"/>
      <c r="P49" s="9"/>
    </row>
    <row r="50" spans="1:36" ht="21.95" customHeight="1" x14ac:dyDescent="0.2">
      <c r="A50" s="262"/>
      <c r="B50" s="261" t="s">
        <v>60</v>
      </c>
      <c r="C50" s="261"/>
      <c r="D50" s="261"/>
      <c r="E50" s="261"/>
      <c r="F50" s="261"/>
      <c r="G50" s="261"/>
      <c r="H50" s="261"/>
      <c r="I50" s="261"/>
      <c r="J50" s="34">
        <f>J49</f>
        <v>0</v>
      </c>
      <c r="K50" s="34">
        <f t="shared" ref="K50:N50" si="15">K49</f>
        <v>6720.9599999999973</v>
      </c>
      <c r="L50" s="34">
        <f t="shared" si="15"/>
        <v>0</v>
      </c>
      <c r="M50" s="34">
        <f t="shared" si="15"/>
        <v>0</v>
      </c>
      <c r="N50" s="34">
        <f t="shared" si="15"/>
        <v>6720.9599999999973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6720.9599999999973</v>
      </c>
      <c r="L57" s="34">
        <f>L50+L56</f>
        <v>0</v>
      </c>
      <c r="M57" s="34">
        <f>M50+M56</f>
        <v>0</v>
      </c>
      <c r="N57" s="34">
        <f>N50+N56</f>
        <v>6720.9599999999973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164.78</v>
      </c>
      <c r="L59" s="34"/>
      <c r="M59" s="34"/>
      <c r="N59" s="34">
        <f>D3</f>
        <v>164.78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1172.8800000000001</v>
      </c>
      <c r="L60" s="34"/>
      <c r="M60" s="34"/>
      <c r="N60" s="34">
        <f>E3</f>
        <v>1172.8800000000001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1699.66</v>
      </c>
      <c r="L61" s="34"/>
      <c r="M61" s="34"/>
      <c r="N61" s="34">
        <f>G3-SUM(N9,N20,N33,N46)</f>
        <v>1699.66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748.02</v>
      </c>
      <c r="L62" s="34"/>
      <c r="M62" s="34"/>
      <c r="N62" s="34">
        <f>H3</f>
        <v>748.02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9631.43</v>
      </c>
      <c r="L63" s="34"/>
      <c r="M63" s="34"/>
      <c r="N63" s="34">
        <f>I3</f>
        <v>9631.43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566.24</v>
      </c>
      <c r="L64" s="34"/>
      <c r="M64" s="34"/>
      <c r="N64" s="34">
        <f>J3</f>
        <v>566.24</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531.36</v>
      </c>
      <c r="L66" s="34"/>
      <c r="M66" s="34"/>
      <c r="N66" s="34">
        <f>K3</f>
        <v>531.36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14514.37</v>
      </c>
      <c r="L68" s="34">
        <f>SUM(L58:L67)</f>
        <v>0</v>
      </c>
      <c r="M68" s="34">
        <f>SUM(M58:M67)</f>
        <v>0</v>
      </c>
      <c r="N68" s="34">
        <f>SUM(N58:N67)</f>
        <v>14514.37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14514.37</v>
      </c>
      <c r="L69" s="34">
        <f t="shared" si="20"/>
        <v>0</v>
      </c>
      <c r="M69" s="34">
        <f t="shared" si="20"/>
        <v>0</v>
      </c>
      <c r="N69" s="34">
        <f t="shared" si="20"/>
        <v>14514.37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14514.37</v>
      </c>
      <c r="L82" s="34">
        <f>L69+L81</f>
        <v>0</v>
      </c>
      <c r="M82" s="34">
        <f>M69+M81</f>
        <v>0</v>
      </c>
      <c r="N82" s="34">
        <f>N69+N81</f>
        <v>14514.37</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216477.272</v>
      </c>
      <c r="L83" s="35">
        <f>L18+L31+L44+L57+L82</f>
        <v>159886.36299999998</v>
      </c>
      <c r="M83" s="35">
        <f>M18+M31+M44+M57+M82</f>
        <v>68522.726999999999</v>
      </c>
      <c r="N83" s="38">
        <f>N18+N31+N44+N57+N82</f>
        <v>490568.18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7F32FDC-80D9-474B-92B0-01F3BAC5FC47}">
          <x14:formula1>
            <xm:f>'2026 COB breakdown_Kris'!$A$5:$A$103</xm:f>
          </x14:formula1>
          <xm:sqref>A3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A00F-9305-4F39-8863-205B64027A05}">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172</v>
      </c>
      <c r="B3" s="58" t="s">
        <v>158</v>
      </c>
      <c r="C3" s="59">
        <f>VLOOKUP($A3,COBTABLE,15, FALSE)</f>
        <v>4172.71</v>
      </c>
      <c r="D3" s="59">
        <f>VLOOKUP($A3,COBTABLE,16, FALSE)</f>
        <v>54.94</v>
      </c>
      <c r="E3" s="59">
        <f>VLOOKUP($A3,COBTABLE,17, FALSE)</f>
        <v>391.07</v>
      </c>
      <c r="F3" s="59">
        <f>VLOOKUP($A3,COBTABLE,18, FALSE)</f>
        <v>0</v>
      </c>
      <c r="G3" s="59">
        <f>VLOOKUP($A3,COBTABLE,19, FALSE)</f>
        <v>566.71</v>
      </c>
      <c r="H3" s="59">
        <f>VLOOKUP($A3,COBTABLE,20, FALSE)</f>
        <v>249.41</v>
      </c>
      <c r="I3" s="59">
        <f>VLOOKUP($A3,COBTABLE,21, FALSE)</f>
        <v>3211.36</v>
      </c>
      <c r="J3" s="59">
        <f>VLOOKUP($A3,COBTABLE,22, FALSE)</f>
        <v>188.8</v>
      </c>
      <c r="K3" s="59">
        <f>VLOOKUP($A3,COBTABLE,23, FALSE)</f>
        <v>177.17</v>
      </c>
      <c r="L3" s="59">
        <f>VLOOKUP($A3,COBTABLE,24, FALSE)</f>
        <v>1156.4100000000001</v>
      </c>
      <c r="M3" s="59">
        <f>VLOOKUP($A3,COBTABLE,25, FALSE)</f>
        <v>1084.5300000000025</v>
      </c>
      <c r="N3" s="60">
        <f>VLOOKUP($A3, countrygrant,2,FALSE)</f>
        <v>456818.18</v>
      </c>
      <c r="O3" s="92">
        <f>SUM(C3:N3)</f>
        <v>468071.29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8407.9699999999993</v>
      </c>
      <c r="D4" s="59">
        <f>VLOOKUP($A3,COBTABLE,28, FALSE)</f>
        <v>110.71</v>
      </c>
      <c r="E4" s="59">
        <f>VLOOKUP($A3,COBTABLE,29, FALSE)</f>
        <v>788</v>
      </c>
      <c r="F4" s="59">
        <f>VLOOKUP($A3,COBTABLE,30, FALSE)</f>
        <v>0</v>
      </c>
      <c r="G4" s="59">
        <f>VLOOKUP($A3,COBTABLE,31, FALSE)</f>
        <v>1141.9100000000001</v>
      </c>
      <c r="H4" s="59">
        <f>VLOOKUP($A3,COBTABLE,32, FALSE)</f>
        <v>502.56</v>
      </c>
      <c r="I4" s="59">
        <f>VLOOKUP($A3,COBTABLE,33, FALSE)</f>
        <v>6470.87</v>
      </c>
      <c r="J4" s="59">
        <f>VLOOKUP($A3,COBTABLE,34, FALSE)</f>
        <v>380.43</v>
      </c>
      <c r="K4" s="59">
        <f>VLOOKUP($A3,COBTABLE,35, FALSE)</f>
        <v>356.99</v>
      </c>
      <c r="L4" s="59">
        <f>VLOOKUP($A3,COBTABLE,36, FALSE)</f>
        <v>2330.16</v>
      </c>
      <c r="M4" s="59">
        <f>VLOOKUP($A3,COBTABLE,37, FALSE)</f>
        <v>2185.3000000000029</v>
      </c>
      <c r="N4" s="60">
        <f>VLOOKUP($A3, countrygrant,3,FALSE)</f>
        <v>920484.19</v>
      </c>
      <c r="O4" s="92">
        <f t="shared" ref="O4" si="0">SUM(C4:N4)</f>
        <v>943159.09</v>
      </c>
      <c r="P4" s="28"/>
      <c r="Q4" s="28"/>
      <c r="R4" s="28"/>
      <c r="S4" s="28"/>
      <c r="T4" s="28"/>
      <c r="U4" s="28"/>
      <c r="V4" s="28"/>
      <c r="W4" s="28"/>
      <c r="X4" s="28"/>
      <c r="Y4" s="28"/>
      <c r="Z4" s="28"/>
      <c r="AA4" s="28"/>
      <c r="AB4" s="28"/>
      <c r="AC4" s="28"/>
    </row>
    <row r="5" spans="1:36" s="53" customFormat="1" ht="12" customHeight="1" x14ac:dyDescent="0.25">
      <c r="A5" s="278"/>
      <c r="B5" s="61" t="s">
        <v>156</v>
      </c>
      <c r="C5" s="62">
        <f>SUM(C3:C4)</f>
        <v>12580.68</v>
      </c>
      <c r="D5" s="62">
        <f t="shared" ref="D5:O5" si="1">SUM(D3:D4)</f>
        <v>165.64999999999998</v>
      </c>
      <c r="E5" s="62">
        <f t="shared" si="1"/>
        <v>1179.07</v>
      </c>
      <c r="F5" s="62">
        <f t="shared" si="1"/>
        <v>0</v>
      </c>
      <c r="G5" s="62">
        <f t="shared" si="1"/>
        <v>1708.6200000000001</v>
      </c>
      <c r="H5" s="62">
        <f t="shared" si="1"/>
        <v>751.97</v>
      </c>
      <c r="I5" s="62">
        <f t="shared" si="1"/>
        <v>9682.23</v>
      </c>
      <c r="J5" s="62">
        <f t="shared" si="1"/>
        <v>569.23</v>
      </c>
      <c r="K5" s="62">
        <f t="shared" si="1"/>
        <v>534.16</v>
      </c>
      <c r="L5" s="62">
        <f t="shared" si="1"/>
        <v>3486.5699999999997</v>
      </c>
      <c r="M5" s="62">
        <f t="shared" si="1"/>
        <v>3269.8300000000054</v>
      </c>
      <c r="N5" s="62">
        <f t="shared" si="1"/>
        <v>1377302.3699999999</v>
      </c>
      <c r="O5" s="62">
        <f t="shared" si="1"/>
        <v>1411230.38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4172.71</v>
      </c>
      <c r="L19" s="34"/>
      <c r="M19" s="34"/>
      <c r="N19" s="34">
        <f>ROUND($C$3*P19,2)</f>
        <v>4172.71</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186899.98199999999</v>
      </c>
      <c r="L23" s="34">
        <f>SUM(L19:L22)</f>
        <v>159886.36299999998</v>
      </c>
      <c r="M23" s="34">
        <f>SUM(M19:M22)</f>
        <v>68522.726999999999</v>
      </c>
      <c r="N23" s="34">
        <f>SUM(N19:N22)</f>
        <v>460990.89</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186899.98199999999</v>
      </c>
      <c r="L24" s="34">
        <f t="shared" si="7"/>
        <v>159886.36299999998</v>
      </c>
      <c r="M24" s="34">
        <f t="shared" si="7"/>
        <v>68522.726999999999</v>
      </c>
      <c r="N24" s="34">
        <f t="shared" si="7"/>
        <v>460990.89</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8407.9699999999993</v>
      </c>
      <c r="L25" s="34"/>
      <c r="M25" s="34"/>
      <c r="N25" s="34">
        <f>ROUND($C$4*P25,2)</f>
        <v>8407.9699999999993</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92048.418999999994</v>
      </c>
      <c r="K28" s="34">
        <f>$N28*0.4</f>
        <v>368193.67599999998</v>
      </c>
      <c r="L28" s="34">
        <f>$N28*0.35</f>
        <v>322169.46649999998</v>
      </c>
      <c r="M28" s="34">
        <f>$N28*0.15</f>
        <v>138072.62849999999</v>
      </c>
      <c r="N28" s="34">
        <f>N4</f>
        <v>920484.19</v>
      </c>
      <c r="O28" s="8"/>
      <c r="P28" s="9">
        <f>VLOOKUP(H28,starratio2,4,FALSE)</f>
        <v>0</v>
      </c>
    </row>
    <row r="29" spans="1:36" ht="21.95" customHeight="1" x14ac:dyDescent="0.2">
      <c r="A29" s="262"/>
      <c r="B29" s="262"/>
      <c r="C29" s="263" t="s">
        <v>31</v>
      </c>
      <c r="D29" s="263"/>
      <c r="E29" s="263"/>
      <c r="F29" s="263"/>
      <c r="G29" s="263"/>
      <c r="H29" s="263"/>
      <c r="I29" s="263"/>
      <c r="J29" s="34">
        <f>SUM(J25:J28)</f>
        <v>92048.418999999994</v>
      </c>
      <c r="K29" s="34">
        <f>SUM(K25:K28)</f>
        <v>376601.64599999995</v>
      </c>
      <c r="L29" s="34">
        <f>SUM(L25:L28)</f>
        <v>322169.46649999998</v>
      </c>
      <c r="M29" s="34">
        <f>SUM(M25:M28)</f>
        <v>138072.62849999999</v>
      </c>
      <c r="N29" s="34">
        <f>SUM(N25:N28)</f>
        <v>928892.15999999992</v>
      </c>
      <c r="O29" s="8"/>
      <c r="P29" s="9"/>
    </row>
    <row r="30" spans="1:36" ht="21.95" customHeight="1" x14ac:dyDescent="0.2">
      <c r="A30" s="262"/>
      <c r="B30" s="263" t="s">
        <v>44</v>
      </c>
      <c r="C30" s="263"/>
      <c r="D30" s="263"/>
      <c r="E30" s="263"/>
      <c r="F30" s="263"/>
      <c r="G30" s="263"/>
      <c r="H30" s="263"/>
      <c r="I30" s="263"/>
      <c r="J30" s="34">
        <f>J29</f>
        <v>92048.418999999994</v>
      </c>
      <c r="K30" s="34">
        <f t="shared" ref="K30:N30" si="9">K29</f>
        <v>376601.64599999995</v>
      </c>
      <c r="L30" s="34">
        <f t="shared" si="9"/>
        <v>322169.46649999998</v>
      </c>
      <c r="M30" s="34">
        <f t="shared" si="9"/>
        <v>138072.62849999999</v>
      </c>
      <c r="N30" s="34">
        <f t="shared" si="9"/>
        <v>928892.15999999992</v>
      </c>
      <c r="O30" s="8"/>
      <c r="Q30" s="10"/>
      <c r="Z30" s="11"/>
      <c r="AC30" s="12"/>
      <c r="AD30" s="13"/>
    </row>
    <row r="31" spans="1:36" ht="21.95" customHeight="1" x14ac:dyDescent="0.2">
      <c r="A31" s="261" t="s">
        <v>45</v>
      </c>
      <c r="B31" s="261"/>
      <c r="C31" s="261"/>
      <c r="D31" s="261"/>
      <c r="E31" s="261"/>
      <c r="F31" s="261"/>
      <c r="G31" s="261"/>
      <c r="H31" s="261"/>
      <c r="I31" s="261"/>
      <c r="J31" s="34">
        <f>J24+J30</f>
        <v>137730.23699999999</v>
      </c>
      <c r="K31" s="34">
        <f>K24+K30</f>
        <v>563501.62799999991</v>
      </c>
      <c r="L31" s="34">
        <f>L24+L30</f>
        <v>482055.82949999999</v>
      </c>
      <c r="M31" s="34">
        <f>M24+M30</f>
        <v>206595.35550000001</v>
      </c>
      <c r="N31" s="34">
        <f>N24+N30</f>
        <v>1389883.0499999998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1156.4100000000001</v>
      </c>
      <c r="L47" s="34"/>
      <c r="M47" s="34"/>
      <c r="N47" s="34">
        <f>ROUND($L$3*P47,2)</f>
        <v>1156.4100000000001</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1084.5300000000025</v>
      </c>
      <c r="L48" s="34"/>
      <c r="M48" s="34"/>
      <c r="N48" s="34">
        <f>M3-SUM(N10,N21,N35)</f>
        <v>1084.5300000000025</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2240.9400000000023</v>
      </c>
      <c r="L49" s="34">
        <f>SUM(L45:L48)</f>
        <v>0</v>
      </c>
      <c r="M49" s="34">
        <f>SUM(M45:M48)</f>
        <v>0</v>
      </c>
      <c r="N49" s="34">
        <f>SUM(N45:N48)</f>
        <v>2240.9400000000023</v>
      </c>
      <c r="O49" s="8"/>
      <c r="P49" s="9"/>
    </row>
    <row r="50" spans="1:36" ht="21.95" customHeight="1" x14ac:dyDescent="0.2">
      <c r="A50" s="262"/>
      <c r="B50" s="261" t="s">
        <v>60</v>
      </c>
      <c r="C50" s="261"/>
      <c r="D50" s="261"/>
      <c r="E50" s="261"/>
      <c r="F50" s="261"/>
      <c r="G50" s="261"/>
      <c r="H50" s="261"/>
      <c r="I50" s="261"/>
      <c r="J50" s="34">
        <f>J49</f>
        <v>0</v>
      </c>
      <c r="K50" s="34">
        <f t="shared" ref="K50:N50" si="15">K49</f>
        <v>2240.9400000000023</v>
      </c>
      <c r="L50" s="34">
        <f t="shared" si="15"/>
        <v>0</v>
      </c>
      <c r="M50" s="34">
        <f t="shared" si="15"/>
        <v>0</v>
      </c>
      <c r="N50" s="34">
        <f t="shared" si="15"/>
        <v>2240.9400000000023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2330.16</v>
      </c>
      <c r="L53" s="34"/>
      <c r="M53" s="34"/>
      <c r="N53" s="34">
        <f>ROUND($L$4*P53,2)</f>
        <v>2330.16</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2185.3000000000029</v>
      </c>
      <c r="L54" s="34"/>
      <c r="M54" s="34"/>
      <c r="N54" s="34">
        <f>M4-SUM(N15,N27,N41)</f>
        <v>2185.3000000000029</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4515.4600000000028</v>
      </c>
      <c r="L55" s="34">
        <f>SUM(L51:L54)</f>
        <v>0</v>
      </c>
      <c r="M55" s="34">
        <f>SUM(M51:M54)</f>
        <v>0</v>
      </c>
      <c r="N55" s="34">
        <f>SUM(N51:N54)</f>
        <v>4515.4600000000028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4515.4600000000028</v>
      </c>
      <c r="L56" s="34">
        <f t="shared" si="17"/>
        <v>0</v>
      </c>
      <c r="M56" s="34">
        <f t="shared" si="17"/>
        <v>0</v>
      </c>
      <c r="N56" s="34">
        <f t="shared" si="17"/>
        <v>4515.4600000000028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6756.4000000000051</v>
      </c>
      <c r="L57" s="34">
        <f>L50+L56</f>
        <v>0</v>
      </c>
      <c r="M57" s="34">
        <f>M50+M56</f>
        <v>0</v>
      </c>
      <c r="N57" s="34">
        <f>N50+N56</f>
        <v>6756.4000000000051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54.94</v>
      </c>
      <c r="L59" s="34"/>
      <c r="M59" s="34"/>
      <c r="N59" s="34">
        <f>D3</f>
        <v>54.94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391.07</v>
      </c>
      <c r="L60" s="34"/>
      <c r="M60" s="34"/>
      <c r="N60" s="34">
        <f>E3</f>
        <v>391.07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566.71</v>
      </c>
      <c r="L61" s="34"/>
      <c r="M61" s="34"/>
      <c r="N61" s="34">
        <f>G3-SUM(N9,N20,N33,N46)</f>
        <v>566.71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249.41</v>
      </c>
      <c r="L62" s="34"/>
      <c r="M62" s="34"/>
      <c r="N62" s="34">
        <f>H3</f>
        <v>249.41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3211.36</v>
      </c>
      <c r="L63" s="34"/>
      <c r="M63" s="34"/>
      <c r="N63" s="34">
        <f>I3</f>
        <v>3211.36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188.8</v>
      </c>
      <c r="L64" s="34"/>
      <c r="M64" s="34"/>
      <c r="N64" s="34">
        <f>J3</f>
        <v>188.8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177.17</v>
      </c>
      <c r="L66" s="34"/>
      <c r="M66" s="34"/>
      <c r="N66" s="34">
        <f>K3</f>
        <v>177.17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4839.46</v>
      </c>
      <c r="L68" s="34">
        <f>SUM(L58:L67)</f>
        <v>0</v>
      </c>
      <c r="M68" s="34">
        <f>SUM(M58:M67)</f>
        <v>0</v>
      </c>
      <c r="N68" s="34">
        <f>SUM(N58:N67)</f>
        <v>4839.46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4839.46</v>
      </c>
      <c r="L69" s="34">
        <f t="shared" si="20"/>
        <v>0</v>
      </c>
      <c r="M69" s="34">
        <f t="shared" si="20"/>
        <v>0</v>
      </c>
      <c r="N69" s="34">
        <f t="shared" si="20"/>
        <v>4839.46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110.71</v>
      </c>
      <c r="L71" s="34"/>
      <c r="M71" s="34"/>
      <c r="N71" s="34">
        <f>D4</f>
        <v>110.71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788</v>
      </c>
      <c r="L72" s="34"/>
      <c r="M72" s="34"/>
      <c r="N72" s="34">
        <f>E4</f>
        <v>788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1141.9100000000001</v>
      </c>
      <c r="L73" s="34"/>
      <c r="M73" s="34"/>
      <c r="N73" s="34">
        <f>G4-SUM(N14,N26,N39,N52)</f>
        <v>1141.9100000000001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502.56</v>
      </c>
      <c r="L74" s="34"/>
      <c r="M74" s="34"/>
      <c r="N74" s="34">
        <f>H4</f>
        <v>502.56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6470.87</v>
      </c>
      <c r="L75" s="34"/>
      <c r="M75" s="34"/>
      <c r="N75" s="34">
        <f>I4</f>
        <v>6470.87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380.43</v>
      </c>
      <c r="L76" s="34"/>
      <c r="M76" s="34"/>
      <c r="N76" s="34">
        <f>J4</f>
        <v>380.43</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356.99</v>
      </c>
      <c r="L78" s="34"/>
      <c r="M78" s="34"/>
      <c r="N78" s="34">
        <f>K4</f>
        <v>356.99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9751.4699999999993</v>
      </c>
      <c r="L80" s="34">
        <f>SUM(L70:L79)</f>
        <v>0</v>
      </c>
      <c r="M80" s="34">
        <f>SUM(M70:M79)</f>
        <v>0</v>
      </c>
      <c r="N80" s="34">
        <f>SUM(N70:N79)</f>
        <v>9751.4699999999993</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9751.4699999999993</v>
      </c>
      <c r="L81" s="34">
        <f t="shared" si="23"/>
        <v>0</v>
      </c>
      <c r="M81" s="34">
        <f t="shared" si="23"/>
        <v>0</v>
      </c>
      <c r="N81" s="34">
        <f t="shared" si="23"/>
        <v>9751.4699999999993</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14590.93</v>
      </c>
      <c r="L82" s="34">
        <f>L69+L81</f>
        <v>0</v>
      </c>
      <c r="M82" s="34">
        <f>M69+M81</f>
        <v>0</v>
      </c>
      <c r="N82" s="34">
        <f>N69+N81</f>
        <v>14590.93</v>
      </c>
      <c r="O82" s="8"/>
      <c r="R82" s="14"/>
      <c r="Z82" s="15"/>
      <c r="AJ82" s="16"/>
    </row>
    <row r="83" spans="1:36" s="31" customFormat="1" ht="21.95" customHeight="1" x14ac:dyDescent="0.2">
      <c r="A83" s="275" t="s">
        <v>82</v>
      </c>
      <c r="B83" s="275"/>
      <c r="C83" s="275"/>
      <c r="D83" s="275"/>
      <c r="E83" s="275"/>
      <c r="F83" s="275"/>
      <c r="G83" s="275"/>
      <c r="H83" s="275"/>
      <c r="I83" s="275"/>
      <c r="J83" s="35">
        <f>J18+J31+J44+J57+J82</f>
        <v>137730.23699999999</v>
      </c>
      <c r="K83" s="35">
        <f>K18+K31+K44+K57+K82</f>
        <v>584848.95799999998</v>
      </c>
      <c r="L83" s="35">
        <f>L18+L31+L44+L57+L82</f>
        <v>482055.82949999999</v>
      </c>
      <c r="M83" s="35">
        <f>M18+M31+M44+M57+M82</f>
        <v>206595.35550000001</v>
      </c>
      <c r="N83" s="38">
        <f>N18+N31+N44+N57+N82</f>
        <v>1411230.3799999997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A5DF38B-07BA-4359-90D0-11A611B5816D}">
          <x14:formula1>
            <xm:f>'2026 COB breakdown_Kris'!$A$5:$A$103</xm:f>
          </x14:formula1>
          <xm:sqref>A3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4644E-9110-4CEE-88C9-433CE33075F9}">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173</v>
      </c>
      <c r="B3" s="58" t="s">
        <v>158</v>
      </c>
      <c r="C3" s="59">
        <f>VLOOKUP($A3,COBTABLE,15, FALSE)</f>
        <v>8220.07</v>
      </c>
      <c r="D3" s="59">
        <f>VLOOKUP($A3,COBTABLE,16, FALSE)</f>
        <v>108.23</v>
      </c>
      <c r="E3" s="59">
        <f>VLOOKUP($A3,COBTABLE,17, FALSE)</f>
        <v>770.39</v>
      </c>
      <c r="F3" s="59">
        <f>VLOOKUP($A3,COBTABLE,18, FALSE)</f>
        <v>0</v>
      </c>
      <c r="G3" s="59">
        <f>VLOOKUP($A3,COBTABLE,19, FALSE)</f>
        <v>1116.3900000000001</v>
      </c>
      <c r="H3" s="59">
        <f>VLOOKUP($A3,COBTABLE,20, FALSE)</f>
        <v>491.32</v>
      </c>
      <c r="I3" s="59">
        <f>VLOOKUP($A3,COBTABLE,21, FALSE)</f>
        <v>6326.26</v>
      </c>
      <c r="J3" s="59">
        <f>VLOOKUP($A3,COBTABLE,22, FALSE)</f>
        <v>371.93</v>
      </c>
      <c r="K3" s="59">
        <f>VLOOKUP($A3,COBTABLE,23, FALSE)</f>
        <v>349.02</v>
      </c>
      <c r="L3" s="59">
        <f>VLOOKUP($A3,COBTABLE,24, FALSE)</f>
        <v>2278.08</v>
      </c>
      <c r="M3" s="59">
        <f>VLOOKUP($A3,COBTABLE,25, FALSE)</f>
        <v>2136.4800000000032</v>
      </c>
      <c r="N3" s="60">
        <f>VLOOKUP($A3, countrygrant,2,FALSE)</f>
        <v>456818.18</v>
      </c>
      <c r="O3" s="92">
        <f>SUM(C3:N3)</f>
        <v>478986.35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4822.4399999999996</v>
      </c>
      <c r="D4" s="59">
        <f>VLOOKUP($A3,COBTABLE,28, FALSE)</f>
        <v>63.5</v>
      </c>
      <c r="E4" s="59">
        <f>VLOOKUP($A3,COBTABLE,29, FALSE)</f>
        <v>451.96</v>
      </c>
      <c r="F4" s="59">
        <f>VLOOKUP($A3,COBTABLE,30, FALSE)</f>
        <v>0</v>
      </c>
      <c r="G4" s="59">
        <f>VLOOKUP($A3,COBTABLE,31, FALSE)</f>
        <v>654.95000000000005</v>
      </c>
      <c r="H4" s="59">
        <f>VLOOKUP($A3,COBTABLE,32, FALSE)</f>
        <v>288.24</v>
      </c>
      <c r="I4" s="59">
        <f>VLOOKUP($A3,COBTABLE,33, FALSE)</f>
        <v>3711.41</v>
      </c>
      <c r="J4" s="59">
        <f>VLOOKUP($A3,COBTABLE,34, FALSE)</f>
        <v>218.2</v>
      </c>
      <c r="K4" s="59">
        <f>VLOOKUP($A3,COBTABLE,35, FALSE)</f>
        <v>204.75</v>
      </c>
      <c r="L4" s="59">
        <f>VLOOKUP($A3,COBTABLE,36, FALSE)</f>
        <v>1336.48</v>
      </c>
      <c r="M4" s="59">
        <f>VLOOKUP($A3,COBTABLE,37, FALSE)</f>
        <v>1253.3999999999996</v>
      </c>
      <c r="N4" s="60">
        <f>VLOOKUP($A3, countrygrant,3,FALSE)</f>
        <v>268000</v>
      </c>
      <c r="O4" s="92">
        <f t="shared" ref="O4" si="0">SUM(C4:N4)</f>
        <v>281005.33</v>
      </c>
      <c r="P4" s="28"/>
      <c r="Q4" s="28"/>
      <c r="R4" s="28"/>
      <c r="S4" s="28"/>
      <c r="T4" s="28"/>
      <c r="U4" s="28"/>
      <c r="V4" s="28"/>
      <c r="W4" s="28"/>
      <c r="X4" s="28"/>
      <c r="Y4" s="28"/>
      <c r="Z4" s="28"/>
      <c r="AA4" s="28"/>
      <c r="AB4" s="28"/>
      <c r="AC4" s="28"/>
    </row>
    <row r="5" spans="1:36" s="53" customFormat="1" ht="12" customHeight="1" x14ac:dyDescent="0.25">
      <c r="A5" s="278"/>
      <c r="B5" s="61" t="s">
        <v>156</v>
      </c>
      <c r="C5" s="62">
        <f>SUM(C3:C4)</f>
        <v>13042.509999999998</v>
      </c>
      <c r="D5" s="62">
        <f t="shared" ref="D5:O5" si="1">SUM(D3:D4)</f>
        <v>171.73000000000002</v>
      </c>
      <c r="E5" s="62">
        <f t="shared" si="1"/>
        <v>1222.3499999999999</v>
      </c>
      <c r="F5" s="62">
        <f t="shared" si="1"/>
        <v>0</v>
      </c>
      <c r="G5" s="62">
        <f t="shared" si="1"/>
        <v>1771.3400000000001</v>
      </c>
      <c r="H5" s="62">
        <f t="shared" si="1"/>
        <v>779.56</v>
      </c>
      <c r="I5" s="62">
        <f t="shared" si="1"/>
        <v>10037.67</v>
      </c>
      <c r="J5" s="62">
        <f t="shared" si="1"/>
        <v>590.13</v>
      </c>
      <c r="K5" s="62">
        <f t="shared" si="1"/>
        <v>553.77</v>
      </c>
      <c r="L5" s="62">
        <f t="shared" si="1"/>
        <v>3614.56</v>
      </c>
      <c r="M5" s="62">
        <f t="shared" si="1"/>
        <v>3389.8800000000028</v>
      </c>
      <c r="N5" s="62">
        <f t="shared" si="1"/>
        <v>724818.17999999993</v>
      </c>
      <c r="O5" s="62">
        <f t="shared" si="1"/>
        <v>759991.67999999993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8220.07</v>
      </c>
      <c r="L19" s="34"/>
      <c r="M19" s="34"/>
      <c r="N19" s="34">
        <f>ROUND($C$3*P19,2)</f>
        <v>8220.07</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190947.342</v>
      </c>
      <c r="L23" s="34">
        <f>SUM(L19:L22)</f>
        <v>159886.36299999998</v>
      </c>
      <c r="M23" s="34">
        <f>SUM(M19:M22)</f>
        <v>68522.726999999999</v>
      </c>
      <c r="N23" s="34">
        <f>SUM(N19:N22)</f>
        <v>465038.25</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190947.342</v>
      </c>
      <c r="L24" s="34">
        <f t="shared" si="7"/>
        <v>159886.36299999998</v>
      </c>
      <c r="M24" s="34">
        <f t="shared" si="7"/>
        <v>68522.726999999999</v>
      </c>
      <c r="N24" s="34">
        <f t="shared" si="7"/>
        <v>465038.25</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4822.4399999999996</v>
      </c>
      <c r="L25" s="34"/>
      <c r="M25" s="34"/>
      <c r="N25" s="34">
        <f>ROUND($C$4*P25,2)</f>
        <v>4822.4399999999996</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26800</v>
      </c>
      <c r="K28" s="34">
        <f>$N28*0.4</f>
        <v>107200</v>
      </c>
      <c r="L28" s="34">
        <f>$N28*0.35</f>
        <v>93800</v>
      </c>
      <c r="M28" s="34">
        <f>$N28*0.15</f>
        <v>40200</v>
      </c>
      <c r="N28" s="34">
        <f>N4</f>
        <v>268000</v>
      </c>
      <c r="O28" s="8"/>
      <c r="P28" s="9">
        <f>VLOOKUP(H28,starratio2,4,FALSE)</f>
        <v>0</v>
      </c>
    </row>
    <row r="29" spans="1:36" ht="21.95" customHeight="1" x14ac:dyDescent="0.2">
      <c r="A29" s="262"/>
      <c r="B29" s="262"/>
      <c r="C29" s="263" t="s">
        <v>31</v>
      </c>
      <c r="D29" s="263"/>
      <c r="E29" s="263"/>
      <c r="F29" s="263"/>
      <c r="G29" s="263"/>
      <c r="H29" s="263"/>
      <c r="I29" s="263"/>
      <c r="J29" s="34">
        <f>SUM(J25:J28)</f>
        <v>26800</v>
      </c>
      <c r="K29" s="34">
        <f>SUM(K25:K28)</f>
        <v>112022.44</v>
      </c>
      <c r="L29" s="34">
        <f>SUM(L25:L28)</f>
        <v>93800</v>
      </c>
      <c r="M29" s="34">
        <f>SUM(M25:M28)</f>
        <v>40200</v>
      </c>
      <c r="N29" s="34">
        <f>SUM(N25:N28)</f>
        <v>272822.44</v>
      </c>
      <c r="O29" s="8"/>
      <c r="P29" s="9"/>
    </row>
    <row r="30" spans="1:36" ht="21.95" customHeight="1" x14ac:dyDescent="0.2">
      <c r="A30" s="262"/>
      <c r="B30" s="263" t="s">
        <v>44</v>
      </c>
      <c r="C30" s="263"/>
      <c r="D30" s="263"/>
      <c r="E30" s="263"/>
      <c r="F30" s="263"/>
      <c r="G30" s="263"/>
      <c r="H30" s="263"/>
      <c r="I30" s="263"/>
      <c r="J30" s="34">
        <f>J29</f>
        <v>26800</v>
      </c>
      <c r="K30" s="34">
        <f t="shared" ref="K30:N30" si="9">K29</f>
        <v>112022.44</v>
      </c>
      <c r="L30" s="34">
        <f t="shared" si="9"/>
        <v>93800</v>
      </c>
      <c r="M30" s="34">
        <f t="shared" si="9"/>
        <v>40200</v>
      </c>
      <c r="N30" s="34">
        <f t="shared" si="9"/>
        <v>272822.44</v>
      </c>
      <c r="O30" s="8"/>
      <c r="Q30" s="10"/>
      <c r="Z30" s="11"/>
      <c r="AC30" s="12"/>
      <c r="AD30" s="13"/>
    </row>
    <row r="31" spans="1:36" ht="21.95" customHeight="1" x14ac:dyDescent="0.2">
      <c r="A31" s="261" t="s">
        <v>45</v>
      </c>
      <c r="B31" s="261"/>
      <c r="C31" s="261"/>
      <c r="D31" s="261"/>
      <c r="E31" s="261"/>
      <c r="F31" s="261"/>
      <c r="G31" s="261"/>
      <c r="H31" s="261"/>
      <c r="I31" s="261"/>
      <c r="J31" s="34">
        <f>J24+J30</f>
        <v>72481.817999999999</v>
      </c>
      <c r="K31" s="34">
        <f>K24+K30</f>
        <v>302969.78200000001</v>
      </c>
      <c r="L31" s="34">
        <f>L24+L30</f>
        <v>253686.36299999998</v>
      </c>
      <c r="M31" s="34">
        <f>M24+M30</f>
        <v>108722.727</v>
      </c>
      <c r="N31" s="34">
        <f>N24+N30</f>
        <v>737860.69</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2278.08</v>
      </c>
      <c r="L47" s="34"/>
      <c r="M47" s="34"/>
      <c r="N47" s="34">
        <f>ROUND($L$3*P47,2)</f>
        <v>2278.08</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2136.4800000000032</v>
      </c>
      <c r="L48" s="34"/>
      <c r="M48" s="34"/>
      <c r="N48" s="34">
        <f>M3-SUM(N10,N21,N35)</f>
        <v>2136.4800000000032</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4414.5600000000031</v>
      </c>
      <c r="L49" s="34">
        <f>SUM(L45:L48)</f>
        <v>0</v>
      </c>
      <c r="M49" s="34">
        <f>SUM(M45:M48)</f>
        <v>0</v>
      </c>
      <c r="N49" s="34">
        <f>SUM(N45:N48)</f>
        <v>4414.5600000000031</v>
      </c>
      <c r="O49" s="8"/>
      <c r="P49" s="9"/>
    </row>
    <row r="50" spans="1:36" ht="21.95" customHeight="1" x14ac:dyDescent="0.2">
      <c r="A50" s="262"/>
      <c r="B50" s="261" t="s">
        <v>60</v>
      </c>
      <c r="C50" s="261"/>
      <c r="D50" s="261"/>
      <c r="E50" s="261"/>
      <c r="F50" s="261"/>
      <c r="G50" s="261"/>
      <c r="H50" s="261"/>
      <c r="I50" s="261"/>
      <c r="J50" s="34">
        <f>J49</f>
        <v>0</v>
      </c>
      <c r="K50" s="34">
        <f t="shared" ref="K50:N50" si="15">K49</f>
        <v>4414.5600000000031</v>
      </c>
      <c r="L50" s="34">
        <f t="shared" si="15"/>
        <v>0</v>
      </c>
      <c r="M50" s="34">
        <f t="shared" si="15"/>
        <v>0</v>
      </c>
      <c r="N50" s="34">
        <f t="shared" si="15"/>
        <v>4414.5600000000031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1336.48</v>
      </c>
      <c r="L53" s="34"/>
      <c r="M53" s="34"/>
      <c r="N53" s="34">
        <f>ROUND($L$4*P53,2)</f>
        <v>1336.48</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1253.3999999999996</v>
      </c>
      <c r="L54" s="34"/>
      <c r="M54" s="34"/>
      <c r="N54" s="34">
        <f>M4-SUM(N15,N27,N41)</f>
        <v>1253.3999999999996</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2589.8799999999997</v>
      </c>
      <c r="L55" s="34">
        <f>SUM(L51:L54)</f>
        <v>0</v>
      </c>
      <c r="M55" s="34">
        <f>SUM(M51:M54)</f>
        <v>0</v>
      </c>
      <c r="N55" s="34">
        <f>SUM(N51:N54)</f>
        <v>2589.8799999999997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2589.8799999999997</v>
      </c>
      <c r="L56" s="34">
        <f t="shared" si="17"/>
        <v>0</v>
      </c>
      <c r="M56" s="34">
        <f t="shared" si="17"/>
        <v>0</v>
      </c>
      <c r="N56" s="34">
        <f t="shared" si="17"/>
        <v>2589.8799999999997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7004.4400000000023</v>
      </c>
      <c r="L57" s="34">
        <f>L50+L56</f>
        <v>0</v>
      </c>
      <c r="M57" s="34">
        <f>M50+M56</f>
        <v>0</v>
      </c>
      <c r="N57" s="34">
        <f>N50+N56</f>
        <v>7004.4400000000023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108.23</v>
      </c>
      <c r="L59" s="34"/>
      <c r="M59" s="34"/>
      <c r="N59" s="34">
        <f>D3</f>
        <v>108.23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770.39</v>
      </c>
      <c r="L60" s="34"/>
      <c r="M60" s="34"/>
      <c r="N60" s="34">
        <f>E3</f>
        <v>770.39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1116.3900000000001</v>
      </c>
      <c r="L61" s="34"/>
      <c r="M61" s="34"/>
      <c r="N61" s="34">
        <f>G3-SUM(N9,N20,N33,N46)</f>
        <v>1116.3900000000001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491.32</v>
      </c>
      <c r="L62" s="34"/>
      <c r="M62" s="34"/>
      <c r="N62" s="34">
        <f>H3</f>
        <v>491.32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6326.26</v>
      </c>
      <c r="L63" s="34"/>
      <c r="M63" s="34"/>
      <c r="N63" s="34">
        <f>I3</f>
        <v>6326.26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371.93</v>
      </c>
      <c r="L64" s="34"/>
      <c r="M64" s="34"/>
      <c r="N64" s="34">
        <f>J3</f>
        <v>371.93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349.02</v>
      </c>
      <c r="L66" s="34"/>
      <c r="M66" s="34"/>
      <c r="N66" s="34">
        <f>K3</f>
        <v>349.02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9533.5400000000009</v>
      </c>
      <c r="L68" s="34">
        <f>SUM(L58:L67)</f>
        <v>0</v>
      </c>
      <c r="M68" s="34">
        <f>SUM(M58:M67)</f>
        <v>0</v>
      </c>
      <c r="N68" s="34">
        <f>SUM(N58:N67)</f>
        <v>9533.5400000000009</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9533.5400000000009</v>
      </c>
      <c r="L69" s="34">
        <f t="shared" si="20"/>
        <v>0</v>
      </c>
      <c r="M69" s="34">
        <f t="shared" si="20"/>
        <v>0</v>
      </c>
      <c r="N69" s="34">
        <f t="shared" si="20"/>
        <v>9533.5400000000009</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63.5</v>
      </c>
      <c r="L71" s="34"/>
      <c r="M71" s="34"/>
      <c r="N71" s="34">
        <f>D4</f>
        <v>63.5</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451.96</v>
      </c>
      <c r="L72" s="34"/>
      <c r="M72" s="34"/>
      <c r="N72" s="34">
        <f>E4</f>
        <v>451.96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654.95000000000005</v>
      </c>
      <c r="L73" s="34"/>
      <c r="M73" s="34"/>
      <c r="N73" s="34">
        <f>G4-SUM(N14,N26,N39,N52)</f>
        <v>654.95000000000005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288.24</v>
      </c>
      <c r="L74" s="34"/>
      <c r="M74" s="34"/>
      <c r="N74" s="34">
        <f>H4</f>
        <v>288.24</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3711.41</v>
      </c>
      <c r="L75" s="34"/>
      <c r="M75" s="34"/>
      <c r="N75" s="34">
        <f>I4</f>
        <v>3711.41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218.2</v>
      </c>
      <c r="L76" s="34"/>
      <c r="M76" s="34"/>
      <c r="N76" s="34">
        <f>J4</f>
        <v>218.2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204.75</v>
      </c>
      <c r="L78" s="34"/>
      <c r="M78" s="34"/>
      <c r="N78" s="34">
        <f>K4</f>
        <v>204.75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5593.0099999999993</v>
      </c>
      <c r="L80" s="34">
        <f>SUM(L70:L79)</f>
        <v>0</v>
      </c>
      <c r="M80" s="34">
        <f>SUM(M70:M79)</f>
        <v>0</v>
      </c>
      <c r="N80" s="34">
        <f>SUM(N70:N79)</f>
        <v>5593.0099999999993</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5593.0099999999993</v>
      </c>
      <c r="L81" s="34">
        <f t="shared" si="23"/>
        <v>0</v>
      </c>
      <c r="M81" s="34">
        <f t="shared" si="23"/>
        <v>0</v>
      </c>
      <c r="N81" s="34">
        <f t="shared" si="23"/>
        <v>5593.0099999999993</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15126.55</v>
      </c>
      <c r="L82" s="34">
        <f>L69+L81</f>
        <v>0</v>
      </c>
      <c r="M82" s="34">
        <f>M69+M81</f>
        <v>0</v>
      </c>
      <c r="N82" s="34">
        <f>N69+N81</f>
        <v>15126.55</v>
      </c>
      <c r="O82" s="8"/>
      <c r="R82" s="14"/>
      <c r="Z82" s="15"/>
      <c r="AJ82" s="16"/>
    </row>
    <row r="83" spans="1:36" s="31" customFormat="1" ht="21.95" customHeight="1" x14ac:dyDescent="0.2">
      <c r="A83" s="275" t="s">
        <v>82</v>
      </c>
      <c r="B83" s="275"/>
      <c r="C83" s="275"/>
      <c r="D83" s="275"/>
      <c r="E83" s="275"/>
      <c r="F83" s="275"/>
      <c r="G83" s="275"/>
      <c r="H83" s="275"/>
      <c r="I83" s="275"/>
      <c r="J83" s="35">
        <f>J18+J31+J44+J57+J82</f>
        <v>72481.817999999999</v>
      </c>
      <c r="K83" s="35">
        <f>K18+K31+K44+K57+K82</f>
        <v>325100.772</v>
      </c>
      <c r="L83" s="35">
        <f>L18+L31+L44+L57+L82</f>
        <v>253686.36299999998</v>
      </c>
      <c r="M83" s="35">
        <f>M18+M31+M44+M57+M82</f>
        <v>108722.727</v>
      </c>
      <c r="N83" s="38">
        <f>N18+N31+N44+N57+N82</f>
        <v>759991.67999999993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FE27AE0-7D4A-4E63-A79C-31EA38D43845}">
          <x14:formula1>
            <xm:f>'2026 COB breakdown_Kris'!$A$5:$A$103</xm:f>
          </x14:formula1>
          <xm:sqref>A3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F8265-4A8E-46F3-85FC-EFF1B61C2C1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174</v>
      </c>
      <c r="B3" s="58" t="s">
        <v>158</v>
      </c>
      <c r="C3" s="59">
        <f>VLOOKUP($A3,COBTABLE,15, FALSE)</f>
        <v>3570.88</v>
      </c>
      <c r="D3" s="59">
        <f>VLOOKUP($A3,COBTABLE,16, FALSE)</f>
        <v>47.02</v>
      </c>
      <c r="E3" s="59">
        <f>VLOOKUP($A3,COBTABLE,17, FALSE)</f>
        <v>334.67</v>
      </c>
      <c r="F3" s="59">
        <f>VLOOKUP($A3,COBTABLE,18, FALSE)</f>
        <v>0</v>
      </c>
      <c r="G3" s="59">
        <f>VLOOKUP($A3,COBTABLE,19, FALSE)</f>
        <v>484.97</v>
      </c>
      <c r="H3" s="59">
        <f>VLOOKUP($A3,COBTABLE,20, FALSE)</f>
        <v>213.44</v>
      </c>
      <c r="I3" s="59">
        <f>VLOOKUP($A3,COBTABLE,21, FALSE)</f>
        <v>2748.19</v>
      </c>
      <c r="J3" s="59">
        <f>VLOOKUP($A3,COBTABLE,22, FALSE)</f>
        <v>161.57</v>
      </c>
      <c r="K3" s="59">
        <f>VLOOKUP($A3,COBTABLE,23, FALSE)</f>
        <v>151.62</v>
      </c>
      <c r="L3" s="59">
        <f>VLOOKUP($A3,COBTABLE,24, FALSE)</f>
        <v>989.62</v>
      </c>
      <c r="M3" s="59">
        <f>VLOOKUP($A3,COBTABLE,25, FALSE)</f>
        <v>928.10000000000036</v>
      </c>
      <c r="N3" s="60">
        <f>VLOOKUP($A3, countrygrant,2,FALSE)</f>
        <v>456818.18</v>
      </c>
      <c r="O3" s="92">
        <f>SUM(C3:N3)</f>
        <v>466448.26</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4975.43</v>
      </c>
      <c r="D4" s="59">
        <f>VLOOKUP($A3,COBTABLE,28, FALSE)</f>
        <v>65.510000000000005</v>
      </c>
      <c r="E4" s="59">
        <f>VLOOKUP($A3,COBTABLE,29, FALSE)</f>
        <v>466.3</v>
      </c>
      <c r="F4" s="59">
        <f>VLOOKUP($A3,COBTABLE,30, FALSE)</f>
        <v>0</v>
      </c>
      <c r="G4" s="59">
        <f>VLOOKUP($A3,COBTABLE,31, FALSE)</f>
        <v>675.73</v>
      </c>
      <c r="H4" s="59">
        <f>VLOOKUP($A3,COBTABLE,32, FALSE)</f>
        <v>297.39</v>
      </c>
      <c r="I4" s="59">
        <f>VLOOKUP($A3,COBTABLE,33, FALSE)</f>
        <v>3829.15</v>
      </c>
      <c r="J4" s="59">
        <f>VLOOKUP($A3,COBTABLE,34, FALSE)</f>
        <v>225.12</v>
      </c>
      <c r="K4" s="59">
        <f>VLOOKUP($A3,COBTABLE,35, FALSE)</f>
        <v>211.25</v>
      </c>
      <c r="L4" s="59">
        <f>VLOOKUP($A3,COBTABLE,36, FALSE)</f>
        <v>1378.88</v>
      </c>
      <c r="M4" s="59">
        <f>VLOOKUP($A3,COBTABLE,37, FALSE)</f>
        <v>1293.159999999998</v>
      </c>
      <c r="N4" s="60">
        <f>VLOOKUP($A3, countrygrant,3,FALSE)</f>
        <v>636500</v>
      </c>
      <c r="O4" s="92">
        <f t="shared" ref="O4" si="0">SUM(C4:N4)</f>
        <v>649917.92000000004</v>
      </c>
      <c r="P4" s="28"/>
      <c r="Q4" s="28"/>
      <c r="R4" s="28"/>
      <c r="S4" s="28"/>
      <c r="T4" s="28"/>
      <c r="U4" s="28"/>
      <c r="V4" s="28"/>
      <c r="W4" s="28"/>
      <c r="X4" s="28"/>
      <c r="Y4" s="28"/>
      <c r="Z4" s="28"/>
      <c r="AA4" s="28"/>
      <c r="AB4" s="28"/>
      <c r="AC4" s="28"/>
    </row>
    <row r="5" spans="1:36" s="53" customFormat="1" ht="12" customHeight="1" x14ac:dyDescent="0.25">
      <c r="A5" s="278"/>
      <c r="B5" s="61" t="s">
        <v>156</v>
      </c>
      <c r="C5" s="62">
        <f>SUM(C3:C4)</f>
        <v>8546.3100000000013</v>
      </c>
      <c r="D5" s="62">
        <f t="shared" ref="D5:O5" si="1">SUM(D3:D4)</f>
        <v>112.53</v>
      </c>
      <c r="E5" s="62">
        <f t="shared" si="1"/>
        <v>800.97</v>
      </c>
      <c r="F5" s="62">
        <f t="shared" si="1"/>
        <v>0</v>
      </c>
      <c r="G5" s="62">
        <f t="shared" si="1"/>
        <v>1160.7</v>
      </c>
      <c r="H5" s="62">
        <f t="shared" si="1"/>
        <v>510.83</v>
      </c>
      <c r="I5" s="62">
        <f t="shared" si="1"/>
        <v>6577.34</v>
      </c>
      <c r="J5" s="62">
        <f t="shared" si="1"/>
        <v>386.69</v>
      </c>
      <c r="K5" s="62">
        <f t="shared" si="1"/>
        <v>362.87</v>
      </c>
      <c r="L5" s="62">
        <f t="shared" si="1"/>
        <v>2368.5</v>
      </c>
      <c r="M5" s="62">
        <f t="shared" si="1"/>
        <v>2221.2599999999984</v>
      </c>
      <c r="N5" s="62">
        <f t="shared" si="1"/>
        <v>1093318.18</v>
      </c>
      <c r="O5" s="62">
        <f t="shared" si="1"/>
        <v>1116366.1800000002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9" t="s">
        <v>160</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VLOOKUP(H8,coreratio2,3,FALSE)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VLOOKUP(H9,coreratio2,3,FALSE)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VLOOKUP(H10,coreratio2,3,FALSE)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VLOOKUP(H13,starratio2,3,FALSE)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VLOOKUP(H14,starratio2,3,FALSE)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VLOOKUP(H15,starratio2,3,FALSE)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3570.88</v>
      </c>
      <c r="L19" s="34"/>
      <c r="M19" s="34"/>
      <c r="N19" s="34">
        <f>ROUND($C$3*P19,2)</f>
        <v>3570.88</v>
      </c>
      <c r="O19" s="8"/>
      <c r="P19" s="9">
        <f>VLOOKUP(H19,coreratio2,4,FALSE)</f>
        <v>1</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VLOOKUP(H20,coreratio2,4,FALSE)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VLOOKUP(H21,coreratio2,4,FALSE)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VLOOKUP(H22,coreratio2,4,FALSE)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186298.152</v>
      </c>
      <c r="L23" s="34">
        <f>SUM(L19:L22)</f>
        <v>159886.36299999998</v>
      </c>
      <c r="M23" s="34">
        <f>SUM(M19:M22)</f>
        <v>68522.726999999999</v>
      </c>
      <c r="N23" s="34">
        <f>SUM(N19:N22)</f>
        <v>460389.06</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186298.152</v>
      </c>
      <c r="L24" s="34">
        <f t="shared" si="7"/>
        <v>159886.36299999998</v>
      </c>
      <c r="M24" s="34">
        <f t="shared" si="7"/>
        <v>68522.726999999999</v>
      </c>
      <c r="N24" s="34">
        <f t="shared" si="7"/>
        <v>460389.06</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4975.43</v>
      </c>
      <c r="L25" s="34"/>
      <c r="M25" s="34"/>
      <c r="N25" s="34">
        <f>ROUND($C$4*P25,2)</f>
        <v>4975.43</v>
      </c>
      <c r="O25" s="8"/>
      <c r="P25" s="9">
        <f>VLOOKUP(H25,starratio2,4,FALSE)</f>
        <v>1</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VLOOKUP(H26,starratio2,4,FALSE)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VLOOKUP(H27,starratio2,4,FALSE)</f>
        <v>0</v>
      </c>
    </row>
    <row r="28" spans="1:36" ht="21.95" customHeight="1" x14ac:dyDescent="0.2">
      <c r="A28" s="262"/>
      <c r="B28" s="262"/>
      <c r="C28" s="262"/>
      <c r="D28" s="262"/>
      <c r="E28" s="262"/>
      <c r="F28" s="6" t="s">
        <v>43</v>
      </c>
      <c r="G28" s="7" t="s">
        <v>40</v>
      </c>
      <c r="H28" s="6">
        <v>72600</v>
      </c>
      <c r="I28" s="6" t="s">
        <v>40</v>
      </c>
      <c r="J28" s="34">
        <f>$N28*0.1</f>
        <v>63650</v>
      </c>
      <c r="K28" s="34">
        <f>$N28*0.4</f>
        <v>254600</v>
      </c>
      <c r="L28" s="34">
        <f>$N28*0.35</f>
        <v>222775</v>
      </c>
      <c r="M28" s="34">
        <f>$N28*0.15</f>
        <v>95475</v>
      </c>
      <c r="N28" s="34">
        <f>N4</f>
        <v>636500</v>
      </c>
      <c r="O28" s="8"/>
      <c r="P28" s="9">
        <f>VLOOKUP(H28,starratio2,4,FALSE)</f>
        <v>0</v>
      </c>
    </row>
    <row r="29" spans="1:36" ht="21.95" customHeight="1" x14ac:dyDescent="0.2">
      <c r="A29" s="262"/>
      <c r="B29" s="262"/>
      <c r="C29" s="263" t="s">
        <v>31</v>
      </c>
      <c r="D29" s="263"/>
      <c r="E29" s="263"/>
      <c r="F29" s="263"/>
      <c r="G29" s="263"/>
      <c r="H29" s="263"/>
      <c r="I29" s="263"/>
      <c r="J29" s="34">
        <f>SUM(J25:J28)</f>
        <v>63650</v>
      </c>
      <c r="K29" s="34">
        <f>SUM(K25:K28)</f>
        <v>259575.43</v>
      </c>
      <c r="L29" s="34">
        <f>SUM(L25:L28)</f>
        <v>222775</v>
      </c>
      <c r="M29" s="34">
        <f>SUM(M25:M28)</f>
        <v>95475</v>
      </c>
      <c r="N29" s="34">
        <f>SUM(N25:N28)</f>
        <v>641475.43000000005</v>
      </c>
      <c r="O29" s="8"/>
      <c r="P29" s="9"/>
    </row>
    <row r="30" spans="1:36" ht="21.95" customHeight="1" x14ac:dyDescent="0.2">
      <c r="A30" s="262"/>
      <c r="B30" s="263" t="s">
        <v>44</v>
      </c>
      <c r="C30" s="263"/>
      <c r="D30" s="263"/>
      <c r="E30" s="263"/>
      <c r="F30" s="263"/>
      <c r="G30" s="263"/>
      <c r="H30" s="263"/>
      <c r="I30" s="263"/>
      <c r="J30" s="34">
        <f>J29</f>
        <v>63650</v>
      </c>
      <c r="K30" s="34">
        <f t="shared" ref="K30:N30" si="9">K29</f>
        <v>259575.43</v>
      </c>
      <c r="L30" s="34">
        <f t="shared" si="9"/>
        <v>222775</v>
      </c>
      <c r="M30" s="34">
        <f t="shared" si="9"/>
        <v>95475</v>
      </c>
      <c r="N30" s="34">
        <f t="shared" si="9"/>
        <v>641475.43000000005</v>
      </c>
      <c r="O30" s="8"/>
      <c r="Q30" s="10"/>
      <c r="Z30" s="11"/>
      <c r="AC30" s="12"/>
      <c r="AD30" s="13"/>
    </row>
    <row r="31" spans="1:36" ht="21.95" customHeight="1" x14ac:dyDescent="0.2">
      <c r="A31" s="261" t="s">
        <v>45</v>
      </c>
      <c r="B31" s="261"/>
      <c r="C31" s="261"/>
      <c r="D31" s="261"/>
      <c r="E31" s="261"/>
      <c r="F31" s="261"/>
      <c r="G31" s="261"/>
      <c r="H31" s="261"/>
      <c r="I31" s="261"/>
      <c r="J31" s="34">
        <f>J24+J30</f>
        <v>109331.818</v>
      </c>
      <c r="K31" s="34">
        <f>K24+K30</f>
        <v>445873.58199999999</v>
      </c>
      <c r="L31" s="34">
        <f>L24+L30</f>
        <v>382661.36300000001</v>
      </c>
      <c r="M31" s="34">
        <f>M24+M30</f>
        <v>163997.72700000001</v>
      </c>
      <c r="N31" s="34">
        <f>N24+N30</f>
        <v>1101864.49</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VLOOKUP(H32,coreratio2,5,FALSE)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VLOOKUP(H33,coreratio2,5,FALSE)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VLOOKUP(H34,coreratio2,5,FALSE)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VLOOKUP(H35,coreratio2,5,FALSE)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VLOOKUP(H38,starratio2,5,FALSE)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VLOOKUP(H39,starratio2,5,FALSE)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VLOOKUP(H40,starratio2,5,FALSE)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VLOOKUP(H41,starratio2,5,FALSE)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VLOOKUP(H45,coreratio2,6,FALSE)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VLOOKUP(H46,coreratio2,6,FALSE)</f>
        <v>0</v>
      </c>
      <c r="Q46" s="9"/>
    </row>
    <row r="47" spans="1:36" ht="21.95" customHeight="1" x14ac:dyDescent="0.2">
      <c r="A47" s="262"/>
      <c r="B47" s="262"/>
      <c r="C47" s="262"/>
      <c r="D47" s="262"/>
      <c r="E47" s="262"/>
      <c r="F47" s="6" t="s">
        <v>57</v>
      </c>
      <c r="G47" s="7" t="s">
        <v>23</v>
      </c>
      <c r="H47" s="6">
        <v>74500</v>
      </c>
      <c r="I47" s="6" t="s">
        <v>49</v>
      </c>
      <c r="J47" s="34"/>
      <c r="K47" s="34">
        <f t="shared" si="14"/>
        <v>989.62</v>
      </c>
      <c r="L47" s="34"/>
      <c r="M47" s="34"/>
      <c r="N47" s="34">
        <f>ROUND($L$3*P47,2)</f>
        <v>989.62</v>
      </c>
      <c r="O47" s="8"/>
      <c r="P47" s="9">
        <f>VLOOKUP(H47,coreratio2,6,FALSE)</f>
        <v>1</v>
      </c>
      <c r="Q47" s="9"/>
    </row>
    <row r="48" spans="1:36" ht="21.95" customHeight="1" x14ac:dyDescent="0.2">
      <c r="A48" s="262"/>
      <c r="B48" s="262"/>
      <c r="C48" s="262"/>
      <c r="D48" s="262"/>
      <c r="E48" s="262"/>
      <c r="F48" s="6" t="s">
        <v>57</v>
      </c>
      <c r="G48" s="7" t="s">
        <v>26</v>
      </c>
      <c r="H48" s="6">
        <v>75700</v>
      </c>
      <c r="I48" s="6" t="s">
        <v>27</v>
      </c>
      <c r="J48" s="34"/>
      <c r="K48" s="34">
        <f t="shared" si="14"/>
        <v>928.10000000000036</v>
      </c>
      <c r="L48" s="34"/>
      <c r="M48" s="34"/>
      <c r="N48" s="34">
        <f>M3-SUM(N10,N21,N35)</f>
        <v>928.10000000000036</v>
      </c>
      <c r="O48" s="8"/>
      <c r="P48" s="9">
        <f>VLOOKUP(H48,coreratio2,6,FALSE)</f>
        <v>1</v>
      </c>
      <c r="Q48" s="9"/>
    </row>
    <row r="49" spans="1:36" ht="21.95" customHeight="1" x14ac:dyDescent="0.2">
      <c r="A49" s="262"/>
      <c r="B49" s="262"/>
      <c r="C49" s="261" t="s">
        <v>31</v>
      </c>
      <c r="D49" s="261"/>
      <c r="E49" s="261"/>
      <c r="F49" s="261"/>
      <c r="G49" s="261"/>
      <c r="H49" s="261"/>
      <c r="I49" s="261"/>
      <c r="J49" s="34">
        <f>SUM(J45:J48)</f>
        <v>0</v>
      </c>
      <c r="K49" s="34">
        <f>SUM(K45:K48)</f>
        <v>1917.7200000000003</v>
      </c>
      <c r="L49" s="34">
        <f>SUM(L45:L48)</f>
        <v>0</v>
      </c>
      <c r="M49" s="34">
        <f>SUM(M45:M48)</f>
        <v>0</v>
      </c>
      <c r="N49" s="34">
        <f>SUM(N45:N48)</f>
        <v>1917.7200000000003</v>
      </c>
      <c r="O49" s="8"/>
      <c r="P49" s="9"/>
    </row>
    <row r="50" spans="1:36" ht="21.95" customHeight="1" x14ac:dyDescent="0.2">
      <c r="A50" s="262"/>
      <c r="B50" s="261" t="s">
        <v>60</v>
      </c>
      <c r="C50" s="261"/>
      <c r="D50" s="261"/>
      <c r="E50" s="261"/>
      <c r="F50" s="261"/>
      <c r="G50" s="261"/>
      <c r="H50" s="261"/>
      <c r="I50" s="261"/>
      <c r="J50" s="34">
        <f>J49</f>
        <v>0</v>
      </c>
      <c r="K50" s="34">
        <f t="shared" ref="K50:N50" si="15">K49</f>
        <v>1917.7200000000003</v>
      </c>
      <c r="L50" s="34">
        <f t="shared" si="15"/>
        <v>0</v>
      </c>
      <c r="M50" s="34">
        <f t="shared" si="15"/>
        <v>0</v>
      </c>
      <c r="N50" s="34">
        <f t="shared" si="15"/>
        <v>1917.7200000000003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VLOOKUP(H51,starratio2,6,FALSE)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VLOOKUP(H52,starratio2,6,FALSE)</f>
        <v>0</v>
      </c>
    </row>
    <row r="53" spans="1:36" ht="21.95" customHeight="1" x14ac:dyDescent="0.2">
      <c r="A53" s="262"/>
      <c r="B53" s="262"/>
      <c r="C53" s="262"/>
      <c r="D53" s="262"/>
      <c r="E53" s="262"/>
      <c r="F53" s="6" t="s">
        <v>62</v>
      </c>
      <c r="G53" s="7" t="s">
        <v>23</v>
      </c>
      <c r="H53" s="6">
        <v>74500</v>
      </c>
      <c r="I53" s="6" t="s">
        <v>49</v>
      </c>
      <c r="J53" s="34"/>
      <c r="K53" s="34">
        <f t="shared" si="16"/>
        <v>1378.88</v>
      </c>
      <c r="L53" s="34"/>
      <c r="M53" s="34"/>
      <c r="N53" s="34">
        <f>ROUND($L$4*P53,2)</f>
        <v>1378.88</v>
      </c>
      <c r="O53" s="8"/>
      <c r="P53" s="9">
        <f>VLOOKUP(H53,starratio2,6,FALSE)</f>
        <v>1</v>
      </c>
    </row>
    <row r="54" spans="1:36" ht="21.95" customHeight="1" x14ac:dyDescent="0.2">
      <c r="A54" s="262"/>
      <c r="B54" s="262"/>
      <c r="C54" s="262"/>
      <c r="D54" s="262"/>
      <c r="E54" s="262"/>
      <c r="F54" s="6" t="s">
        <v>62</v>
      </c>
      <c r="G54" s="7" t="s">
        <v>26</v>
      </c>
      <c r="H54" s="6">
        <v>75700</v>
      </c>
      <c r="I54" s="6" t="s">
        <v>27</v>
      </c>
      <c r="J54" s="34"/>
      <c r="K54" s="34">
        <f t="shared" si="16"/>
        <v>1293.159999999998</v>
      </c>
      <c r="L54" s="34"/>
      <c r="M54" s="34"/>
      <c r="N54" s="34">
        <f>M4-SUM(N15,N27,N41)</f>
        <v>1293.159999999998</v>
      </c>
      <c r="O54" s="8"/>
      <c r="P54" s="9">
        <f>VLOOKUP(H54,starratio2,6,FALSE)</f>
        <v>1</v>
      </c>
    </row>
    <row r="55" spans="1:36" ht="21.95" customHeight="1" x14ac:dyDescent="0.2">
      <c r="A55" s="262"/>
      <c r="B55" s="262"/>
      <c r="C55" s="263" t="s">
        <v>31</v>
      </c>
      <c r="D55" s="263"/>
      <c r="E55" s="263"/>
      <c r="F55" s="263"/>
      <c r="G55" s="263"/>
      <c r="H55" s="263"/>
      <c r="I55" s="263"/>
      <c r="J55" s="34">
        <f>SUM(J51:J54)</f>
        <v>0</v>
      </c>
      <c r="K55" s="34">
        <f>SUM(K51:K54)</f>
        <v>2672.0399999999981</v>
      </c>
      <c r="L55" s="34">
        <f>SUM(L51:L54)</f>
        <v>0</v>
      </c>
      <c r="M55" s="34">
        <f>SUM(M51:M54)</f>
        <v>0</v>
      </c>
      <c r="N55" s="34">
        <f>SUM(N51:N54)</f>
        <v>2672.0399999999981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2672.0399999999981</v>
      </c>
      <c r="L56" s="34">
        <f t="shared" si="17"/>
        <v>0</v>
      </c>
      <c r="M56" s="34">
        <f t="shared" si="17"/>
        <v>0</v>
      </c>
      <c r="N56" s="34">
        <f t="shared" si="17"/>
        <v>2672.0399999999981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4589.7599999999984</v>
      </c>
      <c r="L57" s="34">
        <f>L50+L56</f>
        <v>0</v>
      </c>
      <c r="M57" s="34">
        <f>M50+M56</f>
        <v>0</v>
      </c>
      <c r="N57" s="34">
        <f>N50+N56</f>
        <v>4589.7599999999984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VLOOKUP(H58,coreratio2,7,FALSE)</f>
        <v>0</v>
      </c>
      <c r="Q58" s="9"/>
    </row>
    <row r="59" spans="1:36" ht="21.95" customHeight="1" x14ac:dyDescent="0.2">
      <c r="A59" s="262"/>
      <c r="B59" s="262"/>
      <c r="C59" s="262"/>
      <c r="D59" s="262"/>
      <c r="E59" s="262"/>
      <c r="F59" s="6" t="s">
        <v>66</v>
      </c>
      <c r="G59" s="7" t="s">
        <v>58</v>
      </c>
      <c r="H59" s="6">
        <v>72200</v>
      </c>
      <c r="I59" s="6" t="s">
        <v>67</v>
      </c>
      <c r="J59" s="34"/>
      <c r="K59" s="34">
        <f t="shared" si="18"/>
        <v>47.02</v>
      </c>
      <c r="L59" s="34"/>
      <c r="M59" s="34"/>
      <c r="N59" s="34">
        <f>D3</f>
        <v>47.02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334.67</v>
      </c>
      <c r="L60" s="34"/>
      <c r="M60" s="34"/>
      <c r="N60" s="34">
        <f>E3</f>
        <v>334.67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484.97</v>
      </c>
      <c r="L61" s="34"/>
      <c r="M61" s="34"/>
      <c r="N61" s="34">
        <f>G3-SUM(N9,N20,N33,N46)</f>
        <v>484.97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213.44</v>
      </c>
      <c r="L62" s="34"/>
      <c r="M62" s="34"/>
      <c r="N62" s="34">
        <f>H3</f>
        <v>213.44</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2748.19</v>
      </c>
      <c r="L63" s="34"/>
      <c r="M63" s="34"/>
      <c r="N63" s="34">
        <f>I3</f>
        <v>2748.19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161.57</v>
      </c>
      <c r="L64" s="34"/>
      <c r="M64" s="34"/>
      <c r="N64" s="34">
        <f>J3</f>
        <v>161.57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151.62</v>
      </c>
      <c r="L66" s="34"/>
      <c r="M66" s="34"/>
      <c r="N66" s="34">
        <f>K3</f>
        <v>151.62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4141.4800000000005</v>
      </c>
      <c r="L68" s="34">
        <f>SUM(L58:L67)</f>
        <v>0</v>
      </c>
      <c r="M68" s="34">
        <f>SUM(M58:M67)</f>
        <v>0</v>
      </c>
      <c r="N68" s="34">
        <f>SUM(N58:N67)</f>
        <v>4141.4800000000005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4141.4800000000005</v>
      </c>
      <c r="L69" s="34">
        <f t="shared" si="20"/>
        <v>0</v>
      </c>
      <c r="M69" s="34">
        <f t="shared" si="20"/>
        <v>0</v>
      </c>
      <c r="N69" s="34">
        <f t="shared" si="20"/>
        <v>4141.4800000000005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VLOOKUP(H70,starratio2,7,FALSE)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65.510000000000005</v>
      </c>
      <c r="L71" s="34"/>
      <c r="M71" s="34"/>
      <c r="N71" s="34">
        <f>D4</f>
        <v>65.510000000000005</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466.3</v>
      </c>
      <c r="L72" s="34"/>
      <c r="M72" s="34"/>
      <c r="N72" s="34">
        <f>E4</f>
        <v>466.3</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675.73</v>
      </c>
      <c r="L73" s="34"/>
      <c r="M73" s="34"/>
      <c r="N73" s="34">
        <f>G4-SUM(N14,N26,N39,N52)</f>
        <v>675.73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297.39</v>
      </c>
      <c r="L74" s="34"/>
      <c r="M74" s="34"/>
      <c r="N74" s="34">
        <f>H4</f>
        <v>297.39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3829.15</v>
      </c>
      <c r="L75" s="34"/>
      <c r="M75" s="34"/>
      <c r="N75" s="34">
        <f>I4</f>
        <v>3829.15</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225.12</v>
      </c>
      <c r="L76" s="34"/>
      <c r="M76" s="34"/>
      <c r="N76" s="34">
        <f>J4</f>
        <v>225.12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211.25</v>
      </c>
      <c r="L78" s="34"/>
      <c r="M78" s="34"/>
      <c r="N78" s="34">
        <f>K4</f>
        <v>211.25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5770.45</v>
      </c>
      <c r="L80" s="34">
        <f>SUM(L70:L79)</f>
        <v>0</v>
      </c>
      <c r="M80" s="34">
        <f>SUM(M70:M79)</f>
        <v>0</v>
      </c>
      <c r="N80" s="34">
        <f>SUM(N70:N79)</f>
        <v>5770.45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5770.45</v>
      </c>
      <c r="L81" s="34">
        <f t="shared" si="23"/>
        <v>0</v>
      </c>
      <c r="M81" s="34">
        <f t="shared" si="23"/>
        <v>0</v>
      </c>
      <c r="N81" s="34">
        <f t="shared" si="23"/>
        <v>5770.45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9911.93</v>
      </c>
      <c r="L82" s="34">
        <f>L69+L81</f>
        <v>0</v>
      </c>
      <c r="M82" s="34">
        <f>M69+M81</f>
        <v>0</v>
      </c>
      <c r="N82" s="34">
        <f>N69+N81</f>
        <v>9911.93</v>
      </c>
      <c r="O82" s="8"/>
      <c r="R82" s="14"/>
      <c r="Z82" s="15"/>
      <c r="AJ82" s="16"/>
    </row>
    <row r="83" spans="1:36" s="31" customFormat="1" ht="21.95" customHeight="1" x14ac:dyDescent="0.2">
      <c r="A83" s="275" t="s">
        <v>82</v>
      </c>
      <c r="B83" s="275"/>
      <c r="C83" s="275"/>
      <c r="D83" s="275"/>
      <c r="E83" s="275"/>
      <c r="F83" s="275"/>
      <c r="G83" s="275"/>
      <c r="H83" s="275"/>
      <c r="I83" s="275"/>
      <c r="J83" s="35">
        <f>J18+J31+J44+J57+J82</f>
        <v>109331.818</v>
      </c>
      <c r="K83" s="35">
        <f>K18+K31+K44+K57+K82</f>
        <v>460375.272</v>
      </c>
      <c r="L83" s="35">
        <f>L18+L31+L44+L57+L82</f>
        <v>382661.36300000001</v>
      </c>
      <c r="M83" s="35">
        <f>M18+M31+M44+M57+M82</f>
        <v>163997.72700000001</v>
      </c>
      <c r="N83" s="38">
        <f>N18+N31+N44+N57+N82</f>
        <v>1116366.18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58005B-BF95-4CBC-A1F6-4C0D205B6915}">
          <x14:formula1>
            <xm:f>'2026 COB breakdown_Kris'!$A$5:$A$103</xm:f>
          </x14:formula1>
          <xm:sqref>A3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DA6A6-75FB-4F0C-A610-64002252E364}">
  <dimension ref="A1:AJ116"/>
  <sheetViews>
    <sheetView topLeftCell="A76"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175</v>
      </c>
      <c r="B3" s="58" t="s">
        <v>158</v>
      </c>
      <c r="C3" s="59">
        <f>VLOOKUP($A3,COBTABLE,15, FALSE)</f>
        <v>8020.33</v>
      </c>
      <c r="D3" s="59">
        <f>VLOOKUP($A3,COBTABLE,16, FALSE)</f>
        <v>105.6</v>
      </c>
      <c r="E3" s="59">
        <f>VLOOKUP($A3,COBTABLE,17, FALSE)</f>
        <v>751.67</v>
      </c>
      <c r="F3" s="59">
        <f>VLOOKUP($A3,COBTABLE,18, FALSE)</f>
        <v>0</v>
      </c>
      <c r="G3" s="59">
        <f>VLOOKUP($A3,COBTABLE,19, FALSE)</f>
        <v>1089.27</v>
      </c>
      <c r="H3" s="59">
        <f>VLOOKUP($A3,COBTABLE,20, FALSE)</f>
        <v>479.38</v>
      </c>
      <c r="I3" s="59">
        <f>VLOOKUP($A3,COBTABLE,21, FALSE)</f>
        <v>6172.53</v>
      </c>
      <c r="J3" s="59">
        <f>VLOOKUP($A3,COBTABLE,22, FALSE)</f>
        <v>362.89</v>
      </c>
      <c r="K3" s="59">
        <f>VLOOKUP($A3,COBTABLE,23, FALSE)</f>
        <v>340.54</v>
      </c>
      <c r="L3" s="59">
        <f>VLOOKUP($A3,COBTABLE,24, FALSE)</f>
        <v>2222.73</v>
      </c>
      <c r="M3" s="59">
        <f>VLOOKUP($A3,COBTABLE,25, FALSE)</f>
        <v>2084.5499999999993</v>
      </c>
      <c r="N3" s="60">
        <f>VLOOKUP($A3, countrygrant,2,FALSE)</f>
        <v>456818.18</v>
      </c>
      <c r="O3" s="92">
        <f>SUM(C3:N3)</f>
        <v>478447.67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1059.76</v>
      </c>
      <c r="D4" s="59">
        <f>VLOOKUP($A3,COBTABLE,28, FALSE)</f>
        <v>13.95</v>
      </c>
      <c r="E4" s="59">
        <f>VLOOKUP($A3,COBTABLE,29, FALSE)</f>
        <v>99.32</v>
      </c>
      <c r="F4" s="59">
        <f>VLOOKUP($A3,COBTABLE,30, FALSE)</f>
        <v>0</v>
      </c>
      <c r="G4" s="59">
        <f>VLOOKUP($A3,COBTABLE,31, FALSE)</f>
        <v>143.93</v>
      </c>
      <c r="H4" s="59">
        <f>VLOOKUP($A3,COBTABLE,32, FALSE)</f>
        <v>63.34</v>
      </c>
      <c r="I4" s="59">
        <f>VLOOKUP($A3,COBTABLE,33, FALSE)</f>
        <v>815.61</v>
      </c>
      <c r="J4" s="59">
        <f>VLOOKUP($A3,COBTABLE,34, FALSE)</f>
        <v>47.95</v>
      </c>
      <c r="K4" s="59">
        <f>VLOOKUP($A3,COBTABLE,35, FALSE)</f>
        <v>45</v>
      </c>
      <c r="L4" s="59">
        <f>VLOOKUP($A3,COBTABLE,36, FALSE)</f>
        <v>293.7</v>
      </c>
      <c r="M4" s="59">
        <f>VLOOKUP($A3,COBTABLE,37, FALSE)</f>
        <v>275.45000000000073</v>
      </c>
      <c r="N4" s="60">
        <f>VLOOKUP($A3, countrygrant,3,FALSE)</f>
        <v>60361.64</v>
      </c>
      <c r="O4" s="92">
        <f t="shared" ref="O4" si="0">SUM(C4:N4)</f>
        <v>63219.65</v>
      </c>
      <c r="P4" s="28"/>
      <c r="Q4" s="28"/>
      <c r="R4" s="28"/>
      <c r="S4" s="28"/>
      <c r="T4" s="28"/>
      <c r="U4" s="28"/>
      <c r="V4" s="28"/>
      <c r="W4" s="28"/>
      <c r="X4" s="28"/>
      <c r="Y4" s="28"/>
      <c r="Z4" s="28"/>
      <c r="AA4" s="28"/>
      <c r="AB4" s="28"/>
      <c r="AC4" s="28"/>
    </row>
    <row r="5" spans="1:36" s="53" customFormat="1" ht="12" customHeight="1" x14ac:dyDescent="0.25">
      <c r="A5" s="278"/>
      <c r="B5" s="61" t="s">
        <v>156</v>
      </c>
      <c r="C5" s="62">
        <f>SUM(C3:C4)</f>
        <v>9080.09</v>
      </c>
      <c r="D5" s="62">
        <f t="shared" ref="D5:O5" si="1">SUM(D3:D4)</f>
        <v>119.55</v>
      </c>
      <c r="E5" s="62">
        <f t="shared" si="1"/>
        <v>850.99</v>
      </c>
      <c r="F5" s="62">
        <f t="shared" si="1"/>
        <v>0</v>
      </c>
      <c r="G5" s="62">
        <f t="shared" si="1"/>
        <v>1233.2</v>
      </c>
      <c r="H5" s="62">
        <f t="shared" si="1"/>
        <v>542.72</v>
      </c>
      <c r="I5" s="62">
        <f t="shared" si="1"/>
        <v>6988.1399999999994</v>
      </c>
      <c r="J5" s="62">
        <f t="shared" si="1"/>
        <v>410.84</v>
      </c>
      <c r="K5" s="62">
        <f t="shared" si="1"/>
        <v>385.54</v>
      </c>
      <c r="L5" s="62">
        <f t="shared" si="1"/>
        <v>2516.4299999999998</v>
      </c>
      <c r="M5" s="62">
        <f t="shared" si="1"/>
        <v>2360</v>
      </c>
      <c r="N5" s="62">
        <f t="shared" si="1"/>
        <v>517179.82</v>
      </c>
      <c r="O5" s="62">
        <f t="shared" si="1"/>
        <v>541667.31999999995</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6036.1640000000007</v>
      </c>
      <c r="K28" s="34">
        <f>$N28*0.4</f>
        <v>24144.656000000003</v>
      </c>
      <c r="L28" s="34">
        <f>$N28*0.35</f>
        <v>21126.573999999997</v>
      </c>
      <c r="M28" s="34">
        <f>$N28*0.15</f>
        <v>9054.2459999999992</v>
      </c>
      <c r="N28" s="34">
        <f>N4</f>
        <v>60361.64</v>
      </c>
      <c r="O28" s="8"/>
      <c r="P28" s="9">
        <f>VLOOKUP(H28,starratio3,4,FALSE)</f>
        <v>0</v>
      </c>
    </row>
    <row r="29" spans="1:36" ht="21.95" customHeight="1" x14ac:dyDescent="0.2">
      <c r="A29" s="262"/>
      <c r="B29" s="262"/>
      <c r="C29" s="263" t="s">
        <v>31</v>
      </c>
      <c r="D29" s="263"/>
      <c r="E29" s="263"/>
      <c r="F29" s="263"/>
      <c r="G29" s="263"/>
      <c r="H29" s="263"/>
      <c r="I29" s="263"/>
      <c r="J29" s="34">
        <f>SUM(J25:J28)</f>
        <v>6036.1640000000007</v>
      </c>
      <c r="K29" s="34">
        <f>SUM(K25:K28)</f>
        <v>24144.656000000003</v>
      </c>
      <c r="L29" s="34">
        <f>SUM(L25:L28)</f>
        <v>21126.573999999997</v>
      </c>
      <c r="M29" s="34">
        <f>SUM(M25:M28)</f>
        <v>9054.2459999999992</v>
      </c>
      <c r="N29" s="34">
        <f>SUM(N25:N28)</f>
        <v>60361.64</v>
      </c>
      <c r="O29" s="8"/>
      <c r="P29" s="9"/>
    </row>
    <row r="30" spans="1:36" ht="21.95" customHeight="1" x14ac:dyDescent="0.2">
      <c r="A30" s="262"/>
      <c r="B30" s="263" t="s">
        <v>44</v>
      </c>
      <c r="C30" s="263"/>
      <c r="D30" s="263"/>
      <c r="E30" s="263"/>
      <c r="F30" s="263"/>
      <c r="G30" s="263"/>
      <c r="H30" s="263"/>
      <c r="I30" s="263"/>
      <c r="J30" s="34">
        <f>J29</f>
        <v>6036.1640000000007</v>
      </c>
      <c r="K30" s="34">
        <f t="shared" ref="K30:N30" si="9">K29</f>
        <v>24144.656000000003</v>
      </c>
      <c r="L30" s="34">
        <f t="shared" si="9"/>
        <v>21126.573999999997</v>
      </c>
      <c r="M30" s="34">
        <f t="shared" si="9"/>
        <v>9054.2459999999992</v>
      </c>
      <c r="N30" s="34">
        <f t="shared" si="9"/>
        <v>60361.64</v>
      </c>
      <c r="O30" s="8"/>
      <c r="Q30" s="10"/>
      <c r="Z30" s="11"/>
      <c r="AC30" s="12"/>
      <c r="AD30" s="13"/>
    </row>
    <row r="31" spans="1:36" ht="21.95" customHeight="1" x14ac:dyDescent="0.2">
      <c r="A31" s="261" t="s">
        <v>45</v>
      </c>
      <c r="B31" s="261"/>
      <c r="C31" s="261"/>
      <c r="D31" s="261"/>
      <c r="E31" s="261"/>
      <c r="F31" s="261"/>
      <c r="G31" s="261"/>
      <c r="H31" s="261"/>
      <c r="I31" s="261"/>
      <c r="J31" s="34">
        <f>J24+J30</f>
        <v>51717.982000000004</v>
      </c>
      <c r="K31" s="34">
        <f>K24+K30</f>
        <v>206871.92800000001</v>
      </c>
      <c r="L31" s="34">
        <f>L24+L30</f>
        <v>181012.93699999998</v>
      </c>
      <c r="M31" s="34">
        <f>M24+M30</f>
        <v>77576.972999999998</v>
      </c>
      <c r="N31" s="34">
        <f>N24+N30</f>
        <v>517179.82</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8020.33</v>
      </c>
      <c r="L32" s="34"/>
      <c r="M32" s="34"/>
      <c r="N32" s="34">
        <f>ROUND($C$3*P32,2)</f>
        <v>8020.33</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8020.33</v>
      </c>
      <c r="L36" s="34">
        <f>SUM(L32:L35)</f>
        <v>0</v>
      </c>
      <c r="M36" s="34">
        <f>SUM(M32:M35)</f>
        <v>0</v>
      </c>
      <c r="N36" s="34">
        <f>SUM(N32:N35)</f>
        <v>8020.33</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8020.33</v>
      </c>
      <c r="L37" s="34">
        <f t="shared" si="11"/>
        <v>0</v>
      </c>
      <c r="M37" s="34">
        <f t="shared" si="11"/>
        <v>0</v>
      </c>
      <c r="N37" s="34">
        <f t="shared" si="11"/>
        <v>8020.33</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1059.76</v>
      </c>
      <c r="L38" s="34"/>
      <c r="M38" s="34"/>
      <c r="N38" s="34">
        <f>ROUND($C$4*P38,2)</f>
        <v>1059.76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1059.76</v>
      </c>
      <c r="L42" s="34">
        <f>SUM(L38:L41)</f>
        <v>0</v>
      </c>
      <c r="M42" s="34">
        <f>SUM(M38:M41)</f>
        <v>0</v>
      </c>
      <c r="N42" s="34">
        <f>SUM(N38:N41)</f>
        <v>1059.76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1059.76</v>
      </c>
      <c r="L43" s="34">
        <f t="shared" si="13"/>
        <v>0</v>
      </c>
      <c r="M43" s="34">
        <f t="shared" si="13"/>
        <v>0</v>
      </c>
      <c r="N43" s="34">
        <f t="shared" si="13"/>
        <v>1059.76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9080.09</v>
      </c>
      <c r="L44" s="34">
        <f>L37+L43</f>
        <v>0</v>
      </c>
      <c r="M44" s="34">
        <f>M37+M43</f>
        <v>0</v>
      </c>
      <c r="N44" s="34">
        <f>N37+N43</f>
        <v>9080.09</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2222.73</v>
      </c>
      <c r="L47" s="34"/>
      <c r="M47" s="34"/>
      <c r="N47" s="34">
        <f>ROUND($L$3*P47,2)</f>
        <v>2222.73</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2084.5499999999993</v>
      </c>
      <c r="L48" s="34"/>
      <c r="M48" s="34"/>
      <c r="N48" s="34">
        <f>M3-SUM(N10,N21,N35)</f>
        <v>2084.5499999999993</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4307.2799999999988</v>
      </c>
      <c r="L49" s="34">
        <f>SUM(L45:L48)</f>
        <v>0</v>
      </c>
      <c r="M49" s="34">
        <f>SUM(M45:M48)</f>
        <v>0</v>
      </c>
      <c r="N49" s="34">
        <f>SUM(N45:N48)</f>
        <v>4307.2799999999988</v>
      </c>
      <c r="O49" s="8"/>
      <c r="P49" s="9"/>
    </row>
    <row r="50" spans="1:36" ht="21.95" customHeight="1" x14ac:dyDescent="0.2">
      <c r="A50" s="262"/>
      <c r="B50" s="261" t="s">
        <v>60</v>
      </c>
      <c r="C50" s="261"/>
      <c r="D50" s="261"/>
      <c r="E50" s="261"/>
      <c r="F50" s="261"/>
      <c r="G50" s="261"/>
      <c r="H50" s="261"/>
      <c r="I50" s="261"/>
      <c r="J50" s="34">
        <f>J49</f>
        <v>0</v>
      </c>
      <c r="K50" s="34">
        <f t="shared" ref="K50:N50" si="15">K49</f>
        <v>4307.2799999999988</v>
      </c>
      <c r="L50" s="34">
        <f t="shared" si="15"/>
        <v>0</v>
      </c>
      <c r="M50" s="34">
        <f t="shared" si="15"/>
        <v>0</v>
      </c>
      <c r="N50" s="34">
        <f t="shared" si="15"/>
        <v>4307.2799999999988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293.7</v>
      </c>
      <c r="L53" s="34"/>
      <c r="M53" s="34"/>
      <c r="N53" s="34">
        <f>ROUND($L$4*P53,2)</f>
        <v>293.7</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275.45000000000073</v>
      </c>
      <c r="L54" s="34"/>
      <c r="M54" s="34"/>
      <c r="N54" s="34">
        <f>M4-SUM(N15,N27,N41)</f>
        <v>275.45000000000073</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569.15000000000077</v>
      </c>
      <c r="L55" s="34">
        <f>SUM(L51:L54)</f>
        <v>0</v>
      </c>
      <c r="M55" s="34">
        <f>SUM(M51:M54)</f>
        <v>0</v>
      </c>
      <c r="N55" s="34">
        <f>SUM(N51:N54)</f>
        <v>569.15000000000077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569.15000000000077</v>
      </c>
      <c r="L56" s="34">
        <f t="shared" si="17"/>
        <v>0</v>
      </c>
      <c r="M56" s="34">
        <f t="shared" si="17"/>
        <v>0</v>
      </c>
      <c r="N56" s="34">
        <f t="shared" si="17"/>
        <v>569.15000000000077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4876.4299999999994</v>
      </c>
      <c r="L57" s="34">
        <f>L50+L56</f>
        <v>0</v>
      </c>
      <c r="M57" s="34">
        <f>M50+M56</f>
        <v>0</v>
      </c>
      <c r="N57" s="34">
        <f>N50+N56</f>
        <v>4876.4299999999994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105.6</v>
      </c>
      <c r="L59" s="34"/>
      <c r="M59" s="34"/>
      <c r="N59" s="34">
        <f>D3</f>
        <v>105.6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751.67</v>
      </c>
      <c r="L60" s="34"/>
      <c r="M60" s="34"/>
      <c r="N60" s="34">
        <f>E3</f>
        <v>751.67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1089.27</v>
      </c>
      <c r="L61" s="34"/>
      <c r="M61" s="34"/>
      <c r="N61" s="34">
        <f>G3-SUM(N9,N20,N33,N46)</f>
        <v>1089.27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479.38</v>
      </c>
      <c r="L62" s="34"/>
      <c r="M62" s="34"/>
      <c r="N62" s="34">
        <f>H3</f>
        <v>479.38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6172.53</v>
      </c>
      <c r="L63" s="34"/>
      <c r="M63" s="34"/>
      <c r="N63" s="34">
        <f>I3</f>
        <v>6172.53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362.89</v>
      </c>
      <c r="L64" s="34"/>
      <c r="M64" s="34"/>
      <c r="N64" s="34">
        <f>J3</f>
        <v>362.89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340.54</v>
      </c>
      <c r="L66" s="34"/>
      <c r="M66" s="34"/>
      <c r="N66" s="34">
        <f>K3</f>
        <v>340.54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9301.880000000001</v>
      </c>
      <c r="L68" s="34">
        <f>SUM(L58:L67)</f>
        <v>0</v>
      </c>
      <c r="M68" s="34">
        <f>SUM(M58:M67)</f>
        <v>0</v>
      </c>
      <c r="N68" s="34">
        <f>SUM(N58:N67)</f>
        <v>9301.880000000001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9301.880000000001</v>
      </c>
      <c r="L69" s="34">
        <f t="shared" si="20"/>
        <v>0</v>
      </c>
      <c r="M69" s="34">
        <f t="shared" si="20"/>
        <v>0</v>
      </c>
      <c r="N69" s="34">
        <f t="shared" si="20"/>
        <v>9301.880000000001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13.95</v>
      </c>
      <c r="L71" s="34"/>
      <c r="M71" s="34"/>
      <c r="N71" s="34">
        <f>D4</f>
        <v>13.95</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99.32</v>
      </c>
      <c r="L72" s="34"/>
      <c r="M72" s="34"/>
      <c r="N72" s="34">
        <f>E4</f>
        <v>99.32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143.93</v>
      </c>
      <c r="L73" s="34"/>
      <c r="M73" s="34"/>
      <c r="N73" s="34">
        <f>G4-SUM(N14,N26,N39,N52)</f>
        <v>143.93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63.34</v>
      </c>
      <c r="L74" s="34"/>
      <c r="M74" s="34"/>
      <c r="N74" s="34">
        <f>H4</f>
        <v>63.34</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815.61</v>
      </c>
      <c r="L75" s="34"/>
      <c r="M75" s="34"/>
      <c r="N75" s="34">
        <f>I4</f>
        <v>815.61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47.95</v>
      </c>
      <c r="L76" s="34"/>
      <c r="M76" s="34"/>
      <c r="N76" s="34">
        <f>J4</f>
        <v>47.95</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45</v>
      </c>
      <c r="L78" s="34"/>
      <c r="M78" s="34"/>
      <c r="N78" s="34">
        <f>K4</f>
        <v>45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1229.1000000000001</v>
      </c>
      <c r="L80" s="34">
        <f>SUM(L70:L79)</f>
        <v>0</v>
      </c>
      <c r="M80" s="34">
        <f>SUM(M70:M79)</f>
        <v>0</v>
      </c>
      <c r="N80" s="34">
        <f>SUM(N70:N79)</f>
        <v>1229.1000000000001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1229.1000000000001</v>
      </c>
      <c r="L81" s="34">
        <f t="shared" si="23"/>
        <v>0</v>
      </c>
      <c r="M81" s="34">
        <f t="shared" si="23"/>
        <v>0</v>
      </c>
      <c r="N81" s="34">
        <f t="shared" si="23"/>
        <v>1229.1000000000001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10530.980000000001</v>
      </c>
      <c r="L82" s="34">
        <f>L69+L81</f>
        <v>0</v>
      </c>
      <c r="M82" s="34">
        <f>M69+M81</f>
        <v>0</v>
      </c>
      <c r="N82" s="34">
        <f>N69+N81</f>
        <v>10530.980000000001</v>
      </c>
      <c r="O82" s="8"/>
      <c r="R82" s="14"/>
      <c r="Z82" s="15"/>
      <c r="AJ82" s="16"/>
    </row>
    <row r="83" spans="1:36" s="31" customFormat="1" ht="21.95" customHeight="1" x14ac:dyDescent="0.2">
      <c r="A83" s="275" t="s">
        <v>82</v>
      </c>
      <c r="B83" s="275"/>
      <c r="C83" s="275"/>
      <c r="D83" s="275"/>
      <c r="E83" s="275"/>
      <c r="F83" s="275"/>
      <c r="G83" s="275"/>
      <c r="H83" s="275"/>
      <c r="I83" s="275"/>
      <c r="J83" s="35">
        <f>J18+J31+J44+J57+J82</f>
        <v>51717.982000000004</v>
      </c>
      <c r="K83" s="35">
        <f>K18+K31+K44+K57+K82</f>
        <v>231359.42800000001</v>
      </c>
      <c r="L83" s="35">
        <f>L18+L31+L44+L57+L82</f>
        <v>181012.93699999998</v>
      </c>
      <c r="M83" s="35">
        <f>M18+M31+M44+M57+M82</f>
        <v>77576.972999999998</v>
      </c>
      <c r="N83" s="38">
        <f>N18+N31+N44+N57+N82</f>
        <v>541667.32000000007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1B85BDD-F5D5-488F-95FB-31DDA587632E}">
          <x14:formula1>
            <xm:f>'2026 COB breakdown_Kris'!$A$5:$A$103</xm:f>
          </x14:formula1>
          <xm:sqref>A3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7C723-3CDA-4EFB-A407-19D22CE0475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177</v>
      </c>
      <c r="B3" s="58" t="s">
        <v>158</v>
      </c>
      <c r="C3" s="59">
        <f>VLOOKUP($A3,COBTABLE,15, FALSE)</f>
        <v>3648.47</v>
      </c>
      <c r="D3" s="59">
        <f>VLOOKUP($A3,COBTABLE,16, FALSE)</f>
        <v>48.04</v>
      </c>
      <c r="E3" s="59">
        <f>VLOOKUP($A3,COBTABLE,17, FALSE)</f>
        <v>341.94</v>
      </c>
      <c r="F3" s="59">
        <f>VLOOKUP($A3,COBTABLE,18, FALSE)</f>
        <v>0</v>
      </c>
      <c r="G3" s="59">
        <f>VLOOKUP($A3,COBTABLE,19, FALSE)</f>
        <v>495.51</v>
      </c>
      <c r="H3" s="59">
        <f>VLOOKUP($A3,COBTABLE,20, FALSE)</f>
        <v>218.07</v>
      </c>
      <c r="I3" s="59">
        <f>VLOOKUP($A3,COBTABLE,21, FALSE)</f>
        <v>2807.9</v>
      </c>
      <c r="J3" s="59">
        <f>VLOOKUP($A3,COBTABLE,22, FALSE)</f>
        <v>165.08</v>
      </c>
      <c r="K3" s="59">
        <f>VLOOKUP($A3,COBTABLE,23, FALSE)</f>
        <v>154.91</v>
      </c>
      <c r="L3" s="59">
        <f>VLOOKUP($A3,COBTABLE,24, FALSE)</f>
        <v>1011.12</v>
      </c>
      <c r="M3" s="59">
        <f>VLOOKUP($A3,COBTABLE,25, FALSE)</f>
        <v>948.26999999999862</v>
      </c>
      <c r="N3" s="60">
        <f>VLOOKUP($A3, countrygrant,2,FALSE)</f>
        <v>456818.18</v>
      </c>
      <c r="O3" s="92">
        <f>SUM(C3:N3)</f>
        <v>466657.49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3745.76</v>
      </c>
      <c r="D4" s="59">
        <f>VLOOKUP($A3,COBTABLE,28, FALSE)</f>
        <v>49.32</v>
      </c>
      <c r="E4" s="59">
        <f>VLOOKUP($A3,COBTABLE,29, FALSE)</f>
        <v>351.05</v>
      </c>
      <c r="F4" s="59">
        <f>VLOOKUP($A3,COBTABLE,30, FALSE)</f>
        <v>0</v>
      </c>
      <c r="G4" s="59">
        <f>VLOOKUP($A3,COBTABLE,31, FALSE)</f>
        <v>508.72</v>
      </c>
      <c r="H4" s="59">
        <f>VLOOKUP($A3,COBTABLE,32, FALSE)</f>
        <v>223.89</v>
      </c>
      <c r="I4" s="59">
        <f>VLOOKUP($A3,COBTABLE,33, FALSE)</f>
        <v>2882.78</v>
      </c>
      <c r="J4" s="59">
        <f>VLOOKUP($A3,COBTABLE,34, FALSE)</f>
        <v>169.48</v>
      </c>
      <c r="K4" s="59">
        <f>VLOOKUP($A3,COBTABLE,35, FALSE)</f>
        <v>159.04</v>
      </c>
      <c r="L4" s="59">
        <f>VLOOKUP($A3,COBTABLE,36, FALSE)</f>
        <v>1038.0899999999999</v>
      </c>
      <c r="M4" s="59">
        <f>VLOOKUP($A3,COBTABLE,37, FALSE)</f>
        <v>973.56000000000131</v>
      </c>
      <c r="N4" s="60">
        <f>VLOOKUP($A3, countrygrant,3,FALSE)</f>
        <v>469000</v>
      </c>
      <c r="O4" s="92">
        <f t="shared" ref="O4" si="0">SUM(C4:N4)</f>
        <v>479101.69</v>
      </c>
      <c r="P4" s="28"/>
      <c r="Q4" s="28"/>
      <c r="R4" s="28"/>
      <c r="S4" s="28"/>
      <c r="T4" s="28"/>
      <c r="U4" s="28"/>
      <c r="V4" s="28"/>
      <c r="W4" s="28"/>
      <c r="X4" s="28"/>
      <c r="Y4" s="28"/>
      <c r="Z4" s="28"/>
      <c r="AA4" s="28"/>
      <c r="AB4" s="28"/>
      <c r="AC4" s="28"/>
    </row>
    <row r="5" spans="1:36" s="53" customFormat="1" ht="12" customHeight="1" x14ac:dyDescent="0.25">
      <c r="A5" s="278"/>
      <c r="B5" s="61" t="s">
        <v>156</v>
      </c>
      <c r="C5" s="62">
        <f>SUM(C3:C4)</f>
        <v>7394.23</v>
      </c>
      <c r="D5" s="62">
        <f t="shared" ref="D5:O5" si="1">SUM(D3:D4)</f>
        <v>97.36</v>
      </c>
      <c r="E5" s="62">
        <f t="shared" si="1"/>
        <v>692.99</v>
      </c>
      <c r="F5" s="62">
        <f t="shared" si="1"/>
        <v>0</v>
      </c>
      <c r="G5" s="62">
        <f t="shared" si="1"/>
        <v>1004.23</v>
      </c>
      <c r="H5" s="62">
        <f t="shared" si="1"/>
        <v>441.96</v>
      </c>
      <c r="I5" s="62">
        <f t="shared" si="1"/>
        <v>5690.68</v>
      </c>
      <c r="J5" s="62">
        <f t="shared" si="1"/>
        <v>334.56</v>
      </c>
      <c r="K5" s="62">
        <f t="shared" si="1"/>
        <v>313.95</v>
      </c>
      <c r="L5" s="62">
        <f t="shared" si="1"/>
        <v>2049.21</v>
      </c>
      <c r="M5" s="62">
        <f t="shared" si="1"/>
        <v>1921.83</v>
      </c>
      <c r="N5" s="62">
        <f t="shared" si="1"/>
        <v>925818.17999999993</v>
      </c>
      <c r="O5" s="62">
        <f t="shared" si="1"/>
        <v>945759.17999999993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46900</v>
      </c>
      <c r="K28" s="34">
        <f>$N28*0.4</f>
        <v>187600</v>
      </c>
      <c r="L28" s="34">
        <f>$N28*0.35</f>
        <v>164150</v>
      </c>
      <c r="M28" s="34">
        <f>$N28*0.15</f>
        <v>70350</v>
      </c>
      <c r="N28" s="34">
        <f>N4</f>
        <v>469000</v>
      </c>
      <c r="O28" s="8"/>
      <c r="P28" s="9">
        <f>VLOOKUP(H28,starratio3,4,FALSE)</f>
        <v>0</v>
      </c>
    </row>
    <row r="29" spans="1:36" ht="21.95" customHeight="1" x14ac:dyDescent="0.2">
      <c r="A29" s="262"/>
      <c r="B29" s="262"/>
      <c r="C29" s="263" t="s">
        <v>31</v>
      </c>
      <c r="D29" s="263"/>
      <c r="E29" s="263"/>
      <c r="F29" s="263"/>
      <c r="G29" s="263"/>
      <c r="H29" s="263"/>
      <c r="I29" s="263"/>
      <c r="J29" s="34">
        <f>SUM(J25:J28)</f>
        <v>46900</v>
      </c>
      <c r="K29" s="34">
        <f>SUM(K25:K28)</f>
        <v>187600</v>
      </c>
      <c r="L29" s="34">
        <f>SUM(L25:L28)</f>
        <v>164150</v>
      </c>
      <c r="M29" s="34">
        <f>SUM(M25:M28)</f>
        <v>70350</v>
      </c>
      <c r="N29" s="34">
        <f>SUM(N25:N28)</f>
        <v>469000</v>
      </c>
      <c r="O29" s="8"/>
      <c r="P29" s="9"/>
    </row>
    <row r="30" spans="1:36" ht="21.95" customHeight="1" x14ac:dyDescent="0.2">
      <c r="A30" s="262"/>
      <c r="B30" s="263" t="s">
        <v>44</v>
      </c>
      <c r="C30" s="263"/>
      <c r="D30" s="263"/>
      <c r="E30" s="263"/>
      <c r="F30" s="263"/>
      <c r="G30" s="263"/>
      <c r="H30" s="263"/>
      <c r="I30" s="263"/>
      <c r="J30" s="34">
        <f>J29</f>
        <v>46900</v>
      </c>
      <c r="K30" s="34">
        <f t="shared" ref="K30:N30" si="9">K29</f>
        <v>187600</v>
      </c>
      <c r="L30" s="34">
        <f t="shared" si="9"/>
        <v>164150</v>
      </c>
      <c r="M30" s="34">
        <f t="shared" si="9"/>
        <v>70350</v>
      </c>
      <c r="N30" s="34">
        <f t="shared" si="9"/>
        <v>469000</v>
      </c>
      <c r="O30" s="8"/>
      <c r="Q30" s="10"/>
      <c r="Z30" s="11"/>
      <c r="AC30" s="12"/>
      <c r="AD30" s="13"/>
    </row>
    <row r="31" spans="1:36" ht="21.95" customHeight="1" x14ac:dyDescent="0.2">
      <c r="A31" s="261" t="s">
        <v>45</v>
      </c>
      <c r="B31" s="261"/>
      <c r="C31" s="261"/>
      <c r="D31" s="261"/>
      <c r="E31" s="261"/>
      <c r="F31" s="261"/>
      <c r="G31" s="261"/>
      <c r="H31" s="261"/>
      <c r="I31" s="261"/>
      <c r="J31" s="34">
        <f>J24+J30</f>
        <v>92581.817999999999</v>
      </c>
      <c r="K31" s="34">
        <f>K24+K30</f>
        <v>370327.272</v>
      </c>
      <c r="L31" s="34">
        <f>L24+L30</f>
        <v>324036.36300000001</v>
      </c>
      <c r="M31" s="34">
        <f>M24+M30</f>
        <v>138872.72700000001</v>
      </c>
      <c r="N31" s="34">
        <f>N24+N30</f>
        <v>925818.17999999993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3648.47</v>
      </c>
      <c r="L32" s="34"/>
      <c r="M32" s="34"/>
      <c r="N32" s="34">
        <f>ROUND($C$3*P32,2)</f>
        <v>3648.47</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3648.47</v>
      </c>
      <c r="L36" s="34">
        <f>SUM(L32:L35)</f>
        <v>0</v>
      </c>
      <c r="M36" s="34">
        <f>SUM(M32:M35)</f>
        <v>0</v>
      </c>
      <c r="N36" s="34">
        <f>SUM(N32:N35)</f>
        <v>3648.47</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3648.47</v>
      </c>
      <c r="L37" s="34">
        <f t="shared" si="11"/>
        <v>0</v>
      </c>
      <c r="M37" s="34">
        <f t="shared" si="11"/>
        <v>0</v>
      </c>
      <c r="N37" s="34">
        <f t="shared" si="11"/>
        <v>3648.47</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3745.76</v>
      </c>
      <c r="L38" s="34"/>
      <c r="M38" s="34"/>
      <c r="N38" s="34">
        <f>ROUND($C$4*P38,2)</f>
        <v>3745.76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3745.76</v>
      </c>
      <c r="L42" s="34">
        <f>SUM(L38:L41)</f>
        <v>0</v>
      </c>
      <c r="M42" s="34">
        <f>SUM(M38:M41)</f>
        <v>0</v>
      </c>
      <c r="N42" s="34">
        <f>SUM(N38:N41)</f>
        <v>3745.76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3745.76</v>
      </c>
      <c r="L43" s="34">
        <f t="shared" si="13"/>
        <v>0</v>
      </c>
      <c r="M43" s="34">
        <f t="shared" si="13"/>
        <v>0</v>
      </c>
      <c r="N43" s="34">
        <f t="shared" si="13"/>
        <v>3745.76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7394.23</v>
      </c>
      <c r="L44" s="34">
        <f>L37+L43</f>
        <v>0</v>
      </c>
      <c r="M44" s="34">
        <f>M37+M43</f>
        <v>0</v>
      </c>
      <c r="N44" s="34">
        <f>N37+N43</f>
        <v>7394.23</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1011.12</v>
      </c>
      <c r="L47" s="34"/>
      <c r="M47" s="34"/>
      <c r="N47" s="34">
        <f>ROUND($L$3*P47,2)</f>
        <v>1011.12</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948.26999999999862</v>
      </c>
      <c r="L48" s="34"/>
      <c r="M48" s="34"/>
      <c r="N48" s="34">
        <f>M3-SUM(N10,N21,N35)</f>
        <v>948.26999999999862</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1959.3899999999985</v>
      </c>
      <c r="L49" s="34">
        <f>SUM(L45:L48)</f>
        <v>0</v>
      </c>
      <c r="M49" s="34">
        <f>SUM(M45:M48)</f>
        <v>0</v>
      </c>
      <c r="N49" s="34">
        <f>SUM(N45:N48)</f>
        <v>1959.3899999999985</v>
      </c>
      <c r="O49" s="8"/>
      <c r="P49" s="9"/>
    </row>
    <row r="50" spans="1:36" ht="21.95" customHeight="1" x14ac:dyDescent="0.2">
      <c r="A50" s="262"/>
      <c r="B50" s="261" t="s">
        <v>60</v>
      </c>
      <c r="C50" s="261"/>
      <c r="D50" s="261"/>
      <c r="E50" s="261"/>
      <c r="F50" s="261"/>
      <c r="G50" s="261"/>
      <c r="H50" s="261"/>
      <c r="I50" s="261"/>
      <c r="J50" s="34">
        <f>J49</f>
        <v>0</v>
      </c>
      <c r="K50" s="34">
        <f t="shared" ref="K50:N50" si="15">K49</f>
        <v>1959.3899999999985</v>
      </c>
      <c r="L50" s="34">
        <f t="shared" si="15"/>
        <v>0</v>
      </c>
      <c r="M50" s="34">
        <f t="shared" si="15"/>
        <v>0</v>
      </c>
      <c r="N50" s="34">
        <f t="shared" si="15"/>
        <v>1959.3899999999985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1038.0899999999999</v>
      </c>
      <c r="L53" s="34"/>
      <c r="M53" s="34"/>
      <c r="N53" s="34">
        <f>ROUND($L$4*P53,2)</f>
        <v>1038.0899999999999</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973.56000000000131</v>
      </c>
      <c r="L54" s="34"/>
      <c r="M54" s="34"/>
      <c r="N54" s="34">
        <f>M4-SUM(N15,N27,N41)</f>
        <v>973.56000000000131</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2011.6500000000012</v>
      </c>
      <c r="L55" s="34">
        <f>SUM(L51:L54)</f>
        <v>0</v>
      </c>
      <c r="M55" s="34">
        <f>SUM(M51:M54)</f>
        <v>0</v>
      </c>
      <c r="N55" s="34">
        <f>SUM(N51:N54)</f>
        <v>2011.6500000000012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2011.6500000000012</v>
      </c>
      <c r="L56" s="34">
        <f t="shared" si="17"/>
        <v>0</v>
      </c>
      <c r="M56" s="34">
        <f t="shared" si="17"/>
        <v>0</v>
      </c>
      <c r="N56" s="34">
        <f t="shared" si="17"/>
        <v>2011.6500000000012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3971.04</v>
      </c>
      <c r="L57" s="34">
        <f>L50+L56</f>
        <v>0</v>
      </c>
      <c r="M57" s="34">
        <f>M50+M56</f>
        <v>0</v>
      </c>
      <c r="N57" s="34">
        <f>N50+N56</f>
        <v>3971.04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48.04</v>
      </c>
      <c r="L59" s="34"/>
      <c r="M59" s="34"/>
      <c r="N59" s="34">
        <f>D3</f>
        <v>48.04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341.94</v>
      </c>
      <c r="L60" s="34"/>
      <c r="M60" s="34"/>
      <c r="N60" s="34">
        <f>E3</f>
        <v>341.94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495.51</v>
      </c>
      <c r="L61" s="34"/>
      <c r="M61" s="34"/>
      <c r="N61" s="34">
        <f>G3-SUM(N9,N20,N33,N46)</f>
        <v>495.51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218.07</v>
      </c>
      <c r="L62" s="34"/>
      <c r="M62" s="34"/>
      <c r="N62" s="34">
        <f>H3</f>
        <v>218.07</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2807.9</v>
      </c>
      <c r="L63" s="34"/>
      <c r="M63" s="34"/>
      <c r="N63" s="34">
        <f>I3</f>
        <v>2807.9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165.08</v>
      </c>
      <c r="L64" s="34"/>
      <c r="M64" s="34"/>
      <c r="N64" s="34">
        <f>J3</f>
        <v>165.08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154.91</v>
      </c>
      <c r="L66" s="34"/>
      <c r="M66" s="34"/>
      <c r="N66" s="34">
        <f>K3</f>
        <v>154.91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4231.45</v>
      </c>
      <c r="L68" s="34">
        <f>SUM(L58:L67)</f>
        <v>0</v>
      </c>
      <c r="M68" s="34">
        <f>SUM(M58:M67)</f>
        <v>0</v>
      </c>
      <c r="N68" s="34">
        <f>SUM(N58:N67)</f>
        <v>4231.45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4231.45</v>
      </c>
      <c r="L69" s="34">
        <f t="shared" si="20"/>
        <v>0</v>
      </c>
      <c r="M69" s="34">
        <f t="shared" si="20"/>
        <v>0</v>
      </c>
      <c r="N69" s="34">
        <f t="shared" si="20"/>
        <v>4231.45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49.32</v>
      </c>
      <c r="L71" s="34"/>
      <c r="M71" s="34"/>
      <c r="N71" s="34">
        <f>D4</f>
        <v>49.32</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351.05</v>
      </c>
      <c r="L72" s="34"/>
      <c r="M72" s="34"/>
      <c r="N72" s="34">
        <f>E4</f>
        <v>351.05</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508.72</v>
      </c>
      <c r="L73" s="34"/>
      <c r="M73" s="34"/>
      <c r="N73" s="34">
        <f>G4-SUM(N14,N26,N39,N52)</f>
        <v>508.72</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223.89</v>
      </c>
      <c r="L74" s="34"/>
      <c r="M74" s="34"/>
      <c r="N74" s="34">
        <f>H4</f>
        <v>223.89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2882.78</v>
      </c>
      <c r="L75" s="34"/>
      <c r="M75" s="34"/>
      <c r="N75" s="34">
        <f>I4</f>
        <v>2882.78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169.48</v>
      </c>
      <c r="L76" s="34"/>
      <c r="M76" s="34"/>
      <c r="N76" s="34">
        <f>J4</f>
        <v>169.48</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159.04</v>
      </c>
      <c r="L78" s="34"/>
      <c r="M78" s="34"/>
      <c r="N78" s="34">
        <f>K4</f>
        <v>159.04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4344.28</v>
      </c>
      <c r="L80" s="34">
        <f>SUM(L70:L79)</f>
        <v>0</v>
      </c>
      <c r="M80" s="34">
        <f>SUM(M70:M79)</f>
        <v>0</v>
      </c>
      <c r="N80" s="34">
        <f>SUM(N70:N79)</f>
        <v>4344.28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4344.28</v>
      </c>
      <c r="L81" s="34">
        <f t="shared" si="23"/>
        <v>0</v>
      </c>
      <c r="M81" s="34">
        <f t="shared" si="23"/>
        <v>0</v>
      </c>
      <c r="N81" s="34">
        <f t="shared" si="23"/>
        <v>4344.28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8575.73</v>
      </c>
      <c r="L82" s="34">
        <f>L69+L81</f>
        <v>0</v>
      </c>
      <c r="M82" s="34">
        <f>M69+M81</f>
        <v>0</v>
      </c>
      <c r="N82" s="34">
        <f>N69+N81</f>
        <v>8575.73</v>
      </c>
      <c r="O82" s="8"/>
      <c r="R82" s="14"/>
      <c r="Z82" s="15"/>
      <c r="AJ82" s="16"/>
    </row>
    <row r="83" spans="1:36" s="31" customFormat="1" ht="21.95" customHeight="1" x14ac:dyDescent="0.2">
      <c r="A83" s="275" t="s">
        <v>82</v>
      </c>
      <c r="B83" s="275"/>
      <c r="C83" s="275"/>
      <c r="D83" s="275"/>
      <c r="E83" s="275"/>
      <c r="F83" s="275"/>
      <c r="G83" s="275"/>
      <c r="H83" s="275"/>
      <c r="I83" s="275"/>
      <c r="J83" s="35">
        <f>J18+J31+J44+J57+J82</f>
        <v>92581.817999999999</v>
      </c>
      <c r="K83" s="35">
        <f>K18+K31+K44+K57+K82</f>
        <v>390268.27199999994</v>
      </c>
      <c r="L83" s="35">
        <f>L18+L31+L44+L57+L82</f>
        <v>324036.36300000001</v>
      </c>
      <c r="M83" s="35">
        <f>M18+M31+M44+M57+M82</f>
        <v>138872.72700000001</v>
      </c>
      <c r="N83" s="38">
        <f>N18+N31+N44+N57+N82</f>
        <v>945759.17999999993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9AA59D8-C2F2-4894-A247-9F5E7605A216}">
          <x14:formula1>
            <xm:f>'2026 COB breakdown_Kris'!$A$5:$A$103</xm:f>
          </x14:formula1>
          <xm:sqref>A3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91B25-E1DB-43D2-A3E1-C59992E4B521}">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178</v>
      </c>
      <c r="B3" s="58" t="s">
        <v>158</v>
      </c>
      <c r="C3" s="59">
        <f>VLOOKUP($A3,COBTABLE,15, FALSE)</f>
        <v>5036.6499999999996</v>
      </c>
      <c r="D3" s="59">
        <f>VLOOKUP($A3,COBTABLE,16, FALSE)</f>
        <v>66.319999999999993</v>
      </c>
      <c r="E3" s="59">
        <f>VLOOKUP($A3,COBTABLE,17, FALSE)</f>
        <v>472.04</v>
      </c>
      <c r="F3" s="59">
        <f>VLOOKUP($A3,COBTABLE,18, FALSE)</f>
        <v>0</v>
      </c>
      <c r="G3" s="59">
        <f>VLOOKUP($A3,COBTABLE,19, FALSE)</f>
        <v>684.04</v>
      </c>
      <c r="H3" s="59">
        <f>VLOOKUP($A3,COBTABLE,20, FALSE)</f>
        <v>301.05</v>
      </c>
      <c r="I3" s="59">
        <f>VLOOKUP($A3,COBTABLE,21, FALSE)</f>
        <v>3876.26</v>
      </c>
      <c r="J3" s="59">
        <f>VLOOKUP($A3,COBTABLE,22, FALSE)</f>
        <v>227.89</v>
      </c>
      <c r="K3" s="59">
        <f>VLOOKUP($A3,COBTABLE,23, FALSE)</f>
        <v>213.85</v>
      </c>
      <c r="L3" s="59">
        <f>VLOOKUP($A3,COBTABLE,24, FALSE)</f>
        <v>1395.84</v>
      </c>
      <c r="M3" s="59">
        <f>VLOOKUP($A3,COBTABLE,25, FALSE)</f>
        <v>1309.08</v>
      </c>
      <c r="N3" s="60">
        <f>VLOOKUP($A3, countrygrant,2,FALSE)</f>
        <v>456818.18</v>
      </c>
      <c r="O3" s="92">
        <f>SUM(C3:N3)</f>
        <v>470401.2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6564.51</v>
      </c>
      <c r="D4" s="59">
        <f>VLOOKUP($A3,COBTABLE,28, FALSE)</f>
        <v>86.44</v>
      </c>
      <c r="E4" s="59">
        <f>VLOOKUP($A3,COBTABLE,29, FALSE)</f>
        <v>615.23</v>
      </c>
      <c r="F4" s="59">
        <f>VLOOKUP($A3,COBTABLE,30, FALSE)</f>
        <v>0</v>
      </c>
      <c r="G4" s="59">
        <f>VLOOKUP($A3,COBTABLE,31, FALSE)</f>
        <v>891.54</v>
      </c>
      <c r="H4" s="59">
        <f>VLOOKUP($A3,COBTABLE,32, FALSE)</f>
        <v>392.37</v>
      </c>
      <c r="I4" s="59">
        <f>VLOOKUP($A3,COBTABLE,33, FALSE)</f>
        <v>5052.12</v>
      </c>
      <c r="J4" s="59">
        <f>VLOOKUP($A3,COBTABLE,34, FALSE)</f>
        <v>297.02</v>
      </c>
      <c r="K4" s="59">
        <f>VLOOKUP($A3,COBTABLE,35, FALSE)</f>
        <v>278.72000000000003</v>
      </c>
      <c r="L4" s="59">
        <f>VLOOKUP($A3,COBTABLE,36, FALSE)</f>
        <v>1819.27</v>
      </c>
      <c r="M4" s="59">
        <f>VLOOKUP($A3,COBTABLE,37, FALSE)</f>
        <v>1706.1600000000017</v>
      </c>
      <c r="N4" s="60">
        <f>VLOOKUP($A3, countrygrant,3,FALSE)</f>
        <v>595392.15</v>
      </c>
      <c r="O4" s="92">
        <f t="shared" ref="O4" si="0">SUM(C4:N4)</f>
        <v>613095.53</v>
      </c>
      <c r="P4" s="28"/>
      <c r="Q4" s="28"/>
      <c r="R4" s="28"/>
      <c r="S4" s="28"/>
      <c r="T4" s="28"/>
      <c r="U4" s="28"/>
      <c r="V4" s="28"/>
      <c r="W4" s="28"/>
      <c r="X4" s="28"/>
      <c r="Y4" s="28"/>
      <c r="Z4" s="28"/>
      <c r="AA4" s="28"/>
      <c r="AB4" s="28"/>
      <c r="AC4" s="28"/>
    </row>
    <row r="5" spans="1:36" s="53" customFormat="1" ht="12" customHeight="1" x14ac:dyDescent="0.25">
      <c r="A5" s="278"/>
      <c r="B5" s="61" t="s">
        <v>156</v>
      </c>
      <c r="C5" s="62">
        <f>SUM(C3:C4)</f>
        <v>11601.16</v>
      </c>
      <c r="D5" s="62">
        <f t="shared" ref="D5:O5" si="1">SUM(D3:D4)</f>
        <v>152.76</v>
      </c>
      <c r="E5" s="62">
        <f t="shared" si="1"/>
        <v>1087.27</v>
      </c>
      <c r="F5" s="62">
        <f t="shared" si="1"/>
        <v>0</v>
      </c>
      <c r="G5" s="62">
        <f t="shared" si="1"/>
        <v>1575.58</v>
      </c>
      <c r="H5" s="62">
        <f t="shared" si="1"/>
        <v>693.42000000000007</v>
      </c>
      <c r="I5" s="62">
        <f t="shared" si="1"/>
        <v>8928.380000000001</v>
      </c>
      <c r="J5" s="62">
        <f t="shared" si="1"/>
        <v>524.91</v>
      </c>
      <c r="K5" s="62">
        <f t="shared" si="1"/>
        <v>492.57000000000005</v>
      </c>
      <c r="L5" s="62">
        <f t="shared" si="1"/>
        <v>3215.1099999999997</v>
      </c>
      <c r="M5" s="62">
        <f t="shared" si="1"/>
        <v>3015.2400000000016</v>
      </c>
      <c r="N5" s="62">
        <f t="shared" si="1"/>
        <v>1052210.33</v>
      </c>
      <c r="O5" s="62">
        <f t="shared" si="1"/>
        <v>1083496.73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59539.215000000004</v>
      </c>
      <c r="K28" s="34">
        <f>$N28*0.4</f>
        <v>238156.86000000002</v>
      </c>
      <c r="L28" s="34">
        <f>$N28*0.35</f>
        <v>208387.2525</v>
      </c>
      <c r="M28" s="34">
        <f>$N28*0.15</f>
        <v>89308.822499999995</v>
      </c>
      <c r="N28" s="34">
        <f>N4</f>
        <v>595392.15</v>
      </c>
      <c r="O28" s="8"/>
      <c r="P28" s="9">
        <f>VLOOKUP(H28,starratio3,4,FALSE)</f>
        <v>0</v>
      </c>
    </row>
    <row r="29" spans="1:36" ht="21.95" customHeight="1" x14ac:dyDescent="0.2">
      <c r="A29" s="262"/>
      <c r="B29" s="262"/>
      <c r="C29" s="263" t="s">
        <v>31</v>
      </c>
      <c r="D29" s="263"/>
      <c r="E29" s="263"/>
      <c r="F29" s="263"/>
      <c r="G29" s="263"/>
      <c r="H29" s="263"/>
      <c r="I29" s="263"/>
      <c r="J29" s="34">
        <f>SUM(J25:J28)</f>
        <v>59539.215000000004</v>
      </c>
      <c r="K29" s="34">
        <f>SUM(K25:K28)</f>
        <v>238156.86000000002</v>
      </c>
      <c r="L29" s="34">
        <f>SUM(L25:L28)</f>
        <v>208387.2525</v>
      </c>
      <c r="M29" s="34">
        <f>SUM(M25:M28)</f>
        <v>89308.822499999995</v>
      </c>
      <c r="N29" s="34">
        <f>SUM(N25:N28)</f>
        <v>595392.15</v>
      </c>
      <c r="O29" s="8"/>
      <c r="P29" s="9"/>
    </row>
    <row r="30" spans="1:36" ht="21.95" customHeight="1" x14ac:dyDescent="0.2">
      <c r="A30" s="262"/>
      <c r="B30" s="263" t="s">
        <v>44</v>
      </c>
      <c r="C30" s="263"/>
      <c r="D30" s="263"/>
      <c r="E30" s="263"/>
      <c r="F30" s="263"/>
      <c r="G30" s="263"/>
      <c r="H30" s="263"/>
      <c r="I30" s="263"/>
      <c r="J30" s="34">
        <f>J29</f>
        <v>59539.215000000004</v>
      </c>
      <c r="K30" s="34">
        <f t="shared" ref="K30:N30" si="9">K29</f>
        <v>238156.86000000002</v>
      </c>
      <c r="L30" s="34">
        <f t="shared" si="9"/>
        <v>208387.2525</v>
      </c>
      <c r="M30" s="34">
        <f t="shared" si="9"/>
        <v>89308.822499999995</v>
      </c>
      <c r="N30" s="34">
        <f t="shared" si="9"/>
        <v>595392.15</v>
      </c>
      <c r="O30" s="8"/>
      <c r="Q30" s="10"/>
      <c r="Z30" s="11"/>
      <c r="AC30" s="12"/>
      <c r="AD30" s="13"/>
    </row>
    <row r="31" spans="1:36" ht="21.95" customHeight="1" x14ac:dyDescent="0.2">
      <c r="A31" s="261" t="s">
        <v>45</v>
      </c>
      <c r="B31" s="261"/>
      <c r="C31" s="261"/>
      <c r="D31" s="261"/>
      <c r="E31" s="261"/>
      <c r="F31" s="261"/>
      <c r="G31" s="261"/>
      <c r="H31" s="261"/>
      <c r="I31" s="261"/>
      <c r="J31" s="34">
        <f>J24+J30</f>
        <v>105221.033</v>
      </c>
      <c r="K31" s="34">
        <f>K24+K30</f>
        <v>420884.13199999998</v>
      </c>
      <c r="L31" s="34">
        <f>L24+L30</f>
        <v>368273.61549999996</v>
      </c>
      <c r="M31" s="34">
        <f>M24+M30</f>
        <v>157831.54949999999</v>
      </c>
      <c r="N31" s="34">
        <f>N24+N30</f>
        <v>1052210.33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5036.6499999999996</v>
      </c>
      <c r="L32" s="34"/>
      <c r="M32" s="34"/>
      <c r="N32" s="34">
        <f>ROUND($C$3*P32,2)</f>
        <v>5036.6499999999996</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5036.6499999999996</v>
      </c>
      <c r="L36" s="34">
        <f>SUM(L32:L35)</f>
        <v>0</v>
      </c>
      <c r="M36" s="34">
        <f>SUM(M32:M35)</f>
        <v>0</v>
      </c>
      <c r="N36" s="34">
        <f>SUM(N32:N35)</f>
        <v>5036.6499999999996</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5036.6499999999996</v>
      </c>
      <c r="L37" s="34">
        <f t="shared" si="11"/>
        <v>0</v>
      </c>
      <c r="M37" s="34">
        <f t="shared" si="11"/>
        <v>0</v>
      </c>
      <c r="N37" s="34">
        <f t="shared" si="11"/>
        <v>5036.6499999999996</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6564.51</v>
      </c>
      <c r="L38" s="34"/>
      <c r="M38" s="34"/>
      <c r="N38" s="34">
        <f>ROUND($C$4*P38,2)</f>
        <v>6564.51</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6564.51</v>
      </c>
      <c r="L42" s="34">
        <f>SUM(L38:L41)</f>
        <v>0</v>
      </c>
      <c r="M42" s="34">
        <f>SUM(M38:M41)</f>
        <v>0</v>
      </c>
      <c r="N42" s="34">
        <f>SUM(N38:N41)</f>
        <v>6564.51</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6564.51</v>
      </c>
      <c r="L43" s="34">
        <f t="shared" si="13"/>
        <v>0</v>
      </c>
      <c r="M43" s="34">
        <f t="shared" si="13"/>
        <v>0</v>
      </c>
      <c r="N43" s="34">
        <f t="shared" si="13"/>
        <v>6564.51</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11601.16</v>
      </c>
      <c r="L44" s="34">
        <f>L37+L43</f>
        <v>0</v>
      </c>
      <c r="M44" s="34">
        <f>M37+M43</f>
        <v>0</v>
      </c>
      <c r="N44" s="34">
        <f>N37+N43</f>
        <v>11601.16</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1395.84</v>
      </c>
      <c r="L47" s="34"/>
      <c r="M47" s="34"/>
      <c r="N47" s="34">
        <f>ROUND($L$3*P47,2)</f>
        <v>1395.84</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1309.08</v>
      </c>
      <c r="L48" s="34"/>
      <c r="M48" s="34"/>
      <c r="N48" s="34">
        <f>M3-SUM(N10,N21,N35)</f>
        <v>1309.08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2704.92</v>
      </c>
      <c r="L49" s="34">
        <f>SUM(L45:L48)</f>
        <v>0</v>
      </c>
      <c r="M49" s="34">
        <f>SUM(M45:M48)</f>
        <v>0</v>
      </c>
      <c r="N49" s="34">
        <f>SUM(N45:N48)</f>
        <v>2704.92</v>
      </c>
      <c r="O49" s="8"/>
      <c r="P49" s="9"/>
    </row>
    <row r="50" spans="1:36" ht="21.95" customHeight="1" x14ac:dyDescent="0.2">
      <c r="A50" s="262"/>
      <c r="B50" s="261" t="s">
        <v>60</v>
      </c>
      <c r="C50" s="261"/>
      <c r="D50" s="261"/>
      <c r="E50" s="261"/>
      <c r="F50" s="261"/>
      <c r="G50" s="261"/>
      <c r="H50" s="261"/>
      <c r="I50" s="261"/>
      <c r="J50" s="34">
        <f>J49</f>
        <v>0</v>
      </c>
      <c r="K50" s="34">
        <f t="shared" ref="K50:N50" si="15">K49</f>
        <v>2704.92</v>
      </c>
      <c r="L50" s="34">
        <f t="shared" si="15"/>
        <v>0</v>
      </c>
      <c r="M50" s="34">
        <f t="shared" si="15"/>
        <v>0</v>
      </c>
      <c r="N50" s="34">
        <f t="shared" si="15"/>
        <v>2704.92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1819.27</v>
      </c>
      <c r="L53" s="34"/>
      <c r="M53" s="34"/>
      <c r="N53" s="34">
        <f>ROUND($L$4*P53,2)</f>
        <v>1819.27</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1706.1600000000017</v>
      </c>
      <c r="L54" s="34"/>
      <c r="M54" s="34"/>
      <c r="N54" s="34">
        <f>M4-SUM(N15,N27,N41)</f>
        <v>1706.1600000000017</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3525.4300000000017</v>
      </c>
      <c r="L55" s="34">
        <f>SUM(L51:L54)</f>
        <v>0</v>
      </c>
      <c r="M55" s="34">
        <f>SUM(M51:M54)</f>
        <v>0</v>
      </c>
      <c r="N55" s="34">
        <f>SUM(N51:N54)</f>
        <v>3525.4300000000017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3525.4300000000017</v>
      </c>
      <c r="L56" s="34">
        <f t="shared" si="17"/>
        <v>0</v>
      </c>
      <c r="M56" s="34">
        <f t="shared" si="17"/>
        <v>0</v>
      </c>
      <c r="N56" s="34">
        <f t="shared" si="17"/>
        <v>3525.4300000000017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6230.3500000000022</v>
      </c>
      <c r="L57" s="34">
        <f>L50+L56</f>
        <v>0</v>
      </c>
      <c r="M57" s="34">
        <f>M50+M56</f>
        <v>0</v>
      </c>
      <c r="N57" s="34">
        <f>N50+N56</f>
        <v>6230.3500000000022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66.319999999999993</v>
      </c>
      <c r="L59" s="34"/>
      <c r="M59" s="34"/>
      <c r="N59" s="34">
        <f>D3</f>
        <v>66.319999999999993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472.04</v>
      </c>
      <c r="L60" s="34"/>
      <c r="M60" s="34"/>
      <c r="N60" s="34">
        <f>E3</f>
        <v>472.04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684.04</v>
      </c>
      <c r="L61" s="34"/>
      <c r="M61" s="34"/>
      <c r="N61" s="34">
        <f>G3-SUM(N9,N20,N33,N46)</f>
        <v>684.04</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301.05</v>
      </c>
      <c r="L62" s="34"/>
      <c r="M62" s="34"/>
      <c r="N62" s="34">
        <f>H3</f>
        <v>301.05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3876.26</v>
      </c>
      <c r="L63" s="34"/>
      <c r="M63" s="34"/>
      <c r="N63" s="34">
        <f>I3</f>
        <v>3876.26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227.89</v>
      </c>
      <c r="L64" s="34"/>
      <c r="M64" s="34"/>
      <c r="N64" s="34">
        <f>J3</f>
        <v>227.89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213.85</v>
      </c>
      <c r="L66" s="34"/>
      <c r="M66" s="34"/>
      <c r="N66" s="34">
        <f>K3</f>
        <v>213.85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5841.4500000000007</v>
      </c>
      <c r="L68" s="34">
        <f>SUM(L58:L67)</f>
        <v>0</v>
      </c>
      <c r="M68" s="34">
        <f>SUM(M58:M67)</f>
        <v>0</v>
      </c>
      <c r="N68" s="34">
        <f>SUM(N58:N67)</f>
        <v>5841.4500000000007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5841.4500000000007</v>
      </c>
      <c r="L69" s="34">
        <f t="shared" si="20"/>
        <v>0</v>
      </c>
      <c r="M69" s="34">
        <f t="shared" si="20"/>
        <v>0</v>
      </c>
      <c r="N69" s="34">
        <f t="shared" si="20"/>
        <v>5841.4500000000007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86.44</v>
      </c>
      <c r="L71" s="34"/>
      <c r="M71" s="34"/>
      <c r="N71" s="34">
        <f>D4</f>
        <v>86.44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615.23</v>
      </c>
      <c r="L72" s="34"/>
      <c r="M72" s="34"/>
      <c r="N72" s="34">
        <f>E4</f>
        <v>615.23</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891.54</v>
      </c>
      <c r="L73" s="34"/>
      <c r="M73" s="34"/>
      <c r="N73" s="34">
        <f>G4-SUM(N14,N26,N39,N52)</f>
        <v>891.54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392.37</v>
      </c>
      <c r="L74" s="34"/>
      <c r="M74" s="34"/>
      <c r="N74" s="34">
        <f>H4</f>
        <v>392.37</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5052.12</v>
      </c>
      <c r="L75" s="34"/>
      <c r="M75" s="34"/>
      <c r="N75" s="34">
        <f>I4</f>
        <v>5052.12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297.02</v>
      </c>
      <c r="L76" s="34"/>
      <c r="M76" s="34"/>
      <c r="N76" s="34">
        <f>J4</f>
        <v>297.02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278.72000000000003</v>
      </c>
      <c r="L78" s="34"/>
      <c r="M78" s="34"/>
      <c r="N78" s="34">
        <f>K4</f>
        <v>278.72000000000003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7613.44</v>
      </c>
      <c r="L80" s="34">
        <f>SUM(L70:L79)</f>
        <v>0</v>
      </c>
      <c r="M80" s="34">
        <f>SUM(M70:M79)</f>
        <v>0</v>
      </c>
      <c r="N80" s="34">
        <f>SUM(N70:N79)</f>
        <v>7613.44</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7613.44</v>
      </c>
      <c r="L81" s="34">
        <f t="shared" si="23"/>
        <v>0</v>
      </c>
      <c r="M81" s="34">
        <f t="shared" si="23"/>
        <v>0</v>
      </c>
      <c r="N81" s="34">
        <f t="shared" si="23"/>
        <v>7613.44</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13454.89</v>
      </c>
      <c r="L82" s="34">
        <f>L69+L81</f>
        <v>0</v>
      </c>
      <c r="M82" s="34">
        <f>M69+M81</f>
        <v>0</v>
      </c>
      <c r="N82" s="34">
        <f>N69+N81</f>
        <v>13454.89</v>
      </c>
      <c r="O82" s="8"/>
      <c r="R82" s="14"/>
      <c r="Z82" s="15"/>
      <c r="AJ82" s="16"/>
    </row>
    <row r="83" spans="1:36" s="31" customFormat="1" ht="21.95" customHeight="1" x14ac:dyDescent="0.2">
      <c r="A83" s="275" t="s">
        <v>82</v>
      </c>
      <c r="B83" s="275"/>
      <c r="C83" s="275"/>
      <c r="D83" s="275"/>
      <c r="E83" s="275"/>
      <c r="F83" s="275"/>
      <c r="G83" s="275"/>
      <c r="H83" s="275"/>
      <c r="I83" s="275"/>
      <c r="J83" s="35">
        <f>J18+J31+J44+J57+J82</f>
        <v>105221.033</v>
      </c>
      <c r="K83" s="35">
        <f>K18+K31+K44+K57+K82</f>
        <v>452170.53199999995</v>
      </c>
      <c r="L83" s="35">
        <f>L18+L31+L44+L57+L82</f>
        <v>368273.61549999996</v>
      </c>
      <c r="M83" s="35">
        <f>M18+M31+M44+M57+M82</f>
        <v>157831.54949999999</v>
      </c>
      <c r="N83" s="38">
        <f>N18+N31+N44+N57+N82</f>
        <v>1083496.73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8DD91C3-B4E5-49BB-8410-025C64C9E7C6}">
          <x14:formula1>
            <xm:f>'2026 COB breakdown_Kris'!$A$5:$A$103</xm:f>
          </x14:formula1>
          <xm:sqref>A3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C6BBE-9198-470A-87D1-8583726134F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179</v>
      </c>
      <c r="B3" s="58" t="s">
        <v>158</v>
      </c>
      <c r="C3" s="59">
        <f>VLOOKUP($A3,COBTABLE,15, FALSE)</f>
        <v>4570.05</v>
      </c>
      <c r="D3" s="59">
        <f>VLOOKUP($A3,COBTABLE,16, FALSE)</f>
        <v>60.17</v>
      </c>
      <c r="E3" s="59">
        <f>VLOOKUP($A3,COBTABLE,17, FALSE)</f>
        <v>428.31</v>
      </c>
      <c r="F3" s="59">
        <f>VLOOKUP($A3,COBTABLE,18, FALSE)</f>
        <v>0</v>
      </c>
      <c r="G3" s="59">
        <f>VLOOKUP($A3,COBTABLE,19, FALSE)</f>
        <v>620.66999999999996</v>
      </c>
      <c r="H3" s="59">
        <f>VLOOKUP($A3,COBTABLE,20, FALSE)</f>
        <v>273.16000000000003</v>
      </c>
      <c r="I3" s="59">
        <f>VLOOKUP($A3,COBTABLE,21, FALSE)</f>
        <v>3517.16</v>
      </c>
      <c r="J3" s="59">
        <f>VLOOKUP($A3,COBTABLE,22, FALSE)</f>
        <v>206.78</v>
      </c>
      <c r="K3" s="59">
        <f>VLOOKUP($A3,COBTABLE,23, FALSE)</f>
        <v>194.04</v>
      </c>
      <c r="L3" s="59">
        <f>VLOOKUP($A3,COBTABLE,24, FALSE)</f>
        <v>1266.53</v>
      </c>
      <c r="M3" s="59">
        <f>VLOOKUP($A3,COBTABLE,25, FALSE)</f>
        <v>1187.7900000000009</v>
      </c>
      <c r="N3" s="60">
        <f>VLOOKUP($A3, countrygrant,2,FALSE)</f>
        <v>456818.18</v>
      </c>
      <c r="O3" s="92">
        <f>SUM(C3:N3)</f>
        <v>469142.83999999997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13405.48</v>
      </c>
      <c r="D4" s="59">
        <f>VLOOKUP($A3,COBTABLE,28, FALSE)</f>
        <v>176.51</v>
      </c>
      <c r="E4" s="59">
        <f>VLOOKUP($A3,COBTABLE,29, FALSE)</f>
        <v>1256.3599999999999</v>
      </c>
      <c r="F4" s="59">
        <f>VLOOKUP($A3,COBTABLE,30, FALSE)</f>
        <v>0</v>
      </c>
      <c r="G4" s="59">
        <f>VLOOKUP($A3,COBTABLE,31, FALSE)</f>
        <v>1820.63</v>
      </c>
      <c r="H4" s="59">
        <f>VLOOKUP($A3,COBTABLE,32, FALSE)</f>
        <v>801.26</v>
      </c>
      <c r="I4" s="59">
        <f>VLOOKUP($A3,COBTABLE,33, FALSE)</f>
        <v>10317.01</v>
      </c>
      <c r="J4" s="59">
        <f>VLOOKUP($A3,COBTABLE,34, FALSE)</f>
        <v>606.54999999999995</v>
      </c>
      <c r="K4" s="59">
        <f>VLOOKUP($A3,COBTABLE,35, FALSE)</f>
        <v>569.17999999999995</v>
      </c>
      <c r="L4" s="59">
        <f>VLOOKUP($A3,COBTABLE,36, FALSE)</f>
        <v>3715.16</v>
      </c>
      <c r="M4" s="59">
        <f>VLOOKUP($A3,COBTABLE,37, FALSE)</f>
        <v>3484.1999999999971</v>
      </c>
      <c r="N4" s="60">
        <f>VLOOKUP($A3, countrygrant,3,FALSE)</f>
        <v>1340000</v>
      </c>
      <c r="O4" s="92">
        <f t="shared" ref="O4" si="0">SUM(C4:N4)</f>
        <v>1376152.34</v>
      </c>
      <c r="P4" s="28"/>
      <c r="Q4" s="28"/>
      <c r="R4" s="28"/>
      <c r="S4" s="28"/>
      <c r="T4" s="28"/>
      <c r="U4" s="28"/>
      <c r="V4" s="28"/>
      <c r="W4" s="28"/>
      <c r="X4" s="28"/>
      <c r="Y4" s="28"/>
      <c r="Z4" s="28"/>
      <c r="AA4" s="28"/>
      <c r="AB4" s="28"/>
      <c r="AC4" s="28"/>
    </row>
    <row r="5" spans="1:36" s="53" customFormat="1" ht="12" customHeight="1" x14ac:dyDescent="0.25">
      <c r="A5" s="278"/>
      <c r="B5" s="61" t="s">
        <v>156</v>
      </c>
      <c r="C5" s="62">
        <f>SUM(C3:C4)</f>
        <v>17975.53</v>
      </c>
      <c r="D5" s="62">
        <f t="shared" ref="D5:O5" si="1">SUM(D3:D4)</f>
        <v>236.68</v>
      </c>
      <c r="E5" s="62">
        <f t="shared" si="1"/>
        <v>1684.6699999999998</v>
      </c>
      <c r="F5" s="62">
        <f t="shared" si="1"/>
        <v>0</v>
      </c>
      <c r="G5" s="62">
        <f t="shared" si="1"/>
        <v>2441.3000000000002</v>
      </c>
      <c r="H5" s="62">
        <f t="shared" si="1"/>
        <v>1074.42</v>
      </c>
      <c r="I5" s="62">
        <f t="shared" si="1"/>
        <v>13834.17</v>
      </c>
      <c r="J5" s="62">
        <f t="shared" si="1"/>
        <v>813.32999999999993</v>
      </c>
      <c r="K5" s="62">
        <f t="shared" si="1"/>
        <v>763.21999999999991</v>
      </c>
      <c r="L5" s="62">
        <f t="shared" si="1"/>
        <v>4981.6899999999996</v>
      </c>
      <c r="M5" s="62">
        <f t="shared" si="1"/>
        <v>4671.989999999998</v>
      </c>
      <c r="N5" s="62">
        <f t="shared" si="1"/>
        <v>1796818.18</v>
      </c>
      <c r="O5" s="62">
        <f t="shared" si="1"/>
        <v>1845295.1800000002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134000</v>
      </c>
      <c r="K28" s="34">
        <f>$N28*0.4</f>
        <v>536000</v>
      </c>
      <c r="L28" s="34">
        <f>$N28*0.35</f>
        <v>468999.99999999994</v>
      </c>
      <c r="M28" s="34">
        <f>$N28*0.15</f>
        <v>201000</v>
      </c>
      <c r="N28" s="34">
        <f>N4</f>
        <v>1340000</v>
      </c>
      <c r="O28" s="8"/>
      <c r="P28" s="9">
        <f>VLOOKUP(H28,starratio3,4,FALSE)</f>
        <v>0</v>
      </c>
    </row>
    <row r="29" spans="1:36" ht="21.95" customHeight="1" x14ac:dyDescent="0.2">
      <c r="A29" s="262"/>
      <c r="B29" s="262"/>
      <c r="C29" s="263" t="s">
        <v>31</v>
      </c>
      <c r="D29" s="263"/>
      <c r="E29" s="263"/>
      <c r="F29" s="263"/>
      <c r="G29" s="263"/>
      <c r="H29" s="263"/>
      <c r="I29" s="263"/>
      <c r="J29" s="34">
        <f>SUM(J25:J28)</f>
        <v>134000</v>
      </c>
      <c r="K29" s="34">
        <f>SUM(K25:K28)</f>
        <v>536000</v>
      </c>
      <c r="L29" s="34">
        <f>SUM(L25:L28)</f>
        <v>468999.99999999994</v>
      </c>
      <c r="M29" s="34">
        <f>SUM(M25:M28)</f>
        <v>201000</v>
      </c>
      <c r="N29" s="34">
        <f>SUM(N25:N28)</f>
        <v>1340000</v>
      </c>
      <c r="O29" s="8"/>
      <c r="P29" s="9"/>
    </row>
    <row r="30" spans="1:36" ht="21.95" customHeight="1" x14ac:dyDescent="0.2">
      <c r="A30" s="262"/>
      <c r="B30" s="263" t="s">
        <v>44</v>
      </c>
      <c r="C30" s="263"/>
      <c r="D30" s="263"/>
      <c r="E30" s="263"/>
      <c r="F30" s="263"/>
      <c r="G30" s="263"/>
      <c r="H30" s="263"/>
      <c r="I30" s="263"/>
      <c r="J30" s="34">
        <f>J29</f>
        <v>134000</v>
      </c>
      <c r="K30" s="34">
        <f t="shared" ref="K30:N30" si="9">K29</f>
        <v>536000</v>
      </c>
      <c r="L30" s="34">
        <f t="shared" si="9"/>
        <v>468999.99999999994</v>
      </c>
      <c r="M30" s="34">
        <f t="shared" si="9"/>
        <v>201000</v>
      </c>
      <c r="N30" s="34">
        <f t="shared" si="9"/>
        <v>1340000</v>
      </c>
      <c r="O30" s="8"/>
      <c r="Q30" s="10"/>
      <c r="Z30" s="11"/>
      <c r="AC30" s="12"/>
      <c r="AD30" s="13"/>
    </row>
    <row r="31" spans="1:36" ht="21.95" customHeight="1" x14ac:dyDescent="0.2">
      <c r="A31" s="261" t="s">
        <v>45</v>
      </c>
      <c r="B31" s="261"/>
      <c r="C31" s="261"/>
      <c r="D31" s="261"/>
      <c r="E31" s="261"/>
      <c r="F31" s="261"/>
      <c r="G31" s="261"/>
      <c r="H31" s="261"/>
      <c r="I31" s="261"/>
      <c r="J31" s="34">
        <f>J24+J30</f>
        <v>179681.818</v>
      </c>
      <c r="K31" s="34">
        <f>K24+K30</f>
        <v>718727.272</v>
      </c>
      <c r="L31" s="34">
        <f>L24+L30</f>
        <v>628886.3629999999</v>
      </c>
      <c r="M31" s="34">
        <f>M24+M30</f>
        <v>269522.72700000001</v>
      </c>
      <c r="N31" s="34">
        <f>N24+N30</f>
        <v>1796818.18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4570.05</v>
      </c>
      <c r="L32" s="34"/>
      <c r="M32" s="34"/>
      <c r="N32" s="34">
        <f>ROUND($C$3*P32,2)</f>
        <v>4570.05</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4570.05</v>
      </c>
      <c r="L36" s="34">
        <f>SUM(L32:L35)</f>
        <v>0</v>
      </c>
      <c r="M36" s="34">
        <f>SUM(M32:M35)</f>
        <v>0</v>
      </c>
      <c r="N36" s="34">
        <f>SUM(N32:N35)</f>
        <v>4570.05</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4570.05</v>
      </c>
      <c r="L37" s="34">
        <f t="shared" si="11"/>
        <v>0</v>
      </c>
      <c r="M37" s="34">
        <f t="shared" si="11"/>
        <v>0</v>
      </c>
      <c r="N37" s="34">
        <f t="shared" si="11"/>
        <v>4570.05</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13405.48</v>
      </c>
      <c r="L38" s="34"/>
      <c r="M38" s="34"/>
      <c r="N38" s="34">
        <f>ROUND($C$4*P38,2)</f>
        <v>13405.48</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13405.48</v>
      </c>
      <c r="L42" s="34">
        <f>SUM(L38:L41)</f>
        <v>0</v>
      </c>
      <c r="M42" s="34">
        <f>SUM(M38:M41)</f>
        <v>0</v>
      </c>
      <c r="N42" s="34">
        <f>SUM(N38:N41)</f>
        <v>13405.48</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13405.48</v>
      </c>
      <c r="L43" s="34">
        <f t="shared" si="13"/>
        <v>0</v>
      </c>
      <c r="M43" s="34">
        <f t="shared" si="13"/>
        <v>0</v>
      </c>
      <c r="N43" s="34">
        <f t="shared" si="13"/>
        <v>13405.48</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17975.53</v>
      </c>
      <c r="L44" s="34">
        <f>L37+L43</f>
        <v>0</v>
      </c>
      <c r="M44" s="34">
        <f>M37+M43</f>
        <v>0</v>
      </c>
      <c r="N44" s="34">
        <f>N37+N43</f>
        <v>17975.53</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1266.53</v>
      </c>
      <c r="L47" s="34"/>
      <c r="M47" s="34"/>
      <c r="N47" s="34">
        <f>ROUND($L$3*P47,2)</f>
        <v>1266.53</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1187.7900000000009</v>
      </c>
      <c r="L48" s="34"/>
      <c r="M48" s="34"/>
      <c r="N48" s="34">
        <f>M3-SUM(N10,N21,N35)</f>
        <v>1187.7900000000009</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2454.3200000000006</v>
      </c>
      <c r="L49" s="34">
        <f>SUM(L45:L48)</f>
        <v>0</v>
      </c>
      <c r="M49" s="34">
        <f>SUM(M45:M48)</f>
        <v>0</v>
      </c>
      <c r="N49" s="34">
        <f>SUM(N45:N48)</f>
        <v>2454.3200000000006</v>
      </c>
      <c r="O49" s="8"/>
      <c r="P49" s="9"/>
    </row>
    <row r="50" spans="1:36" ht="21.95" customHeight="1" x14ac:dyDescent="0.2">
      <c r="A50" s="262"/>
      <c r="B50" s="261" t="s">
        <v>60</v>
      </c>
      <c r="C50" s="261"/>
      <c r="D50" s="261"/>
      <c r="E50" s="261"/>
      <c r="F50" s="261"/>
      <c r="G50" s="261"/>
      <c r="H50" s="261"/>
      <c r="I50" s="261"/>
      <c r="J50" s="34">
        <f>J49</f>
        <v>0</v>
      </c>
      <c r="K50" s="34">
        <f t="shared" ref="K50:N50" si="15">K49</f>
        <v>2454.3200000000006</v>
      </c>
      <c r="L50" s="34">
        <f t="shared" si="15"/>
        <v>0</v>
      </c>
      <c r="M50" s="34">
        <f t="shared" si="15"/>
        <v>0</v>
      </c>
      <c r="N50" s="34">
        <f t="shared" si="15"/>
        <v>2454.3200000000006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3715.16</v>
      </c>
      <c r="L53" s="34"/>
      <c r="M53" s="34"/>
      <c r="N53" s="34">
        <f>ROUND($L$4*P53,2)</f>
        <v>3715.16</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3484.1999999999971</v>
      </c>
      <c r="L54" s="34"/>
      <c r="M54" s="34"/>
      <c r="N54" s="34">
        <f>M4-SUM(N15,N27,N41)</f>
        <v>3484.1999999999971</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7199.3599999999969</v>
      </c>
      <c r="L55" s="34">
        <f>SUM(L51:L54)</f>
        <v>0</v>
      </c>
      <c r="M55" s="34">
        <f>SUM(M51:M54)</f>
        <v>0</v>
      </c>
      <c r="N55" s="34">
        <f>SUM(N51:N54)</f>
        <v>7199.3599999999969</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7199.3599999999969</v>
      </c>
      <c r="L56" s="34">
        <f t="shared" si="17"/>
        <v>0</v>
      </c>
      <c r="M56" s="34">
        <f t="shared" si="17"/>
        <v>0</v>
      </c>
      <c r="N56" s="34">
        <f t="shared" si="17"/>
        <v>7199.3599999999969</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9653.6799999999967</v>
      </c>
      <c r="L57" s="34">
        <f>L50+L56</f>
        <v>0</v>
      </c>
      <c r="M57" s="34">
        <f>M50+M56</f>
        <v>0</v>
      </c>
      <c r="N57" s="34">
        <f>N50+N56</f>
        <v>9653.6799999999967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60.17</v>
      </c>
      <c r="L59" s="34"/>
      <c r="M59" s="34"/>
      <c r="N59" s="34">
        <f>D3</f>
        <v>60.17</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428.31</v>
      </c>
      <c r="L60" s="34"/>
      <c r="M60" s="34"/>
      <c r="N60" s="34">
        <f>E3</f>
        <v>428.31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620.66999999999996</v>
      </c>
      <c r="L61" s="34"/>
      <c r="M61" s="34"/>
      <c r="N61" s="34">
        <f>G3-SUM(N9,N20,N33,N46)</f>
        <v>620.66999999999996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273.16000000000003</v>
      </c>
      <c r="L62" s="34"/>
      <c r="M62" s="34"/>
      <c r="N62" s="34">
        <f>H3</f>
        <v>273.16000000000003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3517.16</v>
      </c>
      <c r="L63" s="34"/>
      <c r="M63" s="34"/>
      <c r="N63" s="34">
        <f>I3</f>
        <v>3517.16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206.78</v>
      </c>
      <c r="L64" s="34"/>
      <c r="M64" s="34"/>
      <c r="N64" s="34">
        <f>J3</f>
        <v>206.78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194.04</v>
      </c>
      <c r="L66" s="34"/>
      <c r="M66" s="34"/>
      <c r="N66" s="34">
        <f>K3</f>
        <v>194.04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5300.29</v>
      </c>
      <c r="L68" s="34">
        <f>SUM(L58:L67)</f>
        <v>0</v>
      </c>
      <c r="M68" s="34">
        <f>SUM(M58:M67)</f>
        <v>0</v>
      </c>
      <c r="N68" s="34">
        <f>SUM(N58:N67)</f>
        <v>5300.29</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5300.29</v>
      </c>
      <c r="L69" s="34">
        <f t="shared" si="20"/>
        <v>0</v>
      </c>
      <c r="M69" s="34">
        <f t="shared" si="20"/>
        <v>0</v>
      </c>
      <c r="N69" s="34">
        <f t="shared" si="20"/>
        <v>5300.29</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176.51</v>
      </c>
      <c r="L71" s="34"/>
      <c r="M71" s="34"/>
      <c r="N71" s="34">
        <f>D4</f>
        <v>176.51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1256.3599999999999</v>
      </c>
      <c r="L72" s="34"/>
      <c r="M72" s="34"/>
      <c r="N72" s="34">
        <f>E4</f>
        <v>1256.3599999999999</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1820.63</v>
      </c>
      <c r="L73" s="34"/>
      <c r="M73" s="34"/>
      <c r="N73" s="34">
        <f>G4-SUM(N14,N26,N39,N52)</f>
        <v>1820.63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801.26</v>
      </c>
      <c r="L74" s="34"/>
      <c r="M74" s="34"/>
      <c r="N74" s="34">
        <f>H4</f>
        <v>801.26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10317.01</v>
      </c>
      <c r="L75" s="34"/>
      <c r="M75" s="34"/>
      <c r="N75" s="34">
        <f>I4</f>
        <v>10317.01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606.54999999999995</v>
      </c>
      <c r="L76" s="34"/>
      <c r="M76" s="34"/>
      <c r="N76" s="34">
        <f>J4</f>
        <v>606.54999999999995</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569.17999999999995</v>
      </c>
      <c r="L78" s="34"/>
      <c r="M78" s="34"/>
      <c r="N78" s="34">
        <f>K4</f>
        <v>569.17999999999995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15547.5</v>
      </c>
      <c r="L80" s="34">
        <f>SUM(L70:L79)</f>
        <v>0</v>
      </c>
      <c r="M80" s="34">
        <f>SUM(M70:M79)</f>
        <v>0</v>
      </c>
      <c r="N80" s="34">
        <f>SUM(N70:N79)</f>
        <v>15547.5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15547.5</v>
      </c>
      <c r="L81" s="34">
        <f t="shared" si="23"/>
        <v>0</v>
      </c>
      <c r="M81" s="34">
        <f t="shared" si="23"/>
        <v>0</v>
      </c>
      <c r="N81" s="34">
        <f t="shared" si="23"/>
        <v>15547.5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20847.79</v>
      </c>
      <c r="L82" s="34">
        <f>L69+L81</f>
        <v>0</v>
      </c>
      <c r="M82" s="34">
        <f>M69+M81</f>
        <v>0</v>
      </c>
      <c r="N82" s="34">
        <f>N69+N81</f>
        <v>20847.79</v>
      </c>
      <c r="O82" s="8"/>
      <c r="R82" s="14"/>
      <c r="Z82" s="15"/>
      <c r="AJ82" s="16"/>
    </row>
    <row r="83" spans="1:36" s="31" customFormat="1" ht="21.95" customHeight="1" x14ac:dyDescent="0.2">
      <c r="A83" s="275" t="s">
        <v>82</v>
      </c>
      <c r="B83" s="275"/>
      <c r="C83" s="275"/>
      <c r="D83" s="275"/>
      <c r="E83" s="275"/>
      <c r="F83" s="275"/>
      <c r="G83" s="275"/>
      <c r="H83" s="275"/>
      <c r="I83" s="275"/>
      <c r="J83" s="35">
        <f>J18+J31+J44+J57+J82</f>
        <v>179681.818</v>
      </c>
      <c r="K83" s="35">
        <f>K18+K31+K44+K57+K82</f>
        <v>767204.27200000011</v>
      </c>
      <c r="L83" s="35">
        <f>L18+L31+L44+L57+L82</f>
        <v>628886.3629999999</v>
      </c>
      <c r="M83" s="35">
        <f>M18+M31+M44+M57+M82</f>
        <v>269522.72700000001</v>
      </c>
      <c r="N83" s="38">
        <f>N18+N31+N44+N57+N82</f>
        <v>1845295.18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379F586-E0D3-4DE5-8D62-F39BE4D503EF}">
          <x14:formula1>
            <xm:f>'2026 COB breakdown_Kris'!$A$5:$A$103</xm:f>
          </x14:formula1>
          <xm:sqref>A3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958AE-0DFE-40C4-A025-42075DF70495}">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180</v>
      </c>
      <c r="B3" s="58" t="s">
        <v>158</v>
      </c>
      <c r="C3" s="59">
        <f>VLOOKUP($A3,COBTABLE,15, FALSE)</f>
        <v>4536.5600000000004</v>
      </c>
      <c r="D3" s="59">
        <f>VLOOKUP($A3,COBTABLE,16, FALSE)</f>
        <v>59.73</v>
      </c>
      <c r="E3" s="59">
        <f>VLOOKUP($A3,COBTABLE,17, FALSE)</f>
        <v>425.17</v>
      </c>
      <c r="F3" s="59">
        <f>VLOOKUP($A3,COBTABLE,18, FALSE)</f>
        <v>0</v>
      </c>
      <c r="G3" s="59">
        <f>VLOOKUP($A3,COBTABLE,19, FALSE)</f>
        <v>616.12</v>
      </c>
      <c r="H3" s="59">
        <f>VLOOKUP($A3,COBTABLE,20, FALSE)</f>
        <v>271.16000000000003</v>
      </c>
      <c r="I3" s="59">
        <f>VLOOKUP($A3,COBTABLE,21, FALSE)</f>
        <v>3491.39</v>
      </c>
      <c r="J3" s="59">
        <f>VLOOKUP($A3,COBTABLE,22, FALSE)</f>
        <v>205.26</v>
      </c>
      <c r="K3" s="59">
        <f>VLOOKUP($A3,COBTABLE,23, FALSE)</f>
        <v>192.62</v>
      </c>
      <c r="L3" s="59">
        <f>VLOOKUP($A3,COBTABLE,24, FALSE)</f>
        <v>1257.25</v>
      </c>
      <c r="M3" s="59">
        <f>VLOOKUP($A3,COBTABLE,25, FALSE)</f>
        <v>1179.0900000000001</v>
      </c>
      <c r="N3" s="60">
        <f>VLOOKUP($A3, countrygrant,2,FALSE)</f>
        <v>456818.18</v>
      </c>
      <c r="O3" s="92">
        <f>SUM(C3:N3)</f>
        <v>469052.52999999997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5374.69</v>
      </c>
      <c r="D4" s="59">
        <f>VLOOKUP($A3,COBTABLE,28, FALSE)</f>
        <v>70.77</v>
      </c>
      <c r="E4" s="59">
        <f>VLOOKUP($A3,COBTABLE,29, FALSE)</f>
        <v>503.72</v>
      </c>
      <c r="F4" s="59">
        <f>VLOOKUP($A3,COBTABLE,30, FALSE)</f>
        <v>0</v>
      </c>
      <c r="G4" s="59">
        <f>VLOOKUP($A3,COBTABLE,31, FALSE)</f>
        <v>729.95</v>
      </c>
      <c r="H4" s="59">
        <f>VLOOKUP($A3,COBTABLE,32, FALSE)</f>
        <v>321.25</v>
      </c>
      <c r="I4" s="59">
        <f>VLOOKUP($A3,COBTABLE,33, FALSE)</f>
        <v>4136.42</v>
      </c>
      <c r="J4" s="59">
        <f>VLOOKUP($A3,COBTABLE,34, FALSE)</f>
        <v>243.19</v>
      </c>
      <c r="K4" s="59">
        <f>VLOOKUP($A3,COBTABLE,35, FALSE)</f>
        <v>228.2</v>
      </c>
      <c r="L4" s="59">
        <f>VLOOKUP($A3,COBTABLE,36, FALSE)</f>
        <v>1489.53</v>
      </c>
      <c r="M4" s="59">
        <f>VLOOKUP($A3,COBTABLE,37, FALSE)</f>
        <v>1396.9299999999985</v>
      </c>
      <c r="N4" s="60">
        <f>VLOOKUP($A3, countrygrant,3,FALSE)</f>
        <v>541215.28</v>
      </c>
      <c r="O4" s="92">
        <f t="shared" ref="O4" si="0">SUM(C4:N4)</f>
        <v>555709.93000000005</v>
      </c>
      <c r="P4" s="28"/>
      <c r="Q4" s="28"/>
      <c r="R4" s="28"/>
      <c r="S4" s="28"/>
      <c r="T4" s="28"/>
      <c r="U4" s="28"/>
      <c r="V4" s="28"/>
      <c r="W4" s="28"/>
      <c r="X4" s="28"/>
      <c r="Y4" s="28"/>
      <c r="Z4" s="28"/>
      <c r="AA4" s="28"/>
      <c r="AB4" s="28"/>
      <c r="AC4" s="28"/>
    </row>
    <row r="5" spans="1:36" s="53" customFormat="1" ht="12" customHeight="1" x14ac:dyDescent="0.25">
      <c r="A5" s="278"/>
      <c r="B5" s="61" t="s">
        <v>156</v>
      </c>
      <c r="C5" s="62">
        <f>SUM(C3:C4)</f>
        <v>9911.25</v>
      </c>
      <c r="D5" s="62">
        <f t="shared" ref="D5:O5" si="1">SUM(D3:D4)</f>
        <v>130.5</v>
      </c>
      <c r="E5" s="62">
        <f t="shared" si="1"/>
        <v>928.8900000000001</v>
      </c>
      <c r="F5" s="62">
        <f t="shared" si="1"/>
        <v>0</v>
      </c>
      <c r="G5" s="62">
        <f t="shared" si="1"/>
        <v>1346.0700000000002</v>
      </c>
      <c r="H5" s="62">
        <f t="shared" si="1"/>
        <v>592.41000000000008</v>
      </c>
      <c r="I5" s="62">
        <f t="shared" si="1"/>
        <v>7627.8099999999995</v>
      </c>
      <c r="J5" s="62">
        <f t="shared" si="1"/>
        <v>448.45</v>
      </c>
      <c r="K5" s="62">
        <f t="shared" si="1"/>
        <v>420.82</v>
      </c>
      <c r="L5" s="62">
        <f t="shared" si="1"/>
        <v>2746.7799999999997</v>
      </c>
      <c r="M5" s="62">
        <f t="shared" si="1"/>
        <v>2576.0199999999986</v>
      </c>
      <c r="N5" s="62">
        <f t="shared" si="1"/>
        <v>998033.46</v>
      </c>
      <c r="O5" s="62">
        <f t="shared" si="1"/>
        <v>1024762.46</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54121.528000000006</v>
      </c>
      <c r="K28" s="34">
        <f>$N28*0.4</f>
        <v>216486.11200000002</v>
      </c>
      <c r="L28" s="34">
        <f>$N28*0.35</f>
        <v>189425.348</v>
      </c>
      <c r="M28" s="34">
        <f>$N28*0.15</f>
        <v>81182.292000000001</v>
      </c>
      <c r="N28" s="34">
        <f>N4</f>
        <v>541215.28</v>
      </c>
      <c r="O28" s="8"/>
      <c r="P28" s="9">
        <f>VLOOKUP(H28,starratio3,4,FALSE)</f>
        <v>0</v>
      </c>
    </row>
    <row r="29" spans="1:36" ht="21.95" customHeight="1" x14ac:dyDescent="0.2">
      <c r="A29" s="262"/>
      <c r="B29" s="262"/>
      <c r="C29" s="263" t="s">
        <v>31</v>
      </c>
      <c r="D29" s="263"/>
      <c r="E29" s="263"/>
      <c r="F29" s="263"/>
      <c r="G29" s="263"/>
      <c r="H29" s="263"/>
      <c r="I29" s="263"/>
      <c r="J29" s="34">
        <f>SUM(J25:J28)</f>
        <v>54121.528000000006</v>
      </c>
      <c r="K29" s="34">
        <f>SUM(K25:K28)</f>
        <v>216486.11200000002</v>
      </c>
      <c r="L29" s="34">
        <f>SUM(L25:L28)</f>
        <v>189425.348</v>
      </c>
      <c r="M29" s="34">
        <f>SUM(M25:M28)</f>
        <v>81182.292000000001</v>
      </c>
      <c r="N29" s="34">
        <f>SUM(N25:N28)</f>
        <v>541215.28</v>
      </c>
      <c r="O29" s="8"/>
      <c r="P29" s="9"/>
    </row>
    <row r="30" spans="1:36" ht="21.95" customHeight="1" x14ac:dyDescent="0.2">
      <c r="A30" s="262"/>
      <c r="B30" s="263" t="s">
        <v>44</v>
      </c>
      <c r="C30" s="263"/>
      <c r="D30" s="263"/>
      <c r="E30" s="263"/>
      <c r="F30" s="263"/>
      <c r="G30" s="263"/>
      <c r="H30" s="263"/>
      <c r="I30" s="263"/>
      <c r="J30" s="34">
        <f>J29</f>
        <v>54121.528000000006</v>
      </c>
      <c r="K30" s="34">
        <f t="shared" ref="K30:N30" si="9">K29</f>
        <v>216486.11200000002</v>
      </c>
      <c r="L30" s="34">
        <f t="shared" si="9"/>
        <v>189425.348</v>
      </c>
      <c r="M30" s="34">
        <f t="shared" si="9"/>
        <v>81182.292000000001</v>
      </c>
      <c r="N30" s="34">
        <f t="shared" si="9"/>
        <v>541215.28</v>
      </c>
      <c r="O30" s="8"/>
      <c r="Q30" s="10"/>
      <c r="Z30" s="11"/>
      <c r="AC30" s="12"/>
      <c r="AD30" s="13"/>
    </row>
    <row r="31" spans="1:36" ht="21.95" customHeight="1" x14ac:dyDescent="0.2">
      <c r="A31" s="261" t="s">
        <v>45</v>
      </c>
      <c r="B31" s="261"/>
      <c r="C31" s="261"/>
      <c r="D31" s="261"/>
      <c r="E31" s="261"/>
      <c r="F31" s="261"/>
      <c r="G31" s="261"/>
      <c r="H31" s="261"/>
      <c r="I31" s="261"/>
      <c r="J31" s="34">
        <f>J24+J30</f>
        <v>99803.346000000005</v>
      </c>
      <c r="K31" s="34">
        <f>K24+K30</f>
        <v>399213.38400000002</v>
      </c>
      <c r="L31" s="34">
        <f>L24+L30</f>
        <v>349311.71100000001</v>
      </c>
      <c r="M31" s="34">
        <f>M24+M30</f>
        <v>149705.019</v>
      </c>
      <c r="N31" s="34">
        <f>N24+N30</f>
        <v>998033.46</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4536.5600000000004</v>
      </c>
      <c r="L32" s="34"/>
      <c r="M32" s="34"/>
      <c r="N32" s="34">
        <f>ROUND($C$3*P32,2)</f>
        <v>4536.5600000000004</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4536.5600000000004</v>
      </c>
      <c r="L36" s="34">
        <f>SUM(L32:L35)</f>
        <v>0</v>
      </c>
      <c r="M36" s="34">
        <f>SUM(M32:M35)</f>
        <v>0</v>
      </c>
      <c r="N36" s="34">
        <f>SUM(N32:N35)</f>
        <v>4536.5600000000004</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4536.5600000000004</v>
      </c>
      <c r="L37" s="34">
        <f t="shared" si="11"/>
        <v>0</v>
      </c>
      <c r="M37" s="34">
        <f t="shared" si="11"/>
        <v>0</v>
      </c>
      <c r="N37" s="34">
        <f t="shared" si="11"/>
        <v>4536.5600000000004</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5374.69</v>
      </c>
      <c r="L38" s="34"/>
      <c r="M38" s="34"/>
      <c r="N38" s="34">
        <f>ROUND($C$4*P38,2)</f>
        <v>5374.69</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5374.69</v>
      </c>
      <c r="L42" s="34">
        <f>SUM(L38:L41)</f>
        <v>0</v>
      </c>
      <c r="M42" s="34">
        <f>SUM(M38:M41)</f>
        <v>0</v>
      </c>
      <c r="N42" s="34">
        <f>SUM(N38:N41)</f>
        <v>5374.69</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5374.69</v>
      </c>
      <c r="L43" s="34">
        <f t="shared" si="13"/>
        <v>0</v>
      </c>
      <c r="M43" s="34">
        <f t="shared" si="13"/>
        <v>0</v>
      </c>
      <c r="N43" s="34">
        <f t="shared" si="13"/>
        <v>5374.69</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9911.25</v>
      </c>
      <c r="L44" s="34">
        <f>L37+L43</f>
        <v>0</v>
      </c>
      <c r="M44" s="34">
        <f>M37+M43</f>
        <v>0</v>
      </c>
      <c r="N44" s="34">
        <f>N37+N43</f>
        <v>9911.25</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1257.25</v>
      </c>
      <c r="L47" s="34"/>
      <c r="M47" s="34"/>
      <c r="N47" s="34">
        <f>ROUND($L$3*P47,2)</f>
        <v>1257.25</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1179.0900000000001</v>
      </c>
      <c r="L48" s="34"/>
      <c r="M48" s="34"/>
      <c r="N48" s="34">
        <f>M3-SUM(N10,N21,N35)</f>
        <v>1179.0900000000001</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2436.34</v>
      </c>
      <c r="L49" s="34">
        <f>SUM(L45:L48)</f>
        <v>0</v>
      </c>
      <c r="M49" s="34">
        <f>SUM(M45:M48)</f>
        <v>0</v>
      </c>
      <c r="N49" s="34">
        <f>SUM(N45:N48)</f>
        <v>2436.34</v>
      </c>
      <c r="O49" s="8"/>
      <c r="P49" s="9"/>
    </row>
    <row r="50" spans="1:36" ht="21.95" customHeight="1" x14ac:dyDescent="0.2">
      <c r="A50" s="262"/>
      <c r="B50" s="261" t="s">
        <v>60</v>
      </c>
      <c r="C50" s="261"/>
      <c r="D50" s="261"/>
      <c r="E50" s="261"/>
      <c r="F50" s="261"/>
      <c r="G50" s="261"/>
      <c r="H50" s="261"/>
      <c r="I50" s="261"/>
      <c r="J50" s="34">
        <f>J49</f>
        <v>0</v>
      </c>
      <c r="K50" s="34">
        <f t="shared" ref="K50:N50" si="15">K49</f>
        <v>2436.34</v>
      </c>
      <c r="L50" s="34">
        <f t="shared" si="15"/>
        <v>0</v>
      </c>
      <c r="M50" s="34">
        <f t="shared" si="15"/>
        <v>0</v>
      </c>
      <c r="N50" s="34">
        <f t="shared" si="15"/>
        <v>2436.34</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1489.53</v>
      </c>
      <c r="L53" s="34"/>
      <c r="M53" s="34"/>
      <c r="N53" s="34">
        <f>ROUND($L$4*P53,2)</f>
        <v>1489.53</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1396.9299999999985</v>
      </c>
      <c r="L54" s="34"/>
      <c r="M54" s="34"/>
      <c r="N54" s="34">
        <f>M4-SUM(N15,N27,N41)</f>
        <v>1396.9299999999985</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2886.4599999999982</v>
      </c>
      <c r="L55" s="34">
        <f>SUM(L51:L54)</f>
        <v>0</v>
      </c>
      <c r="M55" s="34">
        <f>SUM(M51:M54)</f>
        <v>0</v>
      </c>
      <c r="N55" s="34">
        <f>SUM(N51:N54)</f>
        <v>2886.4599999999982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2886.4599999999982</v>
      </c>
      <c r="L56" s="34">
        <f t="shared" si="17"/>
        <v>0</v>
      </c>
      <c r="M56" s="34">
        <f t="shared" si="17"/>
        <v>0</v>
      </c>
      <c r="N56" s="34">
        <f t="shared" si="17"/>
        <v>2886.4599999999982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5322.7999999999984</v>
      </c>
      <c r="L57" s="34">
        <f>L50+L56</f>
        <v>0</v>
      </c>
      <c r="M57" s="34">
        <f>M50+M56</f>
        <v>0</v>
      </c>
      <c r="N57" s="34">
        <f>N50+N56</f>
        <v>5322.7999999999984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59.73</v>
      </c>
      <c r="L59" s="34"/>
      <c r="M59" s="34"/>
      <c r="N59" s="34">
        <f>D3</f>
        <v>59.73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425.17</v>
      </c>
      <c r="L60" s="34"/>
      <c r="M60" s="34"/>
      <c r="N60" s="34">
        <f>E3</f>
        <v>425.17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616.12</v>
      </c>
      <c r="L61" s="34"/>
      <c r="M61" s="34"/>
      <c r="N61" s="34">
        <f>G3-SUM(N9,N20,N33,N46)</f>
        <v>616.12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271.16000000000003</v>
      </c>
      <c r="L62" s="34"/>
      <c r="M62" s="34"/>
      <c r="N62" s="34">
        <f>H3</f>
        <v>271.16000000000003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3491.39</v>
      </c>
      <c r="L63" s="34"/>
      <c r="M63" s="34"/>
      <c r="N63" s="34">
        <f>I3</f>
        <v>3491.39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205.26</v>
      </c>
      <c r="L64" s="34"/>
      <c r="M64" s="34"/>
      <c r="N64" s="34">
        <f>J3</f>
        <v>205.26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192.62</v>
      </c>
      <c r="L66" s="34"/>
      <c r="M66" s="34"/>
      <c r="N66" s="34">
        <f>K3</f>
        <v>192.62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5261.45</v>
      </c>
      <c r="L68" s="34">
        <f>SUM(L58:L67)</f>
        <v>0</v>
      </c>
      <c r="M68" s="34">
        <f>SUM(M58:M67)</f>
        <v>0</v>
      </c>
      <c r="N68" s="34">
        <f>SUM(N58:N67)</f>
        <v>5261.45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5261.45</v>
      </c>
      <c r="L69" s="34">
        <f t="shared" si="20"/>
        <v>0</v>
      </c>
      <c r="M69" s="34">
        <f t="shared" si="20"/>
        <v>0</v>
      </c>
      <c r="N69" s="34">
        <f t="shared" si="20"/>
        <v>5261.45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70.77</v>
      </c>
      <c r="L71" s="34"/>
      <c r="M71" s="34"/>
      <c r="N71" s="34">
        <f>D4</f>
        <v>70.77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503.72</v>
      </c>
      <c r="L72" s="34"/>
      <c r="M72" s="34"/>
      <c r="N72" s="34">
        <f>E4</f>
        <v>503.72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729.95</v>
      </c>
      <c r="L73" s="34"/>
      <c r="M73" s="34"/>
      <c r="N73" s="34">
        <f>G4-SUM(N14,N26,N39,N52)</f>
        <v>729.95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321.25</v>
      </c>
      <c r="L74" s="34"/>
      <c r="M74" s="34"/>
      <c r="N74" s="34">
        <f>H4</f>
        <v>321.25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4136.42</v>
      </c>
      <c r="L75" s="34"/>
      <c r="M75" s="34"/>
      <c r="N75" s="34">
        <f>I4</f>
        <v>4136.42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243.19</v>
      </c>
      <c r="L76" s="34"/>
      <c r="M76" s="34"/>
      <c r="N76" s="34">
        <f>J4</f>
        <v>243.19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228.2</v>
      </c>
      <c r="L78" s="34"/>
      <c r="M78" s="34"/>
      <c r="N78" s="34">
        <f>K4</f>
        <v>228.2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6233.5</v>
      </c>
      <c r="L80" s="34">
        <f>SUM(L70:L79)</f>
        <v>0</v>
      </c>
      <c r="M80" s="34">
        <f>SUM(M70:M79)</f>
        <v>0</v>
      </c>
      <c r="N80" s="34">
        <f>SUM(N70:N79)</f>
        <v>6233.5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6233.5</v>
      </c>
      <c r="L81" s="34">
        <f t="shared" si="23"/>
        <v>0</v>
      </c>
      <c r="M81" s="34">
        <f t="shared" si="23"/>
        <v>0</v>
      </c>
      <c r="N81" s="34">
        <f t="shared" si="23"/>
        <v>6233.5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11494.95</v>
      </c>
      <c r="L82" s="34">
        <f>L69+L81</f>
        <v>0</v>
      </c>
      <c r="M82" s="34">
        <f>M69+M81</f>
        <v>0</v>
      </c>
      <c r="N82" s="34">
        <f>N69+N81</f>
        <v>11494.95</v>
      </c>
      <c r="O82" s="8"/>
      <c r="R82" s="14"/>
      <c r="Z82" s="15"/>
      <c r="AJ82" s="16"/>
    </row>
    <row r="83" spans="1:36" s="31" customFormat="1" ht="21.95" customHeight="1" x14ac:dyDescent="0.2">
      <c r="A83" s="275" t="s">
        <v>82</v>
      </c>
      <c r="B83" s="275"/>
      <c r="C83" s="275"/>
      <c r="D83" s="275"/>
      <c r="E83" s="275"/>
      <c r="F83" s="275"/>
      <c r="G83" s="275"/>
      <c r="H83" s="275"/>
      <c r="I83" s="275"/>
      <c r="J83" s="35">
        <f>J18+J31+J44+J57+J82</f>
        <v>99803.346000000005</v>
      </c>
      <c r="K83" s="35">
        <f>K18+K31+K44+K57+K82</f>
        <v>425942.38400000002</v>
      </c>
      <c r="L83" s="35">
        <f>L18+L31+L44+L57+L82</f>
        <v>349311.71100000001</v>
      </c>
      <c r="M83" s="35">
        <f>M18+M31+M44+M57+M82</f>
        <v>149705.019</v>
      </c>
      <c r="N83" s="38">
        <f>N18+N31+N44+N57+N82</f>
        <v>1024762.46</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A6A7E18-602B-492C-8393-52462B7EF04A}">
          <x14:formula1>
            <xm:f>'2026 COB breakdown_Kris'!$A$5:$A$103</xm:f>
          </x14:formula1>
          <xm:sqref>A3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566B-96DA-4DB4-B86C-DFAC496813D9}">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181</v>
      </c>
      <c r="B3" s="58" t="s">
        <v>158</v>
      </c>
      <c r="C3" s="59">
        <f>VLOOKUP($A3,COBTABLE,15, FALSE)</f>
        <v>2559.06</v>
      </c>
      <c r="D3" s="59">
        <f>VLOOKUP($A3,COBTABLE,16, FALSE)</f>
        <v>33.69</v>
      </c>
      <c r="E3" s="59">
        <f>VLOOKUP($A3,COBTABLE,17, FALSE)</f>
        <v>239.84</v>
      </c>
      <c r="F3" s="59">
        <f>VLOOKUP($A3,COBTABLE,18, FALSE)</f>
        <v>0</v>
      </c>
      <c r="G3" s="59">
        <f>VLOOKUP($A3,COBTABLE,19, FALSE)</f>
        <v>347.55</v>
      </c>
      <c r="H3" s="59">
        <f>VLOOKUP($A3,COBTABLE,20, FALSE)</f>
        <v>152.96</v>
      </c>
      <c r="I3" s="59">
        <f>VLOOKUP($A3,COBTABLE,21, FALSE)</f>
        <v>1969.48</v>
      </c>
      <c r="J3" s="59">
        <f>VLOOKUP($A3,COBTABLE,22, FALSE)</f>
        <v>115.79</v>
      </c>
      <c r="K3" s="59">
        <f>VLOOKUP($A3,COBTABLE,23, FALSE)</f>
        <v>108.66</v>
      </c>
      <c r="L3" s="59">
        <f>VLOOKUP($A3,COBTABLE,24, FALSE)</f>
        <v>709.21</v>
      </c>
      <c r="M3" s="59">
        <f>VLOOKUP($A3,COBTABLE,25, FALSE)</f>
        <v>665.11000000000058</v>
      </c>
      <c r="N3" s="60">
        <f>VLOOKUP($A3, countrygrant,2,FALSE)</f>
        <v>456818.18</v>
      </c>
      <c r="O3" s="92">
        <f>SUM(C3:N3)</f>
        <v>463719.52999999997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1835.36</v>
      </c>
      <c r="D4" s="59">
        <f>VLOOKUP($A3,COBTABLE,28, FALSE)</f>
        <v>24.17</v>
      </c>
      <c r="E4" s="59">
        <f>VLOOKUP($A3,COBTABLE,29, FALSE)</f>
        <v>172.01</v>
      </c>
      <c r="F4" s="59">
        <f>VLOOKUP($A3,COBTABLE,30, FALSE)</f>
        <v>0</v>
      </c>
      <c r="G4" s="59">
        <f>VLOOKUP($A3,COBTABLE,31, FALSE)</f>
        <v>249.26</v>
      </c>
      <c r="H4" s="59">
        <f>VLOOKUP($A3,COBTABLE,32, FALSE)</f>
        <v>109.7</v>
      </c>
      <c r="I4" s="59">
        <f>VLOOKUP($A3,COBTABLE,33, FALSE)</f>
        <v>1412.51</v>
      </c>
      <c r="J4" s="59">
        <f>VLOOKUP($A3,COBTABLE,34, FALSE)</f>
        <v>83.04</v>
      </c>
      <c r="K4" s="59">
        <f>VLOOKUP($A3,COBTABLE,35, FALSE)</f>
        <v>77.930000000000007</v>
      </c>
      <c r="L4" s="59">
        <f>VLOOKUP($A3,COBTABLE,36, FALSE)</f>
        <v>508.65</v>
      </c>
      <c r="M4" s="59">
        <f>VLOOKUP($A3,COBTABLE,37, FALSE)</f>
        <v>477.01999999999953</v>
      </c>
      <c r="N4" s="60">
        <f>VLOOKUP($A3, countrygrant,3,FALSE)</f>
        <v>327630</v>
      </c>
      <c r="O4" s="92">
        <f t="shared" ref="O4" si="0">SUM(C4:N4)</f>
        <v>332579.65000000002</v>
      </c>
      <c r="P4" s="28"/>
      <c r="Q4" s="28"/>
      <c r="R4" s="28"/>
      <c r="S4" s="28"/>
      <c r="T4" s="28"/>
      <c r="U4" s="28"/>
      <c r="V4" s="28"/>
      <c r="W4" s="28"/>
      <c r="X4" s="28"/>
      <c r="Y4" s="28"/>
      <c r="Z4" s="28"/>
      <c r="AA4" s="28"/>
      <c r="AB4" s="28"/>
      <c r="AC4" s="28"/>
    </row>
    <row r="5" spans="1:36" s="53" customFormat="1" ht="12" customHeight="1" x14ac:dyDescent="0.25">
      <c r="A5" s="278"/>
      <c r="B5" s="61" t="s">
        <v>156</v>
      </c>
      <c r="C5" s="62">
        <f>SUM(C3:C4)</f>
        <v>4394.42</v>
      </c>
      <c r="D5" s="62">
        <f t="shared" ref="D5:O5" si="1">SUM(D3:D4)</f>
        <v>57.86</v>
      </c>
      <c r="E5" s="62">
        <f t="shared" si="1"/>
        <v>411.85</v>
      </c>
      <c r="F5" s="62">
        <f t="shared" si="1"/>
        <v>0</v>
      </c>
      <c r="G5" s="62">
        <f t="shared" si="1"/>
        <v>596.80999999999995</v>
      </c>
      <c r="H5" s="62">
        <f t="shared" si="1"/>
        <v>262.66000000000003</v>
      </c>
      <c r="I5" s="62">
        <f t="shared" si="1"/>
        <v>3381.99</v>
      </c>
      <c r="J5" s="62">
        <f t="shared" si="1"/>
        <v>198.83</v>
      </c>
      <c r="K5" s="62">
        <f t="shared" si="1"/>
        <v>186.59</v>
      </c>
      <c r="L5" s="62">
        <f t="shared" si="1"/>
        <v>1217.8600000000001</v>
      </c>
      <c r="M5" s="62">
        <f t="shared" si="1"/>
        <v>1142.1300000000001</v>
      </c>
      <c r="N5" s="62">
        <f t="shared" si="1"/>
        <v>784448.17999999993</v>
      </c>
      <c r="O5" s="62">
        <f t="shared" si="1"/>
        <v>796299.17999999993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32763</v>
      </c>
      <c r="K28" s="34">
        <f>$N28*0.4</f>
        <v>131052</v>
      </c>
      <c r="L28" s="34">
        <f>$N28*0.35</f>
        <v>114670.5</v>
      </c>
      <c r="M28" s="34">
        <f>$N28*0.15</f>
        <v>49144.5</v>
      </c>
      <c r="N28" s="34">
        <f>N4</f>
        <v>327630</v>
      </c>
      <c r="O28" s="8"/>
      <c r="P28" s="9">
        <f>VLOOKUP(H28,starratio3,4,FALSE)</f>
        <v>0</v>
      </c>
    </row>
    <row r="29" spans="1:36" ht="21.95" customHeight="1" x14ac:dyDescent="0.2">
      <c r="A29" s="262"/>
      <c r="B29" s="262"/>
      <c r="C29" s="263" t="s">
        <v>31</v>
      </c>
      <c r="D29" s="263"/>
      <c r="E29" s="263"/>
      <c r="F29" s="263"/>
      <c r="G29" s="263"/>
      <c r="H29" s="263"/>
      <c r="I29" s="263"/>
      <c r="J29" s="34">
        <f>SUM(J25:J28)</f>
        <v>32763</v>
      </c>
      <c r="K29" s="34">
        <f>SUM(K25:K28)</f>
        <v>131052</v>
      </c>
      <c r="L29" s="34">
        <f>SUM(L25:L28)</f>
        <v>114670.5</v>
      </c>
      <c r="M29" s="34">
        <f>SUM(M25:M28)</f>
        <v>49144.5</v>
      </c>
      <c r="N29" s="34">
        <f>SUM(N25:N28)</f>
        <v>327630</v>
      </c>
      <c r="O29" s="8"/>
      <c r="P29" s="9"/>
    </row>
    <row r="30" spans="1:36" ht="21.95" customHeight="1" x14ac:dyDescent="0.2">
      <c r="A30" s="262"/>
      <c r="B30" s="263" t="s">
        <v>44</v>
      </c>
      <c r="C30" s="263"/>
      <c r="D30" s="263"/>
      <c r="E30" s="263"/>
      <c r="F30" s="263"/>
      <c r="G30" s="263"/>
      <c r="H30" s="263"/>
      <c r="I30" s="263"/>
      <c r="J30" s="34">
        <f>J29</f>
        <v>32763</v>
      </c>
      <c r="K30" s="34">
        <f t="shared" ref="K30:N30" si="9">K29</f>
        <v>131052</v>
      </c>
      <c r="L30" s="34">
        <f t="shared" si="9"/>
        <v>114670.5</v>
      </c>
      <c r="M30" s="34">
        <f t="shared" si="9"/>
        <v>49144.5</v>
      </c>
      <c r="N30" s="34">
        <f t="shared" si="9"/>
        <v>327630</v>
      </c>
      <c r="O30" s="8"/>
      <c r="Q30" s="10"/>
      <c r="Z30" s="11"/>
      <c r="AC30" s="12"/>
      <c r="AD30" s="13"/>
    </row>
    <row r="31" spans="1:36" ht="21.95" customHeight="1" x14ac:dyDescent="0.2">
      <c r="A31" s="261" t="s">
        <v>45</v>
      </c>
      <c r="B31" s="261"/>
      <c r="C31" s="261"/>
      <c r="D31" s="261"/>
      <c r="E31" s="261"/>
      <c r="F31" s="261"/>
      <c r="G31" s="261"/>
      <c r="H31" s="261"/>
      <c r="I31" s="261"/>
      <c r="J31" s="34">
        <f>J24+J30</f>
        <v>78444.817999999999</v>
      </c>
      <c r="K31" s="34">
        <f>K24+K30</f>
        <v>313779.272</v>
      </c>
      <c r="L31" s="34">
        <f>L24+L30</f>
        <v>274556.86300000001</v>
      </c>
      <c r="M31" s="34">
        <f>M24+M30</f>
        <v>117667.227</v>
      </c>
      <c r="N31" s="34">
        <f>N24+N30</f>
        <v>784448.17999999993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2559.06</v>
      </c>
      <c r="L32" s="34"/>
      <c r="M32" s="34"/>
      <c r="N32" s="34">
        <f>ROUND($C$3*P32,2)</f>
        <v>2559.06</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2559.06</v>
      </c>
      <c r="L36" s="34">
        <f>SUM(L32:L35)</f>
        <v>0</v>
      </c>
      <c r="M36" s="34">
        <f>SUM(M32:M35)</f>
        <v>0</v>
      </c>
      <c r="N36" s="34">
        <f>SUM(N32:N35)</f>
        <v>2559.06</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2559.06</v>
      </c>
      <c r="L37" s="34">
        <f t="shared" si="11"/>
        <v>0</v>
      </c>
      <c r="M37" s="34">
        <f t="shared" si="11"/>
        <v>0</v>
      </c>
      <c r="N37" s="34">
        <f t="shared" si="11"/>
        <v>2559.06</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1835.36</v>
      </c>
      <c r="L38" s="34"/>
      <c r="M38" s="34"/>
      <c r="N38" s="34">
        <f>ROUND($C$4*P38,2)</f>
        <v>1835.36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1835.36</v>
      </c>
      <c r="L42" s="34">
        <f>SUM(L38:L41)</f>
        <v>0</v>
      </c>
      <c r="M42" s="34">
        <f>SUM(M38:M41)</f>
        <v>0</v>
      </c>
      <c r="N42" s="34">
        <f>SUM(N38:N41)</f>
        <v>1835.36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1835.36</v>
      </c>
      <c r="L43" s="34">
        <f t="shared" si="13"/>
        <v>0</v>
      </c>
      <c r="M43" s="34">
        <f t="shared" si="13"/>
        <v>0</v>
      </c>
      <c r="N43" s="34">
        <f t="shared" si="13"/>
        <v>1835.36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4394.42</v>
      </c>
      <c r="L44" s="34">
        <f>L37+L43</f>
        <v>0</v>
      </c>
      <c r="M44" s="34">
        <f>M37+M43</f>
        <v>0</v>
      </c>
      <c r="N44" s="34">
        <f>N37+N43</f>
        <v>4394.42</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709.21</v>
      </c>
      <c r="L47" s="34"/>
      <c r="M47" s="34"/>
      <c r="N47" s="34">
        <f>ROUND($L$3*P47,2)</f>
        <v>709.21</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665.11000000000058</v>
      </c>
      <c r="L48" s="34"/>
      <c r="M48" s="34"/>
      <c r="N48" s="34">
        <f>M3-SUM(N10,N21,N35)</f>
        <v>665.11000000000058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1374.3200000000006</v>
      </c>
      <c r="L49" s="34">
        <f>SUM(L45:L48)</f>
        <v>0</v>
      </c>
      <c r="M49" s="34">
        <f>SUM(M45:M48)</f>
        <v>0</v>
      </c>
      <c r="N49" s="34">
        <f>SUM(N45:N48)</f>
        <v>1374.3200000000006</v>
      </c>
      <c r="O49" s="8"/>
      <c r="P49" s="9"/>
    </row>
    <row r="50" spans="1:36" ht="21.95" customHeight="1" x14ac:dyDescent="0.2">
      <c r="A50" s="262"/>
      <c r="B50" s="261" t="s">
        <v>60</v>
      </c>
      <c r="C50" s="261"/>
      <c r="D50" s="261"/>
      <c r="E50" s="261"/>
      <c r="F50" s="261"/>
      <c r="G50" s="261"/>
      <c r="H50" s="261"/>
      <c r="I50" s="261"/>
      <c r="J50" s="34">
        <f>J49</f>
        <v>0</v>
      </c>
      <c r="K50" s="34">
        <f t="shared" ref="K50:N50" si="15">K49</f>
        <v>1374.3200000000006</v>
      </c>
      <c r="L50" s="34">
        <f t="shared" si="15"/>
        <v>0</v>
      </c>
      <c r="M50" s="34">
        <f t="shared" si="15"/>
        <v>0</v>
      </c>
      <c r="N50" s="34">
        <f t="shared" si="15"/>
        <v>1374.3200000000006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508.65</v>
      </c>
      <c r="L53" s="34"/>
      <c r="M53" s="34"/>
      <c r="N53" s="34">
        <f>ROUND($L$4*P53,2)</f>
        <v>508.65</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477.01999999999953</v>
      </c>
      <c r="L54" s="34"/>
      <c r="M54" s="34"/>
      <c r="N54" s="34">
        <f>M4-SUM(N15,N27,N41)</f>
        <v>477.01999999999953</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985.6699999999995</v>
      </c>
      <c r="L55" s="34">
        <f>SUM(L51:L54)</f>
        <v>0</v>
      </c>
      <c r="M55" s="34">
        <f>SUM(M51:M54)</f>
        <v>0</v>
      </c>
      <c r="N55" s="34">
        <f>SUM(N51:N54)</f>
        <v>985.6699999999995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985.6699999999995</v>
      </c>
      <c r="L56" s="34">
        <f t="shared" si="17"/>
        <v>0</v>
      </c>
      <c r="M56" s="34">
        <f t="shared" si="17"/>
        <v>0</v>
      </c>
      <c r="N56" s="34">
        <f t="shared" si="17"/>
        <v>985.6699999999995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2359.9900000000002</v>
      </c>
      <c r="L57" s="34">
        <f>L50+L56</f>
        <v>0</v>
      </c>
      <c r="M57" s="34">
        <f>M50+M56</f>
        <v>0</v>
      </c>
      <c r="N57" s="34">
        <f>N50+N56</f>
        <v>2359.9900000000002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33.69</v>
      </c>
      <c r="L59" s="34"/>
      <c r="M59" s="34"/>
      <c r="N59" s="34">
        <f>D3</f>
        <v>33.69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239.84</v>
      </c>
      <c r="L60" s="34"/>
      <c r="M60" s="34"/>
      <c r="N60" s="34">
        <f>E3</f>
        <v>239.84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347.55</v>
      </c>
      <c r="L61" s="34"/>
      <c r="M61" s="34"/>
      <c r="N61" s="34">
        <f>G3-SUM(N9,N20,N33,N46)</f>
        <v>347.55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152.96</v>
      </c>
      <c r="L62" s="34"/>
      <c r="M62" s="34"/>
      <c r="N62" s="34">
        <f>H3</f>
        <v>152.96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1969.48</v>
      </c>
      <c r="L63" s="34"/>
      <c r="M63" s="34"/>
      <c r="N63" s="34">
        <f>I3</f>
        <v>1969.48</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115.79</v>
      </c>
      <c r="L64" s="34"/>
      <c r="M64" s="34"/>
      <c r="N64" s="34">
        <f>J3</f>
        <v>115.79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108.66</v>
      </c>
      <c r="L66" s="34"/>
      <c r="M66" s="34"/>
      <c r="N66" s="34">
        <f>K3</f>
        <v>108.66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2967.97</v>
      </c>
      <c r="L68" s="34">
        <f>SUM(L58:L67)</f>
        <v>0</v>
      </c>
      <c r="M68" s="34">
        <f>SUM(M58:M67)</f>
        <v>0</v>
      </c>
      <c r="N68" s="34">
        <f>SUM(N58:N67)</f>
        <v>2967.97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2967.97</v>
      </c>
      <c r="L69" s="34">
        <f t="shared" si="20"/>
        <v>0</v>
      </c>
      <c r="M69" s="34">
        <f t="shared" si="20"/>
        <v>0</v>
      </c>
      <c r="N69" s="34">
        <f t="shared" si="20"/>
        <v>2967.97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24.17</v>
      </c>
      <c r="L71" s="34"/>
      <c r="M71" s="34"/>
      <c r="N71" s="34">
        <f>D4</f>
        <v>24.17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172.01</v>
      </c>
      <c r="L72" s="34"/>
      <c r="M72" s="34"/>
      <c r="N72" s="34">
        <f>E4</f>
        <v>172.01</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249.26</v>
      </c>
      <c r="L73" s="34"/>
      <c r="M73" s="34"/>
      <c r="N73" s="34">
        <f>G4-SUM(N14,N26,N39,N52)</f>
        <v>249.26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109.7</v>
      </c>
      <c r="L74" s="34"/>
      <c r="M74" s="34"/>
      <c r="N74" s="34">
        <f>H4</f>
        <v>109.7</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1412.51</v>
      </c>
      <c r="L75" s="34"/>
      <c r="M75" s="34"/>
      <c r="N75" s="34">
        <f>I4</f>
        <v>1412.51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83.04</v>
      </c>
      <c r="L76" s="34"/>
      <c r="M76" s="34"/>
      <c r="N76" s="34">
        <f>J4</f>
        <v>83.04</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77.930000000000007</v>
      </c>
      <c r="L78" s="34"/>
      <c r="M78" s="34"/>
      <c r="N78" s="34">
        <f>K4</f>
        <v>77.930000000000007</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2128.62</v>
      </c>
      <c r="L80" s="34">
        <f>SUM(L70:L79)</f>
        <v>0</v>
      </c>
      <c r="M80" s="34">
        <f>SUM(M70:M79)</f>
        <v>0</v>
      </c>
      <c r="N80" s="34">
        <f>SUM(N70:N79)</f>
        <v>2128.62</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2128.62</v>
      </c>
      <c r="L81" s="34">
        <f t="shared" si="23"/>
        <v>0</v>
      </c>
      <c r="M81" s="34">
        <f t="shared" si="23"/>
        <v>0</v>
      </c>
      <c r="N81" s="34">
        <f t="shared" si="23"/>
        <v>2128.62</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5096.59</v>
      </c>
      <c r="L82" s="34">
        <f>L69+L81</f>
        <v>0</v>
      </c>
      <c r="M82" s="34">
        <f>M69+M81</f>
        <v>0</v>
      </c>
      <c r="N82" s="34">
        <f>N69+N81</f>
        <v>5096.59</v>
      </c>
      <c r="O82" s="8"/>
      <c r="R82" s="14"/>
      <c r="Z82" s="15"/>
      <c r="AJ82" s="16"/>
    </row>
    <row r="83" spans="1:36" s="31" customFormat="1" ht="21.95" customHeight="1" x14ac:dyDescent="0.2">
      <c r="A83" s="275" t="s">
        <v>82</v>
      </c>
      <c r="B83" s="275"/>
      <c r="C83" s="275"/>
      <c r="D83" s="275"/>
      <c r="E83" s="275"/>
      <c r="F83" s="275"/>
      <c r="G83" s="275"/>
      <c r="H83" s="275"/>
      <c r="I83" s="275"/>
      <c r="J83" s="35">
        <f>J18+J31+J44+J57+J82</f>
        <v>78444.817999999999</v>
      </c>
      <c r="K83" s="35">
        <f>K18+K31+K44+K57+K82</f>
        <v>325630.272</v>
      </c>
      <c r="L83" s="35">
        <f>L18+L31+L44+L57+L82</f>
        <v>274556.86300000001</v>
      </c>
      <c r="M83" s="35">
        <f>M18+M31+M44+M57+M82</f>
        <v>117667.227</v>
      </c>
      <c r="N83" s="38">
        <f>N18+N31+N44+N57+N82</f>
        <v>796299.17999999993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37304B3-403A-4B01-8D4F-25AD33BFB58C}">
          <x14:formula1>
            <xm:f>'2026 COB breakdown_Kris'!$A$5:$A$103</xm:f>
          </x14:formula1>
          <xm:sqref>A3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F9ED5-A807-4D59-B94C-5A9C9BDC508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182</v>
      </c>
      <c r="B3" s="58" t="s">
        <v>158</v>
      </c>
      <c r="C3" s="59">
        <f>VLOOKUP($A3,COBTABLE,15, FALSE)</f>
        <v>4805.0600000000004</v>
      </c>
      <c r="D3" s="59">
        <f>VLOOKUP($A3,COBTABLE,16, FALSE)</f>
        <v>63.27</v>
      </c>
      <c r="E3" s="59">
        <f>VLOOKUP($A3,COBTABLE,17, FALSE)</f>
        <v>450.33</v>
      </c>
      <c r="F3" s="59">
        <f>VLOOKUP($A3,COBTABLE,18, FALSE)</f>
        <v>0</v>
      </c>
      <c r="G3" s="59">
        <f>VLOOKUP($A3,COBTABLE,19, FALSE)</f>
        <v>652.59</v>
      </c>
      <c r="H3" s="59">
        <f>VLOOKUP($A3,COBTABLE,20, FALSE)</f>
        <v>287.2</v>
      </c>
      <c r="I3" s="59">
        <f>VLOOKUP($A3,COBTABLE,21, FALSE)</f>
        <v>3698.02</v>
      </c>
      <c r="J3" s="59">
        <f>VLOOKUP($A3,COBTABLE,22, FALSE)</f>
        <v>217.41</v>
      </c>
      <c r="K3" s="59">
        <f>VLOOKUP($A3,COBTABLE,23, FALSE)</f>
        <v>204.02</v>
      </c>
      <c r="L3" s="59">
        <f>VLOOKUP($A3,COBTABLE,24, FALSE)</f>
        <v>1331.66</v>
      </c>
      <c r="M3" s="59">
        <f>VLOOKUP($A3,COBTABLE,25, FALSE)</f>
        <v>1248.8799999999992</v>
      </c>
      <c r="N3" s="60">
        <f>VLOOKUP($A3, countrygrant,2,FALSE)</f>
        <v>456818.18</v>
      </c>
      <c r="O3" s="92">
        <f>SUM(C3:N3)</f>
        <v>469776.62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3780.57</v>
      </c>
      <c r="D4" s="59">
        <f>VLOOKUP($A3,COBTABLE,28, FALSE)</f>
        <v>49.78</v>
      </c>
      <c r="E4" s="59">
        <f>VLOOKUP($A3,COBTABLE,29, FALSE)</f>
        <v>354.31</v>
      </c>
      <c r="F4" s="59">
        <f>VLOOKUP($A3,COBTABLE,30, FALSE)</f>
        <v>0</v>
      </c>
      <c r="G4" s="59">
        <f>VLOOKUP($A3,COBTABLE,31, FALSE)</f>
        <v>513.45000000000005</v>
      </c>
      <c r="H4" s="59">
        <f>VLOOKUP($A3,COBTABLE,32, FALSE)</f>
        <v>225.97</v>
      </c>
      <c r="I4" s="59">
        <f>VLOOKUP($A3,COBTABLE,33, FALSE)</f>
        <v>2909.57</v>
      </c>
      <c r="J4" s="59">
        <f>VLOOKUP($A3,COBTABLE,34, FALSE)</f>
        <v>171.06</v>
      </c>
      <c r="K4" s="59">
        <f>VLOOKUP($A3,COBTABLE,35, FALSE)</f>
        <v>160.52000000000001</v>
      </c>
      <c r="L4" s="59">
        <f>VLOOKUP($A3,COBTABLE,36, FALSE)</f>
        <v>1047.74</v>
      </c>
      <c r="M4" s="59">
        <f>VLOOKUP($A3,COBTABLE,37, FALSE)</f>
        <v>982.58999999999651</v>
      </c>
      <c r="N4" s="60">
        <f>VLOOKUP($A3, countrygrant,3,FALSE)</f>
        <v>359419.49</v>
      </c>
      <c r="O4" s="92">
        <f t="shared" ref="O4" si="0">SUM(C4:N4)</f>
        <v>369615.05</v>
      </c>
      <c r="P4" s="28"/>
      <c r="Q4" s="28"/>
      <c r="R4" s="28"/>
      <c r="S4" s="28"/>
      <c r="T4" s="28"/>
      <c r="U4" s="28"/>
      <c r="V4" s="28"/>
      <c r="W4" s="28"/>
      <c r="X4" s="28"/>
      <c r="Y4" s="28"/>
      <c r="Z4" s="28"/>
      <c r="AA4" s="28"/>
      <c r="AB4" s="28"/>
      <c r="AC4" s="28"/>
    </row>
    <row r="5" spans="1:36" s="53" customFormat="1" ht="12" customHeight="1" x14ac:dyDescent="0.25">
      <c r="A5" s="278"/>
      <c r="B5" s="61" t="s">
        <v>156</v>
      </c>
      <c r="C5" s="62">
        <f>SUM(C3:C4)</f>
        <v>8585.630000000001</v>
      </c>
      <c r="D5" s="62">
        <f t="shared" ref="D5:O5" si="1">SUM(D3:D4)</f>
        <v>113.05000000000001</v>
      </c>
      <c r="E5" s="62">
        <f t="shared" si="1"/>
        <v>804.64</v>
      </c>
      <c r="F5" s="62">
        <f t="shared" si="1"/>
        <v>0</v>
      </c>
      <c r="G5" s="62">
        <f t="shared" si="1"/>
        <v>1166.04</v>
      </c>
      <c r="H5" s="62">
        <f t="shared" si="1"/>
        <v>513.16999999999996</v>
      </c>
      <c r="I5" s="62">
        <f t="shared" si="1"/>
        <v>6607.59</v>
      </c>
      <c r="J5" s="62">
        <f t="shared" si="1"/>
        <v>388.47</v>
      </c>
      <c r="K5" s="62">
        <f t="shared" si="1"/>
        <v>364.54</v>
      </c>
      <c r="L5" s="62">
        <f t="shared" si="1"/>
        <v>2379.4</v>
      </c>
      <c r="M5" s="62">
        <f t="shared" si="1"/>
        <v>2231.4699999999957</v>
      </c>
      <c r="N5" s="62">
        <f t="shared" si="1"/>
        <v>816237.66999999993</v>
      </c>
      <c r="O5" s="62">
        <f t="shared" si="1"/>
        <v>839391.66999999993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35941.949000000001</v>
      </c>
      <c r="K28" s="34">
        <f>$N28*0.4</f>
        <v>143767.796</v>
      </c>
      <c r="L28" s="34">
        <f>$N28*0.35</f>
        <v>125796.82149999999</v>
      </c>
      <c r="M28" s="34">
        <f>$N28*0.15</f>
        <v>53912.923499999997</v>
      </c>
      <c r="N28" s="34">
        <f>N4</f>
        <v>359419.49</v>
      </c>
      <c r="O28" s="8"/>
      <c r="P28" s="9">
        <f>VLOOKUP(H28,starratio3,4,FALSE)</f>
        <v>0</v>
      </c>
    </row>
    <row r="29" spans="1:36" ht="21.95" customHeight="1" x14ac:dyDescent="0.2">
      <c r="A29" s="262"/>
      <c r="B29" s="262"/>
      <c r="C29" s="263" t="s">
        <v>31</v>
      </c>
      <c r="D29" s="263"/>
      <c r="E29" s="263"/>
      <c r="F29" s="263"/>
      <c r="G29" s="263"/>
      <c r="H29" s="263"/>
      <c r="I29" s="263"/>
      <c r="J29" s="34">
        <f>SUM(J25:J28)</f>
        <v>35941.949000000001</v>
      </c>
      <c r="K29" s="34">
        <f>SUM(K25:K28)</f>
        <v>143767.796</v>
      </c>
      <c r="L29" s="34">
        <f>SUM(L25:L28)</f>
        <v>125796.82149999999</v>
      </c>
      <c r="M29" s="34">
        <f>SUM(M25:M28)</f>
        <v>53912.923499999997</v>
      </c>
      <c r="N29" s="34">
        <f>SUM(N25:N28)</f>
        <v>359419.49</v>
      </c>
      <c r="O29" s="8"/>
      <c r="P29" s="9"/>
    </row>
    <row r="30" spans="1:36" ht="21.95" customHeight="1" x14ac:dyDescent="0.2">
      <c r="A30" s="262"/>
      <c r="B30" s="263" t="s">
        <v>44</v>
      </c>
      <c r="C30" s="263"/>
      <c r="D30" s="263"/>
      <c r="E30" s="263"/>
      <c r="F30" s="263"/>
      <c r="G30" s="263"/>
      <c r="H30" s="263"/>
      <c r="I30" s="263"/>
      <c r="J30" s="34">
        <f>J29</f>
        <v>35941.949000000001</v>
      </c>
      <c r="K30" s="34">
        <f t="shared" ref="K30:N30" si="9">K29</f>
        <v>143767.796</v>
      </c>
      <c r="L30" s="34">
        <f t="shared" si="9"/>
        <v>125796.82149999999</v>
      </c>
      <c r="M30" s="34">
        <f t="shared" si="9"/>
        <v>53912.923499999997</v>
      </c>
      <c r="N30" s="34">
        <f t="shared" si="9"/>
        <v>359419.49</v>
      </c>
      <c r="O30" s="8"/>
      <c r="Q30" s="10"/>
      <c r="Z30" s="11"/>
      <c r="AC30" s="12"/>
      <c r="AD30" s="13"/>
    </row>
    <row r="31" spans="1:36" ht="21.95" customHeight="1" x14ac:dyDescent="0.2">
      <c r="A31" s="261" t="s">
        <v>45</v>
      </c>
      <c r="B31" s="261"/>
      <c r="C31" s="261"/>
      <c r="D31" s="261"/>
      <c r="E31" s="261"/>
      <c r="F31" s="261"/>
      <c r="G31" s="261"/>
      <c r="H31" s="261"/>
      <c r="I31" s="261"/>
      <c r="J31" s="34">
        <f>J24+J30</f>
        <v>81623.766999999993</v>
      </c>
      <c r="K31" s="34">
        <f>K24+K30</f>
        <v>326495.06799999997</v>
      </c>
      <c r="L31" s="34">
        <f>L24+L30</f>
        <v>285683.18449999997</v>
      </c>
      <c r="M31" s="34">
        <f>M24+M30</f>
        <v>122435.65049999999</v>
      </c>
      <c r="N31" s="34">
        <f>N24+N30</f>
        <v>816237.66999999993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4805.0600000000004</v>
      </c>
      <c r="L32" s="34"/>
      <c r="M32" s="34"/>
      <c r="N32" s="34">
        <f>ROUND($C$3*P32,2)</f>
        <v>4805.0600000000004</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4805.0600000000004</v>
      </c>
      <c r="L36" s="34">
        <f>SUM(L32:L35)</f>
        <v>0</v>
      </c>
      <c r="M36" s="34">
        <f>SUM(M32:M35)</f>
        <v>0</v>
      </c>
      <c r="N36" s="34">
        <f>SUM(N32:N35)</f>
        <v>4805.0600000000004</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4805.0600000000004</v>
      </c>
      <c r="L37" s="34">
        <f t="shared" si="11"/>
        <v>0</v>
      </c>
      <c r="M37" s="34">
        <f t="shared" si="11"/>
        <v>0</v>
      </c>
      <c r="N37" s="34">
        <f t="shared" si="11"/>
        <v>4805.0600000000004</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3780.57</v>
      </c>
      <c r="L38" s="34"/>
      <c r="M38" s="34"/>
      <c r="N38" s="34">
        <f>ROUND($C$4*P38,2)</f>
        <v>3780.57</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3780.57</v>
      </c>
      <c r="L42" s="34">
        <f>SUM(L38:L41)</f>
        <v>0</v>
      </c>
      <c r="M42" s="34">
        <f>SUM(M38:M41)</f>
        <v>0</v>
      </c>
      <c r="N42" s="34">
        <f>SUM(N38:N41)</f>
        <v>3780.57</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3780.57</v>
      </c>
      <c r="L43" s="34">
        <f t="shared" si="13"/>
        <v>0</v>
      </c>
      <c r="M43" s="34">
        <f t="shared" si="13"/>
        <v>0</v>
      </c>
      <c r="N43" s="34">
        <f t="shared" si="13"/>
        <v>3780.57</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8585.630000000001</v>
      </c>
      <c r="L44" s="34">
        <f>L37+L43</f>
        <v>0</v>
      </c>
      <c r="M44" s="34">
        <f>M37+M43</f>
        <v>0</v>
      </c>
      <c r="N44" s="34">
        <f>N37+N43</f>
        <v>8585.630000000001</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1331.66</v>
      </c>
      <c r="L47" s="34"/>
      <c r="M47" s="34"/>
      <c r="N47" s="34">
        <f>ROUND($L$3*P47,2)</f>
        <v>1331.66</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1248.8799999999992</v>
      </c>
      <c r="L48" s="34"/>
      <c r="M48" s="34"/>
      <c r="N48" s="34">
        <f>M3-SUM(N10,N21,N35)</f>
        <v>1248.8799999999992</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2580.5399999999991</v>
      </c>
      <c r="L49" s="34">
        <f>SUM(L45:L48)</f>
        <v>0</v>
      </c>
      <c r="M49" s="34">
        <f>SUM(M45:M48)</f>
        <v>0</v>
      </c>
      <c r="N49" s="34">
        <f>SUM(N45:N48)</f>
        <v>2580.5399999999991</v>
      </c>
      <c r="O49" s="8"/>
      <c r="P49" s="9"/>
    </row>
    <row r="50" spans="1:36" ht="21.95" customHeight="1" x14ac:dyDescent="0.2">
      <c r="A50" s="262"/>
      <c r="B50" s="261" t="s">
        <v>60</v>
      </c>
      <c r="C50" s="261"/>
      <c r="D50" s="261"/>
      <c r="E50" s="261"/>
      <c r="F50" s="261"/>
      <c r="G50" s="261"/>
      <c r="H50" s="261"/>
      <c r="I50" s="261"/>
      <c r="J50" s="34">
        <f>J49</f>
        <v>0</v>
      </c>
      <c r="K50" s="34">
        <f t="shared" ref="K50:N50" si="15">K49</f>
        <v>2580.5399999999991</v>
      </c>
      <c r="L50" s="34">
        <f t="shared" si="15"/>
        <v>0</v>
      </c>
      <c r="M50" s="34">
        <f t="shared" si="15"/>
        <v>0</v>
      </c>
      <c r="N50" s="34">
        <f t="shared" si="15"/>
        <v>2580.5399999999991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1047.74</v>
      </c>
      <c r="L53" s="34"/>
      <c r="M53" s="34"/>
      <c r="N53" s="34">
        <f>ROUND($L$4*P53,2)</f>
        <v>1047.74</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982.58999999999651</v>
      </c>
      <c r="L54" s="34"/>
      <c r="M54" s="34"/>
      <c r="N54" s="34">
        <f>M4-SUM(N15,N27,N41)</f>
        <v>982.58999999999651</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2030.3299999999965</v>
      </c>
      <c r="L55" s="34">
        <f>SUM(L51:L54)</f>
        <v>0</v>
      </c>
      <c r="M55" s="34">
        <f>SUM(M51:M54)</f>
        <v>0</v>
      </c>
      <c r="N55" s="34">
        <f>SUM(N51:N54)</f>
        <v>2030.3299999999965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2030.3299999999965</v>
      </c>
      <c r="L56" s="34">
        <f t="shared" si="17"/>
        <v>0</v>
      </c>
      <c r="M56" s="34">
        <f t="shared" si="17"/>
        <v>0</v>
      </c>
      <c r="N56" s="34">
        <f t="shared" si="17"/>
        <v>2030.3299999999965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4610.8699999999953</v>
      </c>
      <c r="L57" s="34">
        <f>L50+L56</f>
        <v>0</v>
      </c>
      <c r="M57" s="34">
        <f>M50+M56</f>
        <v>0</v>
      </c>
      <c r="N57" s="34">
        <f>N50+N56</f>
        <v>4610.8699999999953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63.27</v>
      </c>
      <c r="L59" s="34"/>
      <c r="M59" s="34"/>
      <c r="N59" s="34">
        <f>D3</f>
        <v>63.27</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450.33</v>
      </c>
      <c r="L60" s="34"/>
      <c r="M60" s="34"/>
      <c r="N60" s="34">
        <f>E3</f>
        <v>450.33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652.59</v>
      </c>
      <c r="L61" s="34"/>
      <c r="M61" s="34"/>
      <c r="N61" s="34">
        <f>G3-SUM(N9,N20,N33,N46)</f>
        <v>652.59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287.2</v>
      </c>
      <c r="L62" s="34"/>
      <c r="M62" s="34"/>
      <c r="N62" s="34">
        <f>H3</f>
        <v>287.2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3698.02</v>
      </c>
      <c r="L63" s="34"/>
      <c r="M63" s="34"/>
      <c r="N63" s="34">
        <f>I3</f>
        <v>3698.02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217.41</v>
      </c>
      <c r="L64" s="34"/>
      <c r="M64" s="34"/>
      <c r="N64" s="34">
        <f>J3</f>
        <v>217.41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204.02</v>
      </c>
      <c r="L66" s="34"/>
      <c r="M66" s="34"/>
      <c r="N66" s="34">
        <f>K3</f>
        <v>204.02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5572.84</v>
      </c>
      <c r="L68" s="34">
        <f>SUM(L58:L67)</f>
        <v>0</v>
      </c>
      <c r="M68" s="34">
        <f>SUM(M58:M67)</f>
        <v>0</v>
      </c>
      <c r="N68" s="34">
        <f>SUM(N58:N67)</f>
        <v>5572.84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5572.84</v>
      </c>
      <c r="L69" s="34">
        <f t="shared" si="20"/>
        <v>0</v>
      </c>
      <c r="M69" s="34">
        <f t="shared" si="20"/>
        <v>0</v>
      </c>
      <c r="N69" s="34">
        <f t="shared" si="20"/>
        <v>5572.84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49.78</v>
      </c>
      <c r="L71" s="34"/>
      <c r="M71" s="34"/>
      <c r="N71" s="34">
        <f>D4</f>
        <v>49.78</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354.31</v>
      </c>
      <c r="L72" s="34"/>
      <c r="M72" s="34"/>
      <c r="N72" s="34">
        <f>E4</f>
        <v>354.31</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513.45000000000005</v>
      </c>
      <c r="L73" s="34"/>
      <c r="M73" s="34"/>
      <c r="N73" s="34">
        <f>G4-SUM(N14,N26,N39,N52)</f>
        <v>513.45000000000005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225.97</v>
      </c>
      <c r="L74" s="34"/>
      <c r="M74" s="34"/>
      <c r="N74" s="34">
        <f>H4</f>
        <v>225.97</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2909.57</v>
      </c>
      <c r="L75" s="34"/>
      <c r="M75" s="34"/>
      <c r="N75" s="34">
        <f>I4</f>
        <v>2909.57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171.06</v>
      </c>
      <c r="L76" s="34"/>
      <c r="M76" s="34"/>
      <c r="N76" s="34">
        <f>J4</f>
        <v>171.06</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160.52000000000001</v>
      </c>
      <c r="L78" s="34"/>
      <c r="M78" s="34"/>
      <c r="N78" s="34">
        <f>K4</f>
        <v>160.52000000000001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4384.6600000000008</v>
      </c>
      <c r="L80" s="34">
        <f>SUM(L70:L79)</f>
        <v>0</v>
      </c>
      <c r="M80" s="34">
        <f>SUM(M70:M79)</f>
        <v>0</v>
      </c>
      <c r="N80" s="34">
        <f>SUM(N70:N79)</f>
        <v>4384.6600000000008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4384.6600000000008</v>
      </c>
      <c r="L81" s="34">
        <f t="shared" si="23"/>
        <v>0</v>
      </c>
      <c r="M81" s="34">
        <f t="shared" si="23"/>
        <v>0</v>
      </c>
      <c r="N81" s="34">
        <f t="shared" si="23"/>
        <v>4384.6600000000008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9957.5</v>
      </c>
      <c r="L82" s="34">
        <f>L69+L81</f>
        <v>0</v>
      </c>
      <c r="M82" s="34">
        <f>M69+M81</f>
        <v>0</v>
      </c>
      <c r="N82" s="34">
        <f>N69+N81</f>
        <v>9957.5</v>
      </c>
      <c r="O82" s="8"/>
      <c r="R82" s="14"/>
      <c r="Z82" s="15"/>
      <c r="AJ82" s="16"/>
    </row>
    <row r="83" spans="1:36" s="31" customFormat="1" ht="21.95" customHeight="1" x14ac:dyDescent="0.2">
      <c r="A83" s="275" t="s">
        <v>82</v>
      </c>
      <c r="B83" s="275"/>
      <c r="C83" s="275"/>
      <c r="D83" s="275"/>
      <c r="E83" s="275"/>
      <c r="F83" s="275"/>
      <c r="G83" s="275"/>
      <c r="H83" s="275"/>
      <c r="I83" s="275"/>
      <c r="J83" s="35">
        <f>J18+J31+J44+J57+J82</f>
        <v>81623.766999999993</v>
      </c>
      <c r="K83" s="35">
        <f>K18+K31+K44+K57+K82</f>
        <v>349649.06799999997</v>
      </c>
      <c r="L83" s="35">
        <f>L18+L31+L44+L57+L82</f>
        <v>285683.18449999997</v>
      </c>
      <c r="M83" s="35">
        <f>M18+M31+M44+M57+M82</f>
        <v>122435.65049999999</v>
      </c>
      <c r="N83" s="38">
        <f>N18+N31+N44+N57+N82</f>
        <v>839391.66999999993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E5C7F98-55F6-4DA8-92CB-2B92FBCDC4D3}">
          <x14:formula1>
            <xm:f>'2026 COB breakdown_Kris'!$A$5:$A$103</xm:f>
          </x14:formula1>
          <xm:sqref>A3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B394-982F-4C7E-85C5-852B9D251EF1}">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183</v>
      </c>
      <c r="B3" s="58" t="s">
        <v>158</v>
      </c>
      <c r="C3" s="59">
        <f>VLOOKUP($A3,COBTABLE,15, FALSE)</f>
        <v>3918.64</v>
      </c>
      <c r="D3" s="59">
        <f>VLOOKUP($A3,COBTABLE,16, FALSE)</f>
        <v>51.6</v>
      </c>
      <c r="E3" s="59">
        <f>VLOOKUP($A3,COBTABLE,17, FALSE)</f>
        <v>367.26</v>
      </c>
      <c r="F3" s="59">
        <f>VLOOKUP($A3,COBTABLE,18, FALSE)</f>
        <v>0</v>
      </c>
      <c r="G3" s="59">
        <f>VLOOKUP($A3,COBTABLE,19, FALSE)</f>
        <v>532.20000000000005</v>
      </c>
      <c r="H3" s="59">
        <f>VLOOKUP($A3,COBTABLE,20, FALSE)</f>
        <v>234.22</v>
      </c>
      <c r="I3" s="59">
        <f>VLOOKUP($A3,COBTABLE,21, FALSE)</f>
        <v>3015.83</v>
      </c>
      <c r="J3" s="59">
        <f>VLOOKUP($A3,COBTABLE,22, FALSE)</f>
        <v>177.3</v>
      </c>
      <c r="K3" s="59">
        <f>VLOOKUP($A3,COBTABLE,23, FALSE)</f>
        <v>166.38</v>
      </c>
      <c r="L3" s="59">
        <f>VLOOKUP($A3,COBTABLE,24, FALSE)</f>
        <v>1086</v>
      </c>
      <c r="M3" s="59">
        <f>VLOOKUP($A3,COBTABLE,25, FALSE)</f>
        <v>1018.5000000000018</v>
      </c>
      <c r="N3" s="60">
        <f>VLOOKUP($A3, countrygrant,2,FALSE)</f>
        <v>456818.18</v>
      </c>
      <c r="O3" s="92">
        <f>SUM(C3:N3)</f>
        <v>467386.11</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7009.66</v>
      </c>
      <c r="D4" s="59">
        <f>VLOOKUP($A3,COBTABLE,28, FALSE)</f>
        <v>92.3</v>
      </c>
      <c r="E4" s="59">
        <f>VLOOKUP($A3,COBTABLE,29, FALSE)</f>
        <v>656.95</v>
      </c>
      <c r="F4" s="59">
        <f>VLOOKUP($A3,COBTABLE,30, FALSE)</f>
        <v>0</v>
      </c>
      <c r="G4" s="59">
        <f>VLOOKUP($A3,COBTABLE,31, FALSE)</f>
        <v>952</v>
      </c>
      <c r="H4" s="59">
        <f>VLOOKUP($A3,COBTABLE,32, FALSE)</f>
        <v>418.98</v>
      </c>
      <c r="I4" s="59">
        <f>VLOOKUP($A3,COBTABLE,33, FALSE)</f>
        <v>5394.71</v>
      </c>
      <c r="J4" s="59">
        <f>VLOOKUP($A3,COBTABLE,34, FALSE)</f>
        <v>317.16000000000003</v>
      </c>
      <c r="K4" s="59">
        <f>VLOOKUP($A3,COBTABLE,35, FALSE)</f>
        <v>297.62</v>
      </c>
      <c r="L4" s="59">
        <f>VLOOKUP($A3,COBTABLE,36, FALSE)</f>
        <v>1942.64</v>
      </c>
      <c r="M4" s="59">
        <f>VLOOKUP($A3,COBTABLE,37, FALSE)</f>
        <v>1821.8600000000006</v>
      </c>
      <c r="N4" s="60">
        <f>VLOOKUP($A3, countrygrant,3,FALSE)</f>
        <v>817155.45</v>
      </c>
      <c r="O4" s="92">
        <f t="shared" ref="O4" si="0">SUM(C4:N4)</f>
        <v>836059.33</v>
      </c>
      <c r="P4" s="28"/>
      <c r="Q4" s="28"/>
      <c r="R4" s="28"/>
      <c r="S4" s="28"/>
      <c r="T4" s="28"/>
      <c r="U4" s="28"/>
      <c r="V4" s="28"/>
      <c r="W4" s="28"/>
      <c r="X4" s="28"/>
      <c r="Y4" s="28"/>
      <c r="Z4" s="28"/>
      <c r="AA4" s="28"/>
      <c r="AB4" s="28"/>
      <c r="AC4" s="28"/>
    </row>
    <row r="5" spans="1:36" s="53" customFormat="1" ht="12" customHeight="1" x14ac:dyDescent="0.25">
      <c r="A5" s="278"/>
      <c r="B5" s="61" t="s">
        <v>156</v>
      </c>
      <c r="C5" s="62">
        <f>SUM(C3:C4)</f>
        <v>10928.3</v>
      </c>
      <c r="D5" s="62">
        <f t="shared" ref="D5:O5" si="1">SUM(D3:D4)</f>
        <v>143.9</v>
      </c>
      <c r="E5" s="62">
        <f t="shared" si="1"/>
        <v>1024.21</v>
      </c>
      <c r="F5" s="62">
        <f t="shared" si="1"/>
        <v>0</v>
      </c>
      <c r="G5" s="62">
        <f t="shared" si="1"/>
        <v>1484.2</v>
      </c>
      <c r="H5" s="62">
        <f t="shared" si="1"/>
        <v>653.20000000000005</v>
      </c>
      <c r="I5" s="62">
        <f t="shared" si="1"/>
        <v>8410.5400000000009</v>
      </c>
      <c r="J5" s="62">
        <f t="shared" si="1"/>
        <v>494.46000000000004</v>
      </c>
      <c r="K5" s="62">
        <f t="shared" si="1"/>
        <v>464</v>
      </c>
      <c r="L5" s="62">
        <f t="shared" si="1"/>
        <v>3028.6400000000003</v>
      </c>
      <c r="M5" s="62">
        <f t="shared" si="1"/>
        <v>2840.3600000000024</v>
      </c>
      <c r="N5" s="62">
        <f t="shared" si="1"/>
        <v>1273973.6299999999</v>
      </c>
      <c r="O5" s="62">
        <f t="shared" si="1"/>
        <v>1303445.44</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81715.544999999998</v>
      </c>
      <c r="K28" s="34">
        <f>$N28*0.4</f>
        <v>326862.18</v>
      </c>
      <c r="L28" s="34">
        <f>$N28*0.35</f>
        <v>286004.40749999997</v>
      </c>
      <c r="M28" s="34">
        <f>$N28*0.15</f>
        <v>122573.31749999999</v>
      </c>
      <c r="N28" s="34">
        <f>N4</f>
        <v>817155.45</v>
      </c>
      <c r="O28" s="8"/>
      <c r="P28" s="9">
        <f>VLOOKUP(H28,starratio3,4,FALSE)</f>
        <v>0</v>
      </c>
    </row>
    <row r="29" spans="1:36" ht="21.95" customHeight="1" x14ac:dyDescent="0.2">
      <c r="A29" s="262"/>
      <c r="B29" s="262"/>
      <c r="C29" s="263" t="s">
        <v>31</v>
      </c>
      <c r="D29" s="263"/>
      <c r="E29" s="263"/>
      <c r="F29" s="263"/>
      <c r="G29" s="263"/>
      <c r="H29" s="263"/>
      <c r="I29" s="263"/>
      <c r="J29" s="34">
        <f>SUM(J25:J28)</f>
        <v>81715.544999999998</v>
      </c>
      <c r="K29" s="34">
        <f>SUM(K25:K28)</f>
        <v>326862.18</v>
      </c>
      <c r="L29" s="34">
        <f>SUM(L25:L28)</f>
        <v>286004.40749999997</v>
      </c>
      <c r="M29" s="34">
        <f>SUM(M25:M28)</f>
        <v>122573.31749999999</v>
      </c>
      <c r="N29" s="34">
        <f>SUM(N25:N28)</f>
        <v>817155.45</v>
      </c>
      <c r="O29" s="8"/>
      <c r="P29" s="9"/>
    </row>
    <row r="30" spans="1:36" ht="21.95" customHeight="1" x14ac:dyDescent="0.2">
      <c r="A30" s="262"/>
      <c r="B30" s="263" t="s">
        <v>44</v>
      </c>
      <c r="C30" s="263"/>
      <c r="D30" s="263"/>
      <c r="E30" s="263"/>
      <c r="F30" s="263"/>
      <c r="G30" s="263"/>
      <c r="H30" s="263"/>
      <c r="I30" s="263"/>
      <c r="J30" s="34">
        <f>J29</f>
        <v>81715.544999999998</v>
      </c>
      <c r="K30" s="34">
        <f t="shared" ref="K30:N30" si="9">K29</f>
        <v>326862.18</v>
      </c>
      <c r="L30" s="34">
        <f t="shared" si="9"/>
        <v>286004.40749999997</v>
      </c>
      <c r="M30" s="34">
        <f t="shared" si="9"/>
        <v>122573.31749999999</v>
      </c>
      <c r="N30" s="34">
        <f t="shared" si="9"/>
        <v>817155.45</v>
      </c>
      <c r="O30" s="8"/>
      <c r="Q30" s="10"/>
      <c r="Z30" s="11"/>
      <c r="AC30" s="12"/>
      <c r="AD30" s="13"/>
    </row>
    <row r="31" spans="1:36" ht="21.95" customHeight="1" x14ac:dyDescent="0.2">
      <c r="A31" s="261" t="s">
        <v>45</v>
      </c>
      <c r="B31" s="261"/>
      <c r="C31" s="261"/>
      <c r="D31" s="261"/>
      <c r="E31" s="261"/>
      <c r="F31" s="261"/>
      <c r="G31" s="261"/>
      <c r="H31" s="261"/>
      <c r="I31" s="261"/>
      <c r="J31" s="34">
        <f>J24+J30</f>
        <v>127397.363</v>
      </c>
      <c r="K31" s="34">
        <f>K24+K30</f>
        <v>509589.45199999999</v>
      </c>
      <c r="L31" s="34">
        <f>L24+L30</f>
        <v>445890.77049999998</v>
      </c>
      <c r="M31" s="34">
        <f>M24+M30</f>
        <v>191096.04449999999</v>
      </c>
      <c r="N31" s="34">
        <f>N24+N30</f>
        <v>1273973.6299999999</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3918.64</v>
      </c>
      <c r="L32" s="34"/>
      <c r="M32" s="34"/>
      <c r="N32" s="34">
        <f>ROUND($C$3*P32,2)</f>
        <v>3918.64</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3918.64</v>
      </c>
      <c r="L36" s="34">
        <f>SUM(L32:L35)</f>
        <v>0</v>
      </c>
      <c r="M36" s="34">
        <f>SUM(M32:M35)</f>
        <v>0</v>
      </c>
      <c r="N36" s="34">
        <f>SUM(N32:N35)</f>
        <v>3918.64</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3918.64</v>
      </c>
      <c r="L37" s="34">
        <f t="shared" si="11"/>
        <v>0</v>
      </c>
      <c r="M37" s="34">
        <f t="shared" si="11"/>
        <v>0</v>
      </c>
      <c r="N37" s="34">
        <f t="shared" si="11"/>
        <v>3918.64</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7009.66</v>
      </c>
      <c r="L38" s="34"/>
      <c r="M38" s="34"/>
      <c r="N38" s="34">
        <f>ROUND($C$4*P38,2)</f>
        <v>7009.66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7009.66</v>
      </c>
      <c r="L42" s="34">
        <f>SUM(L38:L41)</f>
        <v>0</v>
      </c>
      <c r="M42" s="34">
        <f>SUM(M38:M41)</f>
        <v>0</v>
      </c>
      <c r="N42" s="34">
        <f>SUM(N38:N41)</f>
        <v>7009.66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7009.66</v>
      </c>
      <c r="L43" s="34">
        <f t="shared" si="13"/>
        <v>0</v>
      </c>
      <c r="M43" s="34">
        <f t="shared" si="13"/>
        <v>0</v>
      </c>
      <c r="N43" s="34">
        <f t="shared" si="13"/>
        <v>7009.66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10928.3</v>
      </c>
      <c r="L44" s="34">
        <f>L37+L43</f>
        <v>0</v>
      </c>
      <c r="M44" s="34">
        <f>M37+M43</f>
        <v>0</v>
      </c>
      <c r="N44" s="34">
        <f>N37+N43</f>
        <v>10928.3</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1086</v>
      </c>
      <c r="L47" s="34"/>
      <c r="M47" s="34"/>
      <c r="N47" s="34">
        <f>ROUND($L$3*P47,2)</f>
        <v>1086</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1018.5000000000018</v>
      </c>
      <c r="L48" s="34"/>
      <c r="M48" s="34"/>
      <c r="N48" s="34">
        <f>M3-SUM(N10,N21,N35)</f>
        <v>1018.5000000000018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2104.5000000000018</v>
      </c>
      <c r="L49" s="34">
        <f>SUM(L45:L48)</f>
        <v>0</v>
      </c>
      <c r="M49" s="34">
        <f>SUM(M45:M48)</f>
        <v>0</v>
      </c>
      <c r="N49" s="34">
        <f>SUM(N45:N48)</f>
        <v>2104.5000000000018</v>
      </c>
      <c r="O49" s="8"/>
      <c r="P49" s="9"/>
    </row>
    <row r="50" spans="1:36" ht="21.95" customHeight="1" x14ac:dyDescent="0.2">
      <c r="A50" s="262"/>
      <c r="B50" s="261" t="s">
        <v>60</v>
      </c>
      <c r="C50" s="261"/>
      <c r="D50" s="261"/>
      <c r="E50" s="261"/>
      <c r="F50" s="261"/>
      <c r="G50" s="261"/>
      <c r="H50" s="261"/>
      <c r="I50" s="261"/>
      <c r="J50" s="34">
        <f>J49</f>
        <v>0</v>
      </c>
      <c r="K50" s="34">
        <f t="shared" ref="K50:N50" si="15">K49</f>
        <v>2104.5000000000018</v>
      </c>
      <c r="L50" s="34">
        <f t="shared" si="15"/>
        <v>0</v>
      </c>
      <c r="M50" s="34">
        <f t="shared" si="15"/>
        <v>0</v>
      </c>
      <c r="N50" s="34">
        <f t="shared" si="15"/>
        <v>2104.5000000000018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1942.64</v>
      </c>
      <c r="L53" s="34"/>
      <c r="M53" s="34"/>
      <c r="N53" s="34">
        <f>ROUND($L$4*P53,2)</f>
        <v>1942.64</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1821.8600000000006</v>
      </c>
      <c r="L54" s="34"/>
      <c r="M54" s="34"/>
      <c r="N54" s="34">
        <f>M4-SUM(N15,N27,N41)</f>
        <v>1821.8600000000006</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3764.5000000000009</v>
      </c>
      <c r="L55" s="34">
        <f>SUM(L51:L54)</f>
        <v>0</v>
      </c>
      <c r="M55" s="34">
        <f>SUM(M51:M54)</f>
        <v>0</v>
      </c>
      <c r="N55" s="34">
        <f>SUM(N51:N54)</f>
        <v>3764.5000000000009</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3764.5000000000009</v>
      </c>
      <c r="L56" s="34">
        <f t="shared" si="17"/>
        <v>0</v>
      </c>
      <c r="M56" s="34">
        <f t="shared" si="17"/>
        <v>0</v>
      </c>
      <c r="N56" s="34">
        <f t="shared" si="17"/>
        <v>3764.5000000000009</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5869.0000000000027</v>
      </c>
      <c r="L57" s="34">
        <f>L50+L56</f>
        <v>0</v>
      </c>
      <c r="M57" s="34">
        <f>M50+M56</f>
        <v>0</v>
      </c>
      <c r="N57" s="34">
        <f>N50+N56</f>
        <v>5869.0000000000027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51.6</v>
      </c>
      <c r="L59" s="34"/>
      <c r="M59" s="34"/>
      <c r="N59" s="34">
        <f>D3</f>
        <v>51.6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367.26</v>
      </c>
      <c r="L60" s="34"/>
      <c r="M60" s="34"/>
      <c r="N60" s="34">
        <f>E3</f>
        <v>367.26</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532.20000000000005</v>
      </c>
      <c r="L61" s="34"/>
      <c r="M61" s="34"/>
      <c r="N61" s="34">
        <f>G3-SUM(N9,N20,N33,N46)</f>
        <v>532.20000000000005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234.22</v>
      </c>
      <c r="L62" s="34"/>
      <c r="M62" s="34"/>
      <c r="N62" s="34">
        <f>H3</f>
        <v>234.22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3015.83</v>
      </c>
      <c r="L63" s="34"/>
      <c r="M63" s="34"/>
      <c r="N63" s="34">
        <f>I3</f>
        <v>3015.83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177.3</v>
      </c>
      <c r="L64" s="34"/>
      <c r="M64" s="34"/>
      <c r="N64" s="34">
        <f>J3</f>
        <v>177.3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166.38</v>
      </c>
      <c r="L66" s="34"/>
      <c r="M66" s="34"/>
      <c r="N66" s="34">
        <f>K3</f>
        <v>166.38</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4544.79</v>
      </c>
      <c r="L68" s="34">
        <f>SUM(L58:L67)</f>
        <v>0</v>
      </c>
      <c r="M68" s="34">
        <f>SUM(M58:M67)</f>
        <v>0</v>
      </c>
      <c r="N68" s="34">
        <f>SUM(N58:N67)</f>
        <v>4544.79</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4544.79</v>
      </c>
      <c r="L69" s="34">
        <f t="shared" si="20"/>
        <v>0</v>
      </c>
      <c r="M69" s="34">
        <f t="shared" si="20"/>
        <v>0</v>
      </c>
      <c r="N69" s="34">
        <f t="shared" si="20"/>
        <v>4544.79</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92.3</v>
      </c>
      <c r="L71" s="34"/>
      <c r="M71" s="34"/>
      <c r="N71" s="34">
        <f>D4</f>
        <v>92.3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656.95</v>
      </c>
      <c r="L72" s="34"/>
      <c r="M72" s="34"/>
      <c r="N72" s="34">
        <f>E4</f>
        <v>656.95</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952</v>
      </c>
      <c r="L73" s="34"/>
      <c r="M73" s="34"/>
      <c r="N73" s="34">
        <f>G4-SUM(N14,N26,N39,N52)</f>
        <v>952</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418.98</v>
      </c>
      <c r="L74" s="34"/>
      <c r="M74" s="34"/>
      <c r="N74" s="34">
        <f>H4</f>
        <v>418.98</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5394.71</v>
      </c>
      <c r="L75" s="34"/>
      <c r="M75" s="34"/>
      <c r="N75" s="34">
        <f>I4</f>
        <v>5394.71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317.16000000000003</v>
      </c>
      <c r="L76" s="34"/>
      <c r="M76" s="34"/>
      <c r="N76" s="34">
        <f>J4</f>
        <v>317.16000000000003</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297.62</v>
      </c>
      <c r="L78" s="34"/>
      <c r="M78" s="34"/>
      <c r="N78" s="34">
        <f>K4</f>
        <v>297.62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8129.72</v>
      </c>
      <c r="L80" s="34">
        <f>SUM(L70:L79)</f>
        <v>0</v>
      </c>
      <c r="M80" s="34">
        <f>SUM(M70:M79)</f>
        <v>0</v>
      </c>
      <c r="N80" s="34">
        <f>SUM(N70:N79)</f>
        <v>8129.72</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8129.72</v>
      </c>
      <c r="L81" s="34">
        <f t="shared" si="23"/>
        <v>0</v>
      </c>
      <c r="M81" s="34">
        <f t="shared" si="23"/>
        <v>0</v>
      </c>
      <c r="N81" s="34">
        <f t="shared" si="23"/>
        <v>8129.72</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12674.51</v>
      </c>
      <c r="L82" s="34">
        <f>L69+L81</f>
        <v>0</v>
      </c>
      <c r="M82" s="34">
        <f>M69+M81</f>
        <v>0</v>
      </c>
      <c r="N82" s="34">
        <f>N69+N81</f>
        <v>12674.51</v>
      </c>
      <c r="O82" s="8"/>
      <c r="R82" s="14"/>
      <c r="Z82" s="15"/>
      <c r="AJ82" s="16"/>
    </row>
    <row r="83" spans="1:36" s="31" customFormat="1" ht="21.95" customHeight="1" x14ac:dyDescent="0.2">
      <c r="A83" s="275" t="s">
        <v>82</v>
      </c>
      <c r="B83" s="275"/>
      <c r="C83" s="275"/>
      <c r="D83" s="275"/>
      <c r="E83" s="275"/>
      <c r="F83" s="275"/>
      <c r="G83" s="275"/>
      <c r="H83" s="275"/>
      <c r="I83" s="275"/>
      <c r="J83" s="35">
        <f>J18+J31+J44+J57+J82</f>
        <v>127397.363</v>
      </c>
      <c r="K83" s="35">
        <f>K18+K31+K44+K57+K82</f>
        <v>539061.26199999999</v>
      </c>
      <c r="L83" s="35">
        <f>L18+L31+L44+L57+L82</f>
        <v>445890.77049999998</v>
      </c>
      <c r="M83" s="35">
        <f>M18+M31+M44+M57+M82</f>
        <v>191096.04449999999</v>
      </c>
      <c r="N83" s="38">
        <f>N18+N31+N44+N57+N82</f>
        <v>1303445.44</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157D8CD-D7F0-4B9C-838F-34ED443C2566}">
          <x14:formula1>
            <xm:f>'2026 COB breakdown_Kris'!$A$5:$A$103</xm:f>
          </x14:formula1>
          <xm:sqref>A3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D892B-CBD7-4B7E-97EC-4B335F5C1795}">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184</v>
      </c>
      <c r="B3" s="58" t="s">
        <v>158</v>
      </c>
      <c r="C3" s="59">
        <f>VLOOKUP($A3,COBTABLE,15, FALSE)</f>
        <v>4248.05</v>
      </c>
      <c r="D3" s="59">
        <f>VLOOKUP($A3,COBTABLE,16, FALSE)</f>
        <v>55.93</v>
      </c>
      <c r="E3" s="59">
        <f>VLOOKUP($A3,COBTABLE,17, FALSE)</f>
        <v>398.13</v>
      </c>
      <c r="F3" s="59">
        <f>VLOOKUP($A3,COBTABLE,18, FALSE)</f>
        <v>0</v>
      </c>
      <c r="G3" s="59">
        <f>VLOOKUP($A3,COBTABLE,19, FALSE)</f>
        <v>576.94000000000005</v>
      </c>
      <c r="H3" s="59">
        <f>VLOOKUP($A3,COBTABLE,20, FALSE)</f>
        <v>253.91</v>
      </c>
      <c r="I3" s="59">
        <f>VLOOKUP($A3,COBTABLE,21, FALSE)</f>
        <v>3269.35</v>
      </c>
      <c r="J3" s="59">
        <f>VLOOKUP($A3,COBTABLE,22, FALSE)</f>
        <v>192.21</v>
      </c>
      <c r="K3" s="59">
        <f>VLOOKUP($A3,COBTABLE,23, FALSE)</f>
        <v>180.37</v>
      </c>
      <c r="L3" s="59">
        <f>VLOOKUP($A3,COBTABLE,24, FALSE)</f>
        <v>1177.29</v>
      </c>
      <c r="M3" s="59">
        <f>VLOOKUP($A3,COBTABLE,25, FALSE)</f>
        <v>1104.1100000000006</v>
      </c>
      <c r="N3" s="60">
        <f>VLOOKUP($A3, countrygrant,2,FALSE)</f>
        <v>456818.18</v>
      </c>
      <c r="O3" s="92">
        <f>SUM(C3:N3)</f>
        <v>468274.47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8010.77</v>
      </c>
      <c r="D4" s="59">
        <f>VLOOKUP($A3,COBTABLE,28, FALSE)</f>
        <v>105.48</v>
      </c>
      <c r="E4" s="59">
        <f>VLOOKUP($A3,COBTABLE,29, FALSE)</f>
        <v>750.77</v>
      </c>
      <c r="F4" s="59">
        <f>VLOOKUP($A3,COBTABLE,30, FALSE)</f>
        <v>0</v>
      </c>
      <c r="G4" s="59">
        <f>VLOOKUP($A3,COBTABLE,31, FALSE)</f>
        <v>1087.96</v>
      </c>
      <c r="H4" s="59">
        <f>VLOOKUP($A3,COBTABLE,32, FALSE)</f>
        <v>478.81</v>
      </c>
      <c r="I4" s="59">
        <f>VLOOKUP($A3,COBTABLE,33, FALSE)</f>
        <v>6165.18</v>
      </c>
      <c r="J4" s="59">
        <f>VLOOKUP($A3,COBTABLE,34, FALSE)</f>
        <v>362.46</v>
      </c>
      <c r="K4" s="59">
        <f>VLOOKUP($A3,COBTABLE,35, FALSE)</f>
        <v>340.13</v>
      </c>
      <c r="L4" s="59">
        <f>VLOOKUP($A3,COBTABLE,36, FALSE)</f>
        <v>2220.08</v>
      </c>
      <c r="M4" s="59">
        <f>VLOOKUP($A3,COBTABLE,37, FALSE)</f>
        <v>2082.0699999999997</v>
      </c>
      <c r="N4" s="60">
        <f>VLOOKUP($A3, countrygrant,3,FALSE)</f>
        <v>861445.8</v>
      </c>
      <c r="O4" s="92">
        <f t="shared" ref="O4" si="0">SUM(C4:N4)</f>
        <v>883049.51</v>
      </c>
      <c r="P4" s="28"/>
      <c r="Q4" s="28"/>
      <c r="R4" s="28"/>
      <c r="S4" s="28"/>
      <c r="T4" s="28"/>
      <c r="U4" s="28"/>
      <c r="V4" s="28"/>
      <c r="W4" s="28"/>
      <c r="X4" s="28"/>
      <c r="Y4" s="28"/>
      <c r="Z4" s="28"/>
      <c r="AA4" s="28"/>
      <c r="AB4" s="28"/>
      <c r="AC4" s="28"/>
    </row>
    <row r="5" spans="1:36" s="53" customFormat="1" ht="12" customHeight="1" x14ac:dyDescent="0.25">
      <c r="A5" s="278"/>
      <c r="B5" s="61" t="s">
        <v>156</v>
      </c>
      <c r="C5" s="62">
        <f>SUM(C3:C4)</f>
        <v>12258.82</v>
      </c>
      <c r="D5" s="62">
        <f t="shared" ref="D5:O5" si="1">SUM(D3:D4)</f>
        <v>161.41</v>
      </c>
      <c r="E5" s="62">
        <f t="shared" si="1"/>
        <v>1148.9000000000001</v>
      </c>
      <c r="F5" s="62">
        <f t="shared" si="1"/>
        <v>0</v>
      </c>
      <c r="G5" s="62">
        <f t="shared" si="1"/>
        <v>1664.9</v>
      </c>
      <c r="H5" s="62">
        <f t="shared" si="1"/>
        <v>732.72</v>
      </c>
      <c r="I5" s="62">
        <f t="shared" si="1"/>
        <v>9434.5300000000007</v>
      </c>
      <c r="J5" s="62">
        <f t="shared" si="1"/>
        <v>554.66999999999996</v>
      </c>
      <c r="K5" s="62">
        <f t="shared" si="1"/>
        <v>520.5</v>
      </c>
      <c r="L5" s="62">
        <f t="shared" si="1"/>
        <v>3397.37</v>
      </c>
      <c r="M5" s="62">
        <f t="shared" si="1"/>
        <v>3186.1800000000003</v>
      </c>
      <c r="N5" s="62">
        <f t="shared" si="1"/>
        <v>1318263.98</v>
      </c>
      <c r="O5" s="62">
        <f t="shared" si="1"/>
        <v>1351323.98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86144.580000000016</v>
      </c>
      <c r="K28" s="34">
        <f>$N28*0.4</f>
        <v>344578.32000000007</v>
      </c>
      <c r="L28" s="34">
        <f>$N28*0.35</f>
        <v>301506.02999999997</v>
      </c>
      <c r="M28" s="34">
        <f>$N28*0.15</f>
        <v>129216.87</v>
      </c>
      <c r="N28" s="34">
        <f>N4</f>
        <v>861445.8</v>
      </c>
      <c r="O28" s="8"/>
      <c r="P28" s="9">
        <f>VLOOKUP(H28,starratio3,4,FALSE)</f>
        <v>0</v>
      </c>
    </row>
    <row r="29" spans="1:36" ht="21.95" customHeight="1" x14ac:dyDescent="0.2">
      <c r="A29" s="262"/>
      <c r="B29" s="262"/>
      <c r="C29" s="263" t="s">
        <v>31</v>
      </c>
      <c r="D29" s="263"/>
      <c r="E29" s="263"/>
      <c r="F29" s="263"/>
      <c r="G29" s="263"/>
      <c r="H29" s="263"/>
      <c r="I29" s="263"/>
      <c r="J29" s="34">
        <f>SUM(J25:J28)</f>
        <v>86144.580000000016</v>
      </c>
      <c r="K29" s="34">
        <f>SUM(K25:K28)</f>
        <v>344578.32000000007</v>
      </c>
      <c r="L29" s="34">
        <f>SUM(L25:L28)</f>
        <v>301506.02999999997</v>
      </c>
      <c r="M29" s="34">
        <f>SUM(M25:M28)</f>
        <v>129216.87</v>
      </c>
      <c r="N29" s="34">
        <f>SUM(N25:N28)</f>
        <v>861445.8</v>
      </c>
      <c r="O29" s="8"/>
      <c r="P29" s="9"/>
    </row>
    <row r="30" spans="1:36" ht="21.95" customHeight="1" x14ac:dyDescent="0.2">
      <c r="A30" s="262"/>
      <c r="B30" s="263" t="s">
        <v>44</v>
      </c>
      <c r="C30" s="263"/>
      <c r="D30" s="263"/>
      <c r="E30" s="263"/>
      <c r="F30" s="263"/>
      <c r="G30" s="263"/>
      <c r="H30" s="263"/>
      <c r="I30" s="263"/>
      <c r="J30" s="34">
        <f>J29</f>
        <v>86144.580000000016</v>
      </c>
      <c r="K30" s="34">
        <f t="shared" ref="K30:N30" si="9">K29</f>
        <v>344578.32000000007</v>
      </c>
      <c r="L30" s="34">
        <f t="shared" si="9"/>
        <v>301506.02999999997</v>
      </c>
      <c r="M30" s="34">
        <f t="shared" si="9"/>
        <v>129216.87</v>
      </c>
      <c r="N30" s="34">
        <f t="shared" si="9"/>
        <v>861445.8</v>
      </c>
      <c r="O30" s="8"/>
      <c r="Q30" s="10"/>
      <c r="Z30" s="11"/>
      <c r="AC30" s="12"/>
      <c r="AD30" s="13"/>
    </row>
    <row r="31" spans="1:36" ht="21.95" customHeight="1" x14ac:dyDescent="0.2">
      <c r="A31" s="261" t="s">
        <v>45</v>
      </c>
      <c r="B31" s="261"/>
      <c r="C31" s="261"/>
      <c r="D31" s="261"/>
      <c r="E31" s="261"/>
      <c r="F31" s="261"/>
      <c r="G31" s="261"/>
      <c r="H31" s="261"/>
      <c r="I31" s="261"/>
      <c r="J31" s="34">
        <f>J24+J30</f>
        <v>131826.39800000002</v>
      </c>
      <c r="K31" s="34">
        <f>K24+K30</f>
        <v>527305.59200000006</v>
      </c>
      <c r="L31" s="34">
        <f>L24+L30</f>
        <v>461392.39299999992</v>
      </c>
      <c r="M31" s="34">
        <f>M24+M30</f>
        <v>197739.59700000001</v>
      </c>
      <c r="N31" s="34">
        <f>N24+N30</f>
        <v>1318263.98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4248.05</v>
      </c>
      <c r="L32" s="34"/>
      <c r="M32" s="34"/>
      <c r="N32" s="34">
        <f>ROUND($C$3*P32,2)</f>
        <v>4248.05</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4248.05</v>
      </c>
      <c r="L36" s="34">
        <f>SUM(L32:L35)</f>
        <v>0</v>
      </c>
      <c r="M36" s="34">
        <f>SUM(M32:M35)</f>
        <v>0</v>
      </c>
      <c r="N36" s="34">
        <f>SUM(N32:N35)</f>
        <v>4248.05</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4248.05</v>
      </c>
      <c r="L37" s="34">
        <f t="shared" si="11"/>
        <v>0</v>
      </c>
      <c r="M37" s="34">
        <f t="shared" si="11"/>
        <v>0</v>
      </c>
      <c r="N37" s="34">
        <f t="shared" si="11"/>
        <v>4248.05</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8010.77</v>
      </c>
      <c r="L38" s="34"/>
      <c r="M38" s="34"/>
      <c r="N38" s="34">
        <f>ROUND($C$4*P38,2)</f>
        <v>8010.77</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8010.77</v>
      </c>
      <c r="L42" s="34">
        <f>SUM(L38:L41)</f>
        <v>0</v>
      </c>
      <c r="M42" s="34">
        <f>SUM(M38:M41)</f>
        <v>0</v>
      </c>
      <c r="N42" s="34">
        <f>SUM(N38:N41)</f>
        <v>8010.77</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8010.77</v>
      </c>
      <c r="L43" s="34">
        <f t="shared" si="13"/>
        <v>0</v>
      </c>
      <c r="M43" s="34">
        <f t="shared" si="13"/>
        <v>0</v>
      </c>
      <c r="N43" s="34">
        <f t="shared" si="13"/>
        <v>8010.77</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12258.82</v>
      </c>
      <c r="L44" s="34">
        <f>L37+L43</f>
        <v>0</v>
      </c>
      <c r="M44" s="34">
        <f>M37+M43</f>
        <v>0</v>
      </c>
      <c r="N44" s="34">
        <f>N37+N43</f>
        <v>12258.82</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1177.29</v>
      </c>
      <c r="L47" s="34"/>
      <c r="M47" s="34"/>
      <c r="N47" s="34">
        <f>ROUND($L$3*P47,2)</f>
        <v>1177.29</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1104.1100000000006</v>
      </c>
      <c r="L48" s="34"/>
      <c r="M48" s="34"/>
      <c r="N48" s="34">
        <f>M3-SUM(N10,N21,N35)</f>
        <v>1104.1100000000006</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2281.4000000000005</v>
      </c>
      <c r="L49" s="34">
        <f>SUM(L45:L48)</f>
        <v>0</v>
      </c>
      <c r="M49" s="34">
        <f>SUM(M45:M48)</f>
        <v>0</v>
      </c>
      <c r="N49" s="34">
        <f>SUM(N45:N48)</f>
        <v>2281.4000000000005</v>
      </c>
      <c r="O49" s="8"/>
      <c r="P49" s="9"/>
    </row>
    <row r="50" spans="1:36" ht="21.95" customHeight="1" x14ac:dyDescent="0.2">
      <c r="A50" s="262"/>
      <c r="B50" s="261" t="s">
        <v>60</v>
      </c>
      <c r="C50" s="261"/>
      <c r="D50" s="261"/>
      <c r="E50" s="261"/>
      <c r="F50" s="261"/>
      <c r="G50" s="261"/>
      <c r="H50" s="261"/>
      <c r="I50" s="261"/>
      <c r="J50" s="34">
        <f>J49</f>
        <v>0</v>
      </c>
      <c r="K50" s="34">
        <f t="shared" ref="K50:N50" si="15">K49</f>
        <v>2281.4000000000005</v>
      </c>
      <c r="L50" s="34">
        <f t="shared" si="15"/>
        <v>0</v>
      </c>
      <c r="M50" s="34">
        <f t="shared" si="15"/>
        <v>0</v>
      </c>
      <c r="N50" s="34">
        <f t="shared" si="15"/>
        <v>2281.4000000000005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2220.08</v>
      </c>
      <c r="L53" s="34"/>
      <c r="M53" s="34"/>
      <c r="N53" s="34">
        <f>ROUND($L$4*P53,2)</f>
        <v>2220.08</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2082.0699999999997</v>
      </c>
      <c r="L54" s="34"/>
      <c r="M54" s="34"/>
      <c r="N54" s="34">
        <f>M4-SUM(N15,N27,N41)</f>
        <v>2082.0699999999997</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4302.1499999999996</v>
      </c>
      <c r="L55" s="34">
        <f>SUM(L51:L54)</f>
        <v>0</v>
      </c>
      <c r="M55" s="34">
        <f>SUM(M51:M54)</f>
        <v>0</v>
      </c>
      <c r="N55" s="34">
        <f>SUM(N51:N54)</f>
        <v>4302.1499999999996</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4302.1499999999996</v>
      </c>
      <c r="L56" s="34">
        <f t="shared" si="17"/>
        <v>0</v>
      </c>
      <c r="M56" s="34">
        <f t="shared" si="17"/>
        <v>0</v>
      </c>
      <c r="N56" s="34">
        <f t="shared" si="17"/>
        <v>4302.1499999999996</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6583.55</v>
      </c>
      <c r="L57" s="34">
        <f>L50+L56</f>
        <v>0</v>
      </c>
      <c r="M57" s="34">
        <f>M50+M56</f>
        <v>0</v>
      </c>
      <c r="N57" s="34">
        <f>N50+N56</f>
        <v>6583.55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55.93</v>
      </c>
      <c r="L59" s="34"/>
      <c r="M59" s="34"/>
      <c r="N59" s="34">
        <f>D3</f>
        <v>55.93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398.13</v>
      </c>
      <c r="L60" s="34"/>
      <c r="M60" s="34"/>
      <c r="N60" s="34">
        <f>E3</f>
        <v>398.13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576.94000000000005</v>
      </c>
      <c r="L61" s="34"/>
      <c r="M61" s="34"/>
      <c r="N61" s="34">
        <f>G3-SUM(N9,N20,N33,N46)</f>
        <v>576.94000000000005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253.91</v>
      </c>
      <c r="L62" s="34"/>
      <c r="M62" s="34"/>
      <c r="N62" s="34">
        <f>H3</f>
        <v>253.91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3269.35</v>
      </c>
      <c r="L63" s="34"/>
      <c r="M63" s="34"/>
      <c r="N63" s="34">
        <f>I3</f>
        <v>3269.35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192.21</v>
      </c>
      <c r="L64" s="34"/>
      <c r="M64" s="34"/>
      <c r="N64" s="34">
        <f>J3</f>
        <v>192.21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180.37</v>
      </c>
      <c r="L66" s="34"/>
      <c r="M66" s="34"/>
      <c r="N66" s="34">
        <f>K3</f>
        <v>180.37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4926.84</v>
      </c>
      <c r="L68" s="34">
        <f>SUM(L58:L67)</f>
        <v>0</v>
      </c>
      <c r="M68" s="34">
        <f>SUM(M58:M67)</f>
        <v>0</v>
      </c>
      <c r="N68" s="34">
        <f>SUM(N58:N67)</f>
        <v>4926.84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4926.84</v>
      </c>
      <c r="L69" s="34">
        <f t="shared" si="20"/>
        <v>0</v>
      </c>
      <c r="M69" s="34">
        <f t="shared" si="20"/>
        <v>0</v>
      </c>
      <c r="N69" s="34">
        <f t="shared" si="20"/>
        <v>4926.84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105.48</v>
      </c>
      <c r="L71" s="34"/>
      <c r="M71" s="34"/>
      <c r="N71" s="34">
        <f>D4</f>
        <v>105.48</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750.77</v>
      </c>
      <c r="L72" s="34"/>
      <c r="M72" s="34"/>
      <c r="N72" s="34">
        <f>E4</f>
        <v>750.77</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1087.96</v>
      </c>
      <c r="L73" s="34"/>
      <c r="M73" s="34"/>
      <c r="N73" s="34">
        <f>G4-SUM(N14,N26,N39,N52)</f>
        <v>1087.96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478.81</v>
      </c>
      <c r="L74" s="34"/>
      <c r="M74" s="34"/>
      <c r="N74" s="34">
        <f>H4</f>
        <v>478.81</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6165.18</v>
      </c>
      <c r="L75" s="34"/>
      <c r="M75" s="34"/>
      <c r="N75" s="34">
        <f>I4</f>
        <v>6165.18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362.46</v>
      </c>
      <c r="L76" s="34"/>
      <c r="M76" s="34"/>
      <c r="N76" s="34">
        <f>J4</f>
        <v>362.46</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340.13</v>
      </c>
      <c r="L78" s="34"/>
      <c r="M78" s="34"/>
      <c r="N78" s="34">
        <f>K4</f>
        <v>340.13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9290.7899999999991</v>
      </c>
      <c r="L80" s="34">
        <f>SUM(L70:L79)</f>
        <v>0</v>
      </c>
      <c r="M80" s="34">
        <f>SUM(M70:M79)</f>
        <v>0</v>
      </c>
      <c r="N80" s="34">
        <f>SUM(N70:N79)</f>
        <v>9290.7899999999991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9290.7899999999991</v>
      </c>
      <c r="L81" s="34">
        <f t="shared" si="23"/>
        <v>0</v>
      </c>
      <c r="M81" s="34">
        <f t="shared" si="23"/>
        <v>0</v>
      </c>
      <c r="N81" s="34">
        <f t="shared" si="23"/>
        <v>9290.7899999999991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14217.63</v>
      </c>
      <c r="L82" s="34">
        <f>L69+L81</f>
        <v>0</v>
      </c>
      <c r="M82" s="34">
        <f>M69+M81</f>
        <v>0</v>
      </c>
      <c r="N82" s="34">
        <f>N69+N81</f>
        <v>14217.63</v>
      </c>
      <c r="O82" s="8"/>
      <c r="R82" s="14"/>
      <c r="Z82" s="15"/>
      <c r="AJ82" s="16"/>
    </row>
    <row r="83" spans="1:36" s="31" customFormat="1" ht="21.95" customHeight="1" x14ac:dyDescent="0.2">
      <c r="A83" s="275" t="s">
        <v>82</v>
      </c>
      <c r="B83" s="275"/>
      <c r="C83" s="275"/>
      <c r="D83" s="275"/>
      <c r="E83" s="275"/>
      <c r="F83" s="275"/>
      <c r="G83" s="275"/>
      <c r="H83" s="275"/>
      <c r="I83" s="275"/>
      <c r="J83" s="35">
        <f>J18+J31+J44+J57+J82</f>
        <v>131826.39800000002</v>
      </c>
      <c r="K83" s="35">
        <f>K18+K31+K44+K57+K82</f>
        <v>560365.59200000006</v>
      </c>
      <c r="L83" s="35">
        <f>L18+L31+L44+L57+L82</f>
        <v>461392.39299999992</v>
      </c>
      <c r="M83" s="35">
        <f>M18+M31+M44+M57+M82</f>
        <v>197739.59700000001</v>
      </c>
      <c r="N83" s="38">
        <f>N18+N31+N44+N57+N82</f>
        <v>1351323.98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4A2681F-F048-488D-B5FC-BF9F5AEDD8CD}">
          <x14:formula1>
            <xm:f>'2026 COB breakdown_Kris'!$A$5:$A$103</xm:f>
          </x14:formula1>
          <xm:sqref>A3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92A1F-7B4D-4E7A-B425-78E728473F3B}">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185</v>
      </c>
      <c r="B3" s="58" t="s">
        <v>158</v>
      </c>
      <c r="C3" s="59">
        <f>VLOOKUP($A3,COBTABLE,15, FALSE)</f>
        <v>10703.33</v>
      </c>
      <c r="D3" s="59">
        <f>VLOOKUP($A3,COBTABLE,16, FALSE)</f>
        <v>140.93</v>
      </c>
      <c r="E3" s="59">
        <f>VLOOKUP($A3,COBTABLE,17, FALSE)</f>
        <v>1003.12</v>
      </c>
      <c r="F3" s="59">
        <f>VLOOKUP($A3,COBTABLE,18, FALSE)</f>
        <v>0</v>
      </c>
      <c r="G3" s="59">
        <f>VLOOKUP($A3,COBTABLE,19, FALSE)</f>
        <v>1453.65</v>
      </c>
      <c r="H3" s="59">
        <f>VLOOKUP($A3,COBTABLE,20, FALSE)</f>
        <v>639.75</v>
      </c>
      <c r="I3" s="59">
        <f>VLOOKUP($A3,COBTABLE,21, FALSE)</f>
        <v>8237.4</v>
      </c>
      <c r="J3" s="59">
        <f>VLOOKUP($A3,COBTABLE,22, FALSE)</f>
        <v>484.28</v>
      </c>
      <c r="K3" s="59">
        <f>VLOOKUP($A3,COBTABLE,23, FALSE)</f>
        <v>454.46</v>
      </c>
      <c r="L3" s="59">
        <f>VLOOKUP($A3,COBTABLE,24, FALSE)</f>
        <v>2966.29</v>
      </c>
      <c r="M3" s="59">
        <f>VLOOKUP($A3,COBTABLE,25, FALSE)</f>
        <v>2781.9000000000015</v>
      </c>
      <c r="N3" s="60">
        <f>VLOOKUP($A3, countrygrant,2,FALSE)</f>
        <v>456818.18</v>
      </c>
      <c r="O3" s="92">
        <f>SUM(C3:N3)</f>
        <v>485683.29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3924.56</v>
      </c>
      <c r="D4" s="59">
        <f>VLOOKUP($A3,COBTABLE,28, FALSE)</f>
        <v>51.68</v>
      </c>
      <c r="E4" s="59">
        <f>VLOOKUP($A3,COBTABLE,29, FALSE)</f>
        <v>367.81</v>
      </c>
      <c r="F4" s="59">
        <f>VLOOKUP($A3,COBTABLE,30, FALSE)</f>
        <v>0</v>
      </c>
      <c r="G4" s="59">
        <f>VLOOKUP($A3,COBTABLE,31, FALSE)</f>
        <v>533</v>
      </c>
      <c r="H4" s="59">
        <f>VLOOKUP($A3,COBTABLE,32, FALSE)</f>
        <v>234.58</v>
      </c>
      <c r="I4" s="59">
        <f>VLOOKUP($A3,COBTABLE,33, FALSE)</f>
        <v>3020.38</v>
      </c>
      <c r="J4" s="59">
        <f>VLOOKUP($A3,COBTABLE,34, FALSE)</f>
        <v>177.57</v>
      </c>
      <c r="K4" s="59">
        <f>VLOOKUP($A3,COBTABLE,35, FALSE)</f>
        <v>166.63</v>
      </c>
      <c r="L4" s="59">
        <f>VLOOKUP($A3,COBTABLE,36, FALSE)</f>
        <v>1087.6400000000001</v>
      </c>
      <c r="M4" s="59">
        <f>VLOOKUP($A3,COBTABLE,37, FALSE)</f>
        <v>1020.0300000000007</v>
      </c>
      <c r="N4" s="60">
        <f>VLOOKUP($A3, countrygrant,3,FALSE)</f>
        <v>167500</v>
      </c>
      <c r="O4" s="92">
        <f t="shared" ref="O4" si="0">SUM(C4:N4)</f>
        <v>178083.88</v>
      </c>
      <c r="P4" s="28"/>
      <c r="Q4" s="28"/>
      <c r="R4" s="28"/>
      <c r="S4" s="28"/>
      <c r="T4" s="28"/>
      <c r="U4" s="28"/>
      <c r="V4" s="28"/>
      <c r="W4" s="28"/>
      <c r="X4" s="28"/>
      <c r="Y4" s="28"/>
      <c r="Z4" s="28"/>
      <c r="AA4" s="28"/>
      <c r="AB4" s="28"/>
      <c r="AC4" s="28"/>
    </row>
    <row r="5" spans="1:36" s="53" customFormat="1" ht="12" customHeight="1" x14ac:dyDescent="0.25">
      <c r="A5" s="278"/>
      <c r="B5" s="61" t="s">
        <v>156</v>
      </c>
      <c r="C5" s="62">
        <f>SUM(C3:C4)</f>
        <v>14627.89</v>
      </c>
      <c r="D5" s="62">
        <f t="shared" ref="D5:O5" si="1">SUM(D3:D4)</f>
        <v>192.61</v>
      </c>
      <c r="E5" s="62">
        <f t="shared" si="1"/>
        <v>1370.93</v>
      </c>
      <c r="F5" s="62">
        <f t="shared" si="1"/>
        <v>0</v>
      </c>
      <c r="G5" s="62">
        <f t="shared" si="1"/>
        <v>1986.65</v>
      </c>
      <c r="H5" s="62">
        <f t="shared" si="1"/>
        <v>874.33</v>
      </c>
      <c r="I5" s="62">
        <f t="shared" si="1"/>
        <v>11257.779999999999</v>
      </c>
      <c r="J5" s="62">
        <f t="shared" si="1"/>
        <v>661.84999999999991</v>
      </c>
      <c r="K5" s="62">
        <f t="shared" si="1"/>
        <v>621.08999999999992</v>
      </c>
      <c r="L5" s="62">
        <f t="shared" si="1"/>
        <v>4053.9300000000003</v>
      </c>
      <c r="M5" s="62">
        <f t="shared" si="1"/>
        <v>3801.9300000000021</v>
      </c>
      <c r="N5" s="62">
        <f t="shared" si="1"/>
        <v>624318.17999999993</v>
      </c>
      <c r="O5" s="62">
        <f t="shared" si="1"/>
        <v>663767.16999999993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16750</v>
      </c>
      <c r="K28" s="34">
        <f>$N28*0.4</f>
        <v>67000</v>
      </c>
      <c r="L28" s="34">
        <f>$N28*0.35</f>
        <v>58624.999999999993</v>
      </c>
      <c r="M28" s="34">
        <f>$N28*0.15</f>
        <v>25125</v>
      </c>
      <c r="N28" s="34">
        <f>N4</f>
        <v>167500</v>
      </c>
      <c r="O28" s="8"/>
      <c r="P28" s="9">
        <f>VLOOKUP(H28,starratio3,4,FALSE)</f>
        <v>0</v>
      </c>
    </row>
    <row r="29" spans="1:36" ht="21.95" customHeight="1" x14ac:dyDescent="0.2">
      <c r="A29" s="262"/>
      <c r="B29" s="262"/>
      <c r="C29" s="263" t="s">
        <v>31</v>
      </c>
      <c r="D29" s="263"/>
      <c r="E29" s="263"/>
      <c r="F29" s="263"/>
      <c r="G29" s="263"/>
      <c r="H29" s="263"/>
      <c r="I29" s="263"/>
      <c r="J29" s="34">
        <f>SUM(J25:J28)</f>
        <v>16750</v>
      </c>
      <c r="K29" s="34">
        <f>SUM(K25:K28)</f>
        <v>67000</v>
      </c>
      <c r="L29" s="34">
        <f>SUM(L25:L28)</f>
        <v>58624.999999999993</v>
      </c>
      <c r="M29" s="34">
        <f>SUM(M25:M28)</f>
        <v>25125</v>
      </c>
      <c r="N29" s="34">
        <f>SUM(N25:N28)</f>
        <v>167500</v>
      </c>
      <c r="O29" s="8"/>
      <c r="P29" s="9"/>
    </row>
    <row r="30" spans="1:36" ht="21.95" customHeight="1" x14ac:dyDescent="0.2">
      <c r="A30" s="262"/>
      <c r="B30" s="263" t="s">
        <v>44</v>
      </c>
      <c r="C30" s="263"/>
      <c r="D30" s="263"/>
      <c r="E30" s="263"/>
      <c r="F30" s="263"/>
      <c r="G30" s="263"/>
      <c r="H30" s="263"/>
      <c r="I30" s="263"/>
      <c r="J30" s="34">
        <f>J29</f>
        <v>16750</v>
      </c>
      <c r="K30" s="34">
        <f t="shared" ref="K30:N30" si="9">K29</f>
        <v>67000</v>
      </c>
      <c r="L30" s="34">
        <f t="shared" si="9"/>
        <v>58624.999999999993</v>
      </c>
      <c r="M30" s="34">
        <f t="shared" si="9"/>
        <v>25125</v>
      </c>
      <c r="N30" s="34">
        <f t="shared" si="9"/>
        <v>167500</v>
      </c>
      <c r="O30" s="8"/>
      <c r="Q30" s="10"/>
      <c r="Z30" s="11"/>
      <c r="AC30" s="12"/>
      <c r="AD30" s="13"/>
    </row>
    <row r="31" spans="1:36" ht="21.95" customHeight="1" x14ac:dyDescent="0.2">
      <c r="A31" s="261" t="s">
        <v>45</v>
      </c>
      <c r="B31" s="261"/>
      <c r="C31" s="261"/>
      <c r="D31" s="261"/>
      <c r="E31" s="261"/>
      <c r="F31" s="261"/>
      <c r="G31" s="261"/>
      <c r="H31" s="261"/>
      <c r="I31" s="261"/>
      <c r="J31" s="34">
        <f>J24+J30</f>
        <v>62431.817999999999</v>
      </c>
      <c r="K31" s="34">
        <f>K24+K30</f>
        <v>249727.272</v>
      </c>
      <c r="L31" s="34">
        <f>L24+L30</f>
        <v>218511.36299999998</v>
      </c>
      <c r="M31" s="34">
        <f>M24+M30</f>
        <v>93647.726999999999</v>
      </c>
      <c r="N31" s="34">
        <f>N24+N30</f>
        <v>624318.17999999993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10703.33</v>
      </c>
      <c r="L32" s="34"/>
      <c r="M32" s="34"/>
      <c r="N32" s="34">
        <f>ROUND($C$3*P32,2)</f>
        <v>10703.33</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10703.33</v>
      </c>
      <c r="L36" s="34">
        <f>SUM(L32:L35)</f>
        <v>0</v>
      </c>
      <c r="M36" s="34">
        <f>SUM(M32:M35)</f>
        <v>0</v>
      </c>
      <c r="N36" s="34">
        <f>SUM(N32:N35)</f>
        <v>10703.33</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10703.33</v>
      </c>
      <c r="L37" s="34">
        <f t="shared" si="11"/>
        <v>0</v>
      </c>
      <c r="M37" s="34">
        <f t="shared" si="11"/>
        <v>0</v>
      </c>
      <c r="N37" s="34">
        <f t="shared" si="11"/>
        <v>10703.33</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3924.56</v>
      </c>
      <c r="L38" s="34"/>
      <c r="M38" s="34"/>
      <c r="N38" s="34">
        <f>ROUND($C$4*P38,2)</f>
        <v>3924.56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3924.56</v>
      </c>
      <c r="L42" s="34">
        <f>SUM(L38:L41)</f>
        <v>0</v>
      </c>
      <c r="M42" s="34">
        <f>SUM(M38:M41)</f>
        <v>0</v>
      </c>
      <c r="N42" s="34">
        <f>SUM(N38:N41)</f>
        <v>3924.56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3924.56</v>
      </c>
      <c r="L43" s="34">
        <f t="shared" si="13"/>
        <v>0</v>
      </c>
      <c r="M43" s="34">
        <f t="shared" si="13"/>
        <v>0</v>
      </c>
      <c r="N43" s="34">
        <f t="shared" si="13"/>
        <v>3924.56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14627.89</v>
      </c>
      <c r="L44" s="34">
        <f>L37+L43</f>
        <v>0</v>
      </c>
      <c r="M44" s="34">
        <f>M37+M43</f>
        <v>0</v>
      </c>
      <c r="N44" s="34">
        <f>N37+N43</f>
        <v>14627.89</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2966.29</v>
      </c>
      <c r="L47" s="34"/>
      <c r="M47" s="34"/>
      <c r="N47" s="34">
        <f>ROUND($L$3*P47,2)</f>
        <v>2966.29</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2781.9000000000015</v>
      </c>
      <c r="L48" s="34"/>
      <c r="M48" s="34"/>
      <c r="N48" s="34">
        <f>M3-SUM(N10,N21,N35)</f>
        <v>2781.9000000000015</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5748.1900000000014</v>
      </c>
      <c r="L49" s="34">
        <f>SUM(L45:L48)</f>
        <v>0</v>
      </c>
      <c r="M49" s="34">
        <f>SUM(M45:M48)</f>
        <v>0</v>
      </c>
      <c r="N49" s="34">
        <f>SUM(N45:N48)</f>
        <v>5748.1900000000014</v>
      </c>
      <c r="O49" s="8"/>
      <c r="P49" s="9"/>
    </row>
    <row r="50" spans="1:36" ht="21.95" customHeight="1" x14ac:dyDescent="0.2">
      <c r="A50" s="262"/>
      <c r="B50" s="261" t="s">
        <v>60</v>
      </c>
      <c r="C50" s="261"/>
      <c r="D50" s="261"/>
      <c r="E50" s="261"/>
      <c r="F50" s="261"/>
      <c r="G50" s="261"/>
      <c r="H50" s="261"/>
      <c r="I50" s="261"/>
      <c r="J50" s="34">
        <f>J49</f>
        <v>0</v>
      </c>
      <c r="K50" s="34">
        <f t="shared" ref="K50:N50" si="15">K49</f>
        <v>5748.1900000000014</v>
      </c>
      <c r="L50" s="34">
        <f t="shared" si="15"/>
        <v>0</v>
      </c>
      <c r="M50" s="34">
        <f t="shared" si="15"/>
        <v>0</v>
      </c>
      <c r="N50" s="34">
        <f t="shared" si="15"/>
        <v>5748.1900000000014</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1087.6400000000001</v>
      </c>
      <c r="L53" s="34"/>
      <c r="M53" s="34"/>
      <c r="N53" s="34">
        <f>ROUND($L$4*P53,2)</f>
        <v>1087.6400000000001</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1020.0300000000007</v>
      </c>
      <c r="L54" s="34"/>
      <c r="M54" s="34"/>
      <c r="N54" s="34">
        <f>M4-SUM(N15,N27,N41)</f>
        <v>1020.0300000000007</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2107.670000000001</v>
      </c>
      <c r="L55" s="34">
        <f>SUM(L51:L54)</f>
        <v>0</v>
      </c>
      <c r="M55" s="34">
        <f>SUM(M51:M54)</f>
        <v>0</v>
      </c>
      <c r="N55" s="34">
        <f>SUM(N51:N54)</f>
        <v>2107.670000000001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2107.670000000001</v>
      </c>
      <c r="L56" s="34">
        <f t="shared" si="17"/>
        <v>0</v>
      </c>
      <c r="M56" s="34">
        <f t="shared" si="17"/>
        <v>0</v>
      </c>
      <c r="N56" s="34">
        <f t="shared" si="17"/>
        <v>2107.670000000001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7855.8600000000024</v>
      </c>
      <c r="L57" s="34">
        <f>L50+L56</f>
        <v>0</v>
      </c>
      <c r="M57" s="34">
        <f>M50+M56</f>
        <v>0</v>
      </c>
      <c r="N57" s="34">
        <f>N50+N56</f>
        <v>7855.8600000000024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140.93</v>
      </c>
      <c r="L59" s="34"/>
      <c r="M59" s="34"/>
      <c r="N59" s="34">
        <f>D3</f>
        <v>140.93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1003.12</v>
      </c>
      <c r="L60" s="34"/>
      <c r="M60" s="34"/>
      <c r="N60" s="34">
        <f>E3</f>
        <v>1003.12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1453.65</v>
      </c>
      <c r="L61" s="34"/>
      <c r="M61" s="34"/>
      <c r="N61" s="34">
        <f>G3-SUM(N9,N20,N33,N46)</f>
        <v>1453.65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639.75</v>
      </c>
      <c r="L62" s="34"/>
      <c r="M62" s="34"/>
      <c r="N62" s="34">
        <f>H3</f>
        <v>639.75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8237.4</v>
      </c>
      <c r="L63" s="34"/>
      <c r="M63" s="34"/>
      <c r="N63" s="34">
        <f>I3</f>
        <v>8237.4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484.28</v>
      </c>
      <c r="L64" s="34"/>
      <c r="M64" s="34"/>
      <c r="N64" s="34">
        <f>J3</f>
        <v>484.28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454.46</v>
      </c>
      <c r="L66" s="34"/>
      <c r="M66" s="34"/>
      <c r="N66" s="34">
        <f>K3</f>
        <v>454.46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12413.589999999998</v>
      </c>
      <c r="L68" s="34">
        <f>SUM(L58:L67)</f>
        <v>0</v>
      </c>
      <c r="M68" s="34">
        <f>SUM(M58:M67)</f>
        <v>0</v>
      </c>
      <c r="N68" s="34">
        <f>SUM(N58:N67)</f>
        <v>12413.589999999998</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12413.589999999998</v>
      </c>
      <c r="L69" s="34">
        <f t="shared" si="20"/>
        <v>0</v>
      </c>
      <c r="M69" s="34">
        <f t="shared" si="20"/>
        <v>0</v>
      </c>
      <c r="N69" s="34">
        <f t="shared" si="20"/>
        <v>12413.589999999998</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51.68</v>
      </c>
      <c r="L71" s="34"/>
      <c r="M71" s="34"/>
      <c r="N71" s="34">
        <f>D4</f>
        <v>51.68</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367.81</v>
      </c>
      <c r="L72" s="34"/>
      <c r="M72" s="34"/>
      <c r="N72" s="34">
        <f>E4</f>
        <v>367.81</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533</v>
      </c>
      <c r="L73" s="34"/>
      <c r="M73" s="34"/>
      <c r="N73" s="34">
        <f>G4-SUM(N14,N26,N39,N52)</f>
        <v>533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234.58</v>
      </c>
      <c r="L74" s="34"/>
      <c r="M74" s="34"/>
      <c r="N74" s="34">
        <f>H4</f>
        <v>234.58</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3020.38</v>
      </c>
      <c r="L75" s="34"/>
      <c r="M75" s="34"/>
      <c r="N75" s="34">
        <f>I4</f>
        <v>3020.38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177.57</v>
      </c>
      <c r="L76" s="34"/>
      <c r="M76" s="34"/>
      <c r="N76" s="34">
        <f>J4</f>
        <v>177.57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166.63</v>
      </c>
      <c r="L78" s="34"/>
      <c r="M78" s="34"/>
      <c r="N78" s="34">
        <f>K4</f>
        <v>166.63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4551.6499999999996</v>
      </c>
      <c r="L80" s="34">
        <f>SUM(L70:L79)</f>
        <v>0</v>
      </c>
      <c r="M80" s="34">
        <f>SUM(M70:M79)</f>
        <v>0</v>
      </c>
      <c r="N80" s="34">
        <f>SUM(N70:N79)</f>
        <v>4551.6499999999996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4551.6499999999996</v>
      </c>
      <c r="L81" s="34">
        <f t="shared" si="23"/>
        <v>0</v>
      </c>
      <c r="M81" s="34">
        <f t="shared" si="23"/>
        <v>0</v>
      </c>
      <c r="N81" s="34">
        <f t="shared" si="23"/>
        <v>4551.6499999999996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16965.239999999998</v>
      </c>
      <c r="L82" s="34">
        <f>L69+L81</f>
        <v>0</v>
      </c>
      <c r="M82" s="34">
        <f>M69+M81</f>
        <v>0</v>
      </c>
      <c r="N82" s="34">
        <f>N69+N81</f>
        <v>16965.239999999998</v>
      </c>
      <c r="O82" s="8"/>
      <c r="R82" s="14"/>
      <c r="Z82" s="15"/>
      <c r="AJ82" s="16"/>
    </row>
    <row r="83" spans="1:36" s="31" customFormat="1" ht="21.95" customHeight="1" x14ac:dyDescent="0.2">
      <c r="A83" s="275" t="s">
        <v>82</v>
      </c>
      <c r="B83" s="275"/>
      <c r="C83" s="275"/>
      <c r="D83" s="275"/>
      <c r="E83" s="275"/>
      <c r="F83" s="275"/>
      <c r="G83" s="275"/>
      <c r="H83" s="275"/>
      <c r="I83" s="275"/>
      <c r="J83" s="35">
        <f>J18+J31+J44+J57+J82</f>
        <v>62431.817999999999</v>
      </c>
      <c r="K83" s="35">
        <f>K18+K31+K44+K57+K82</f>
        <v>289176.26199999999</v>
      </c>
      <c r="L83" s="35">
        <f>L18+L31+L44+L57+L82</f>
        <v>218511.36299999998</v>
      </c>
      <c r="M83" s="35">
        <f>M18+M31+M44+M57+M82</f>
        <v>93647.726999999999</v>
      </c>
      <c r="N83" s="38">
        <f>N18+N31+N44+N57+N82</f>
        <v>663767.16999999993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42F74AD-7BAF-4205-8970-86FEFF9EFA8B}">
          <x14:formula1>
            <xm:f>'2026 COB breakdown_Kris'!$A$5:$A$103</xm:f>
          </x14:formula1>
          <xm:sqref>A3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FB980-F33F-4AD7-8BF8-DB8F8EC39CD4}">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186</v>
      </c>
      <c r="B3" s="58" t="s">
        <v>158</v>
      </c>
      <c r="C3" s="59">
        <f>VLOOKUP($A3,COBTABLE,15, FALSE)</f>
        <v>9898.7800000000007</v>
      </c>
      <c r="D3" s="59">
        <f>VLOOKUP($A3,COBTABLE,16, FALSE)</f>
        <v>130.34</v>
      </c>
      <c r="E3" s="59">
        <f>VLOOKUP($A3,COBTABLE,17, FALSE)</f>
        <v>927.72</v>
      </c>
      <c r="F3" s="59">
        <f>VLOOKUP($A3,COBTABLE,18, FALSE)</f>
        <v>0</v>
      </c>
      <c r="G3" s="59">
        <f>VLOOKUP($A3,COBTABLE,19, FALSE)</f>
        <v>1344.38</v>
      </c>
      <c r="H3" s="59">
        <f>VLOOKUP($A3,COBTABLE,20, FALSE)</f>
        <v>591.66</v>
      </c>
      <c r="I3" s="59">
        <f>VLOOKUP($A3,COBTABLE,21, FALSE)</f>
        <v>7618.21</v>
      </c>
      <c r="J3" s="59">
        <f>VLOOKUP($A3,COBTABLE,22, FALSE)</f>
        <v>447.88</v>
      </c>
      <c r="K3" s="59">
        <f>VLOOKUP($A3,COBTABLE,23, FALSE)</f>
        <v>420.3</v>
      </c>
      <c r="L3" s="59">
        <f>VLOOKUP($A3,COBTABLE,24, FALSE)</f>
        <v>2743.32</v>
      </c>
      <c r="M3" s="59">
        <f>VLOOKUP($A3,COBTABLE,25, FALSE)</f>
        <v>2572.7700000000004</v>
      </c>
      <c r="N3" s="60">
        <f>VLOOKUP($A3, countrygrant,2,FALSE)</f>
        <v>456818.18</v>
      </c>
      <c r="O3" s="92">
        <f>SUM(C3:N3)</f>
        <v>483513.54</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2903.64</v>
      </c>
      <c r="D4" s="59">
        <f>VLOOKUP($A3,COBTABLE,28, FALSE)</f>
        <v>38.229999999999997</v>
      </c>
      <c r="E4" s="59">
        <f>VLOOKUP($A3,COBTABLE,29, FALSE)</f>
        <v>272.13</v>
      </c>
      <c r="F4" s="59">
        <f>VLOOKUP($A3,COBTABLE,30, FALSE)</f>
        <v>0</v>
      </c>
      <c r="G4" s="59">
        <f>VLOOKUP($A3,COBTABLE,31, FALSE)</f>
        <v>394.35</v>
      </c>
      <c r="H4" s="59">
        <f>VLOOKUP($A3,COBTABLE,32, FALSE)</f>
        <v>173.55</v>
      </c>
      <c r="I4" s="59">
        <f>VLOOKUP($A3,COBTABLE,33, FALSE)</f>
        <v>2234.6799999999998</v>
      </c>
      <c r="J4" s="59">
        <f>VLOOKUP($A3,COBTABLE,34, FALSE)</f>
        <v>131.38</v>
      </c>
      <c r="K4" s="59">
        <f>VLOOKUP($A3,COBTABLE,35, FALSE)</f>
        <v>123.28</v>
      </c>
      <c r="L4" s="59">
        <f>VLOOKUP($A3,COBTABLE,36, FALSE)</f>
        <v>804.71</v>
      </c>
      <c r="M4" s="59">
        <f>VLOOKUP($A3,COBTABLE,37, FALSE)</f>
        <v>754.69000000000051</v>
      </c>
      <c r="N4" s="60">
        <f>VLOOKUP($A3, countrygrant,3,FALSE)</f>
        <v>134000</v>
      </c>
      <c r="O4" s="92">
        <f t="shared" ref="O4" si="0">SUM(C4:N4)</f>
        <v>141830.64000000001</v>
      </c>
      <c r="P4" s="28"/>
      <c r="Q4" s="28"/>
      <c r="R4" s="28"/>
      <c r="S4" s="28"/>
      <c r="T4" s="28"/>
      <c r="U4" s="28"/>
      <c r="V4" s="28"/>
      <c r="W4" s="28"/>
      <c r="X4" s="28"/>
      <c r="Y4" s="28"/>
      <c r="Z4" s="28"/>
      <c r="AA4" s="28"/>
      <c r="AB4" s="28"/>
      <c r="AC4" s="28"/>
    </row>
    <row r="5" spans="1:36" s="53" customFormat="1" ht="12" customHeight="1" x14ac:dyDescent="0.25">
      <c r="A5" s="278"/>
      <c r="B5" s="61" t="s">
        <v>156</v>
      </c>
      <c r="C5" s="62">
        <f>SUM(C3:C4)</f>
        <v>12802.42</v>
      </c>
      <c r="D5" s="62">
        <f t="shared" ref="D5:O5" si="1">SUM(D3:D4)</f>
        <v>168.57</v>
      </c>
      <c r="E5" s="62">
        <f t="shared" si="1"/>
        <v>1199.8499999999999</v>
      </c>
      <c r="F5" s="62">
        <f t="shared" si="1"/>
        <v>0</v>
      </c>
      <c r="G5" s="62">
        <f t="shared" si="1"/>
        <v>1738.73</v>
      </c>
      <c r="H5" s="62">
        <f t="shared" si="1"/>
        <v>765.21</v>
      </c>
      <c r="I5" s="62">
        <f t="shared" si="1"/>
        <v>9852.89</v>
      </c>
      <c r="J5" s="62">
        <f t="shared" si="1"/>
        <v>579.26</v>
      </c>
      <c r="K5" s="62">
        <f t="shared" si="1"/>
        <v>543.58000000000004</v>
      </c>
      <c r="L5" s="62">
        <f t="shared" si="1"/>
        <v>3548.03</v>
      </c>
      <c r="M5" s="62">
        <f t="shared" si="1"/>
        <v>3327.4600000000009</v>
      </c>
      <c r="N5" s="62">
        <f t="shared" si="1"/>
        <v>590818.17999999993</v>
      </c>
      <c r="O5" s="62">
        <f t="shared" si="1"/>
        <v>625344.17999999993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13400</v>
      </c>
      <c r="K28" s="34">
        <f>$N28*0.4</f>
        <v>53600</v>
      </c>
      <c r="L28" s="34">
        <f>$N28*0.35</f>
        <v>46900</v>
      </c>
      <c r="M28" s="34">
        <f>$N28*0.15</f>
        <v>20100</v>
      </c>
      <c r="N28" s="34">
        <f>N4</f>
        <v>134000</v>
      </c>
      <c r="O28" s="8"/>
      <c r="P28" s="9">
        <f>VLOOKUP(H28,starratio3,4,FALSE)</f>
        <v>0</v>
      </c>
    </row>
    <row r="29" spans="1:36" ht="21.95" customHeight="1" x14ac:dyDescent="0.2">
      <c r="A29" s="262"/>
      <c r="B29" s="262"/>
      <c r="C29" s="263" t="s">
        <v>31</v>
      </c>
      <c r="D29" s="263"/>
      <c r="E29" s="263"/>
      <c r="F29" s="263"/>
      <c r="G29" s="263"/>
      <c r="H29" s="263"/>
      <c r="I29" s="263"/>
      <c r="J29" s="34">
        <f>SUM(J25:J28)</f>
        <v>13400</v>
      </c>
      <c r="K29" s="34">
        <f>SUM(K25:K28)</f>
        <v>53600</v>
      </c>
      <c r="L29" s="34">
        <f>SUM(L25:L28)</f>
        <v>46900</v>
      </c>
      <c r="M29" s="34">
        <f>SUM(M25:M28)</f>
        <v>20100</v>
      </c>
      <c r="N29" s="34">
        <f>SUM(N25:N28)</f>
        <v>134000</v>
      </c>
      <c r="O29" s="8"/>
      <c r="P29" s="9"/>
    </row>
    <row r="30" spans="1:36" ht="21.95" customHeight="1" x14ac:dyDescent="0.2">
      <c r="A30" s="262"/>
      <c r="B30" s="263" t="s">
        <v>44</v>
      </c>
      <c r="C30" s="263"/>
      <c r="D30" s="263"/>
      <c r="E30" s="263"/>
      <c r="F30" s="263"/>
      <c r="G30" s="263"/>
      <c r="H30" s="263"/>
      <c r="I30" s="263"/>
      <c r="J30" s="34">
        <f>J29</f>
        <v>13400</v>
      </c>
      <c r="K30" s="34">
        <f t="shared" ref="K30:N30" si="9">K29</f>
        <v>53600</v>
      </c>
      <c r="L30" s="34">
        <f t="shared" si="9"/>
        <v>46900</v>
      </c>
      <c r="M30" s="34">
        <f t="shared" si="9"/>
        <v>20100</v>
      </c>
      <c r="N30" s="34">
        <f t="shared" si="9"/>
        <v>134000</v>
      </c>
      <c r="O30" s="8"/>
      <c r="Q30" s="10"/>
      <c r="Z30" s="11"/>
      <c r="AC30" s="12"/>
      <c r="AD30" s="13"/>
    </row>
    <row r="31" spans="1:36" ht="21.95" customHeight="1" x14ac:dyDescent="0.2">
      <c r="A31" s="261" t="s">
        <v>45</v>
      </c>
      <c r="B31" s="261"/>
      <c r="C31" s="261"/>
      <c r="D31" s="261"/>
      <c r="E31" s="261"/>
      <c r="F31" s="261"/>
      <c r="G31" s="261"/>
      <c r="H31" s="261"/>
      <c r="I31" s="261"/>
      <c r="J31" s="34">
        <f>J24+J30</f>
        <v>59081.817999999999</v>
      </c>
      <c r="K31" s="34">
        <f>K24+K30</f>
        <v>236327.272</v>
      </c>
      <c r="L31" s="34">
        <f>L24+L30</f>
        <v>206786.36299999998</v>
      </c>
      <c r="M31" s="34">
        <f>M24+M30</f>
        <v>88622.726999999999</v>
      </c>
      <c r="N31" s="34">
        <f>N24+N30</f>
        <v>590818.17999999993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9898.7800000000007</v>
      </c>
      <c r="L32" s="34"/>
      <c r="M32" s="34"/>
      <c r="N32" s="34">
        <f>ROUND($C$3*P32,2)</f>
        <v>9898.7800000000007</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9898.7800000000007</v>
      </c>
      <c r="L36" s="34">
        <f>SUM(L32:L35)</f>
        <v>0</v>
      </c>
      <c r="M36" s="34">
        <f>SUM(M32:M35)</f>
        <v>0</v>
      </c>
      <c r="N36" s="34">
        <f>SUM(N32:N35)</f>
        <v>9898.7800000000007</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9898.7800000000007</v>
      </c>
      <c r="L37" s="34">
        <f t="shared" si="11"/>
        <v>0</v>
      </c>
      <c r="M37" s="34">
        <f t="shared" si="11"/>
        <v>0</v>
      </c>
      <c r="N37" s="34">
        <f t="shared" si="11"/>
        <v>9898.7800000000007</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2903.64</v>
      </c>
      <c r="L38" s="34"/>
      <c r="M38" s="34"/>
      <c r="N38" s="34">
        <f>ROUND($C$4*P38,2)</f>
        <v>2903.64</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2903.64</v>
      </c>
      <c r="L42" s="34">
        <f>SUM(L38:L41)</f>
        <v>0</v>
      </c>
      <c r="M42" s="34">
        <f>SUM(M38:M41)</f>
        <v>0</v>
      </c>
      <c r="N42" s="34">
        <f>SUM(N38:N41)</f>
        <v>2903.64</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2903.64</v>
      </c>
      <c r="L43" s="34">
        <f t="shared" si="13"/>
        <v>0</v>
      </c>
      <c r="M43" s="34">
        <f t="shared" si="13"/>
        <v>0</v>
      </c>
      <c r="N43" s="34">
        <f t="shared" si="13"/>
        <v>2903.64</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12802.42</v>
      </c>
      <c r="L44" s="34">
        <f>L37+L43</f>
        <v>0</v>
      </c>
      <c r="M44" s="34">
        <f>M37+M43</f>
        <v>0</v>
      </c>
      <c r="N44" s="34">
        <f>N37+N43</f>
        <v>12802.42</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2743.32</v>
      </c>
      <c r="L47" s="34"/>
      <c r="M47" s="34"/>
      <c r="N47" s="34">
        <f>ROUND($L$3*P47,2)</f>
        <v>2743.32</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2572.7700000000004</v>
      </c>
      <c r="L48" s="34"/>
      <c r="M48" s="34"/>
      <c r="N48" s="34">
        <f>M3-SUM(N10,N21,N35)</f>
        <v>2572.7700000000004</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5316.09</v>
      </c>
      <c r="L49" s="34">
        <f>SUM(L45:L48)</f>
        <v>0</v>
      </c>
      <c r="M49" s="34">
        <f>SUM(M45:M48)</f>
        <v>0</v>
      </c>
      <c r="N49" s="34">
        <f>SUM(N45:N48)</f>
        <v>5316.09</v>
      </c>
      <c r="O49" s="8"/>
      <c r="P49" s="9"/>
    </row>
    <row r="50" spans="1:36" ht="21.95" customHeight="1" x14ac:dyDescent="0.2">
      <c r="A50" s="262"/>
      <c r="B50" s="261" t="s">
        <v>60</v>
      </c>
      <c r="C50" s="261"/>
      <c r="D50" s="261"/>
      <c r="E50" s="261"/>
      <c r="F50" s="261"/>
      <c r="G50" s="261"/>
      <c r="H50" s="261"/>
      <c r="I50" s="261"/>
      <c r="J50" s="34">
        <f>J49</f>
        <v>0</v>
      </c>
      <c r="K50" s="34">
        <f t="shared" ref="K50:N50" si="15">K49</f>
        <v>5316.09</v>
      </c>
      <c r="L50" s="34">
        <f t="shared" si="15"/>
        <v>0</v>
      </c>
      <c r="M50" s="34">
        <f t="shared" si="15"/>
        <v>0</v>
      </c>
      <c r="N50" s="34">
        <f t="shared" si="15"/>
        <v>5316.09</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804.71</v>
      </c>
      <c r="L53" s="34"/>
      <c r="M53" s="34"/>
      <c r="N53" s="34">
        <f>ROUND($L$4*P53,2)</f>
        <v>804.71</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754.69000000000051</v>
      </c>
      <c r="L54" s="34"/>
      <c r="M54" s="34"/>
      <c r="N54" s="34">
        <f>M4-SUM(N15,N27,N41)</f>
        <v>754.69000000000051</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1559.4000000000005</v>
      </c>
      <c r="L55" s="34">
        <f>SUM(L51:L54)</f>
        <v>0</v>
      </c>
      <c r="M55" s="34">
        <f>SUM(M51:M54)</f>
        <v>0</v>
      </c>
      <c r="N55" s="34">
        <f>SUM(N51:N54)</f>
        <v>1559.4000000000005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1559.4000000000005</v>
      </c>
      <c r="L56" s="34">
        <f t="shared" si="17"/>
        <v>0</v>
      </c>
      <c r="M56" s="34">
        <f t="shared" si="17"/>
        <v>0</v>
      </c>
      <c r="N56" s="34">
        <f t="shared" si="17"/>
        <v>1559.4000000000005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6875.4900000000007</v>
      </c>
      <c r="L57" s="34">
        <f>L50+L56</f>
        <v>0</v>
      </c>
      <c r="M57" s="34">
        <f>M50+M56</f>
        <v>0</v>
      </c>
      <c r="N57" s="34">
        <f>N50+N56</f>
        <v>6875.4900000000007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130.34</v>
      </c>
      <c r="L59" s="34"/>
      <c r="M59" s="34"/>
      <c r="N59" s="34">
        <f>D3</f>
        <v>130.34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927.72</v>
      </c>
      <c r="L60" s="34"/>
      <c r="M60" s="34"/>
      <c r="N60" s="34">
        <f>E3</f>
        <v>927.72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1344.38</v>
      </c>
      <c r="L61" s="34"/>
      <c r="M61" s="34"/>
      <c r="N61" s="34">
        <f>G3-SUM(N9,N20,N33,N46)</f>
        <v>1344.38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591.66</v>
      </c>
      <c r="L62" s="34"/>
      <c r="M62" s="34"/>
      <c r="N62" s="34">
        <f>H3</f>
        <v>591.66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7618.21</v>
      </c>
      <c r="L63" s="34"/>
      <c r="M63" s="34"/>
      <c r="N63" s="34">
        <f>I3</f>
        <v>7618.21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447.88</v>
      </c>
      <c r="L64" s="34"/>
      <c r="M64" s="34"/>
      <c r="N64" s="34">
        <f>J3</f>
        <v>447.88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420.3</v>
      </c>
      <c r="L66" s="34"/>
      <c r="M66" s="34"/>
      <c r="N66" s="34">
        <f>K3</f>
        <v>420.3</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11480.489999999998</v>
      </c>
      <c r="L68" s="34">
        <f>SUM(L58:L67)</f>
        <v>0</v>
      </c>
      <c r="M68" s="34">
        <f>SUM(M58:M67)</f>
        <v>0</v>
      </c>
      <c r="N68" s="34">
        <f>SUM(N58:N67)</f>
        <v>11480.489999999998</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11480.489999999998</v>
      </c>
      <c r="L69" s="34">
        <f t="shared" si="20"/>
        <v>0</v>
      </c>
      <c r="M69" s="34">
        <f t="shared" si="20"/>
        <v>0</v>
      </c>
      <c r="N69" s="34">
        <f t="shared" si="20"/>
        <v>11480.489999999998</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38.229999999999997</v>
      </c>
      <c r="L71" s="34"/>
      <c r="M71" s="34"/>
      <c r="N71" s="34">
        <f>D4</f>
        <v>38.229999999999997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272.13</v>
      </c>
      <c r="L72" s="34"/>
      <c r="M72" s="34"/>
      <c r="N72" s="34">
        <f>E4</f>
        <v>272.13</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394.35</v>
      </c>
      <c r="L73" s="34"/>
      <c r="M73" s="34"/>
      <c r="N73" s="34">
        <f>G4-SUM(N14,N26,N39,N52)</f>
        <v>394.35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173.55</v>
      </c>
      <c r="L74" s="34"/>
      <c r="M74" s="34"/>
      <c r="N74" s="34">
        <f>H4</f>
        <v>173.55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2234.6799999999998</v>
      </c>
      <c r="L75" s="34"/>
      <c r="M75" s="34"/>
      <c r="N75" s="34">
        <f>I4</f>
        <v>2234.6799999999998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131.38</v>
      </c>
      <c r="L76" s="34"/>
      <c r="M76" s="34"/>
      <c r="N76" s="34">
        <f>J4</f>
        <v>131.38</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123.28</v>
      </c>
      <c r="L78" s="34"/>
      <c r="M78" s="34"/>
      <c r="N78" s="34">
        <f>K4</f>
        <v>123.28</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3367.6</v>
      </c>
      <c r="L80" s="34">
        <f>SUM(L70:L79)</f>
        <v>0</v>
      </c>
      <c r="M80" s="34">
        <f>SUM(M70:M79)</f>
        <v>0</v>
      </c>
      <c r="N80" s="34">
        <f>SUM(N70:N79)</f>
        <v>3367.6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3367.6</v>
      </c>
      <c r="L81" s="34">
        <f t="shared" si="23"/>
        <v>0</v>
      </c>
      <c r="M81" s="34">
        <f t="shared" si="23"/>
        <v>0</v>
      </c>
      <c r="N81" s="34">
        <f t="shared" si="23"/>
        <v>3367.6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14848.089999999998</v>
      </c>
      <c r="L82" s="34">
        <f>L69+L81</f>
        <v>0</v>
      </c>
      <c r="M82" s="34">
        <f>M69+M81</f>
        <v>0</v>
      </c>
      <c r="N82" s="34">
        <f>N69+N81</f>
        <v>14848.089999999998</v>
      </c>
      <c r="O82" s="8"/>
      <c r="R82" s="14"/>
      <c r="Z82" s="15"/>
      <c r="AJ82" s="16"/>
    </row>
    <row r="83" spans="1:36" s="31" customFormat="1" ht="21.95" customHeight="1" x14ac:dyDescent="0.2">
      <c r="A83" s="275" t="s">
        <v>82</v>
      </c>
      <c r="B83" s="275"/>
      <c r="C83" s="275"/>
      <c r="D83" s="275"/>
      <c r="E83" s="275"/>
      <c r="F83" s="275"/>
      <c r="G83" s="275"/>
      <c r="H83" s="275"/>
      <c r="I83" s="275"/>
      <c r="J83" s="35">
        <f>J18+J31+J44+J57+J82</f>
        <v>59081.817999999999</v>
      </c>
      <c r="K83" s="35">
        <f>K18+K31+K44+K57+K82</f>
        <v>270853.272</v>
      </c>
      <c r="L83" s="35">
        <f>L18+L31+L44+L57+L82</f>
        <v>206786.36299999998</v>
      </c>
      <c r="M83" s="35">
        <f>M18+M31+M44+M57+M82</f>
        <v>88622.726999999999</v>
      </c>
      <c r="N83" s="38">
        <f>N18+N31+N44+N57+N82</f>
        <v>625344.17999999993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32D9634-6A2A-4607-B7A2-FF309AA0A310}">
          <x14:formula1>
            <xm:f>'2026 COB breakdown_Kris'!$A$5:$A$103</xm:f>
          </x14:formula1>
          <xm:sqref>A3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85C9A-8A9A-4D4D-BA41-8C28E898DE4C}">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187</v>
      </c>
      <c r="B3" s="58" t="s">
        <v>158</v>
      </c>
      <c r="C3" s="59">
        <f>VLOOKUP($A3,COBTABLE,15, FALSE)</f>
        <v>7073.58</v>
      </c>
      <c r="D3" s="59">
        <f>VLOOKUP($A3,COBTABLE,16, FALSE)</f>
        <v>93.14</v>
      </c>
      <c r="E3" s="59">
        <f>VLOOKUP($A3,COBTABLE,17, FALSE)</f>
        <v>662.94</v>
      </c>
      <c r="F3" s="59">
        <f>VLOOKUP($A3,COBTABLE,18, FALSE)</f>
        <v>0</v>
      </c>
      <c r="G3" s="59">
        <f>VLOOKUP($A3,COBTABLE,19, FALSE)</f>
        <v>960.68</v>
      </c>
      <c r="H3" s="59">
        <f>VLOOKUP($A3,COBTABLE,20, FALSE)</f>
        <v>422.8</v>
      </c>
      <c r="I3" s="59">
        <f>VLOOKUP($A3,COBTABLE,21, FALSE)</f>
        <v>5443.9</v>
      </c>
      <c r="J3" s="59">
        <f>VLOOKUP($A3,COBTABLE,22, FALSE)</f>
        <v>320.05</v>
      </c>
      <c r="K3" s="59">
        <f>VLOOKUP($A3,COBTABLE,23, FALSE)</f>
        <v>300.33999999999997</v>
      </c>
      <c r="L3" s="59">
        <f>VLOOKUP($A3,COBTABLE,24, FALSE)</f>
        <v>1960.35</v>
      </c>
      <c r="M3" s="59">
        <f>VLOOKUP($A3,COBTABLE,25, FALSE)</f>
        <v>1838.4799999999996</v>
      </c>
      <c r="N3" s="60">
        <f>VLOOKUP($A3, countrygrant,2,FALSE)</f>
        <v>456818.18</v>
      </c>
      <c r="O3" s="92">
        <f>SUM(C3:N3)</f>
        <v>475894.44</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7073.58</v>
      </c>
      <c r="D5" s="62">
        <f t="shared" ref="D5:O5" si="1">SUM(D3:D4)</f>
        <v>93.14</v>
      </c>
      <c r="E5" s="62">
        <f t="shared" si="1"/>
        <v>662.94</v>
      </c>
      <c r="F5" s="62">
        <f t="shared" si="1"/>
        <v>0</v>
      </c>
      <c r="G5" s="62">
        <f t="shared" si="1"/>
        <v>960.68</v>
      </c>
      <c r="H5" s="62">
        <f t="shared" si="1"/>
        <v>422.8</v>
      </c>
      <c r="I5" s="62">
        <f t="shared" si="1"/>
        <v>5443.9</v>
      </c>
      <c r="J5" s="62">
        <f t="shared" si="1"/>
        <v>320.05</v>
      </c>
      <c r="K5" s="62">
        <f t="shared" si="1"/>
        <v>300.33999999999997</v>
      </c>
      <c r="L5" s="62">
        <f t="shared" si="1"/>
        <v>1960.35</v>
      </c>
      <c r="M5" s="62">
        <f t="shared" si="1"/>
        <v>1838.4799999999996</v>
      </c>
      <c r="N5" s="62">
        <f t="shared" si="1"/>
        <v>456818.18</v>
      </c>
      <c r="O5" s="62">
        <f t="shared" si="1"/>
        <v>475894.44</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VLOOKUP(H28,starratio3,4,FALSE)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7073.58</v>
      </c>
      <c r="L32" s="34"/>
      <c r="M32" s="34"/>
      <c r="N32" s="34">
        <f>ROUND($C$3*P32,2)</f>
        <v>7073.58</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7073.58</v>
      </c>
      <c r="L36" s="34">
        <f>SUM(L32:L35)</f>
        <v>0</v>
      </c>
      <c r="M36" s="34">
        <f>SUM(M32:M35)</f>
        <v>0</v>
      </c>
      <c r="N36" s="34">
        <f>SUM(N32:N35)</f>
        <v>7073.58</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7073.58</v>
      </c>
      <c r="L37" s="34">
        <f t="shared" si="11"/>
        <v>0</v>
      </c>
      <c r="M37" s="34">
        <f t="shared" si="11"/>
        <v>0</v>
      </c>
      <c r="N37" s="34">
        <f t="shared" si="11"/>
        <v>7073.58</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7073.58</v>
      </c>
      <c r="L44" s="34">
        <f>L37+L43</f>
        <v>0</v>
      </c>
      <c r="M44" s="34">
        <f>M37+M43</f>
        <v>0</v>
      </c>
      <c r="N44" s="34">
        <f>N37+N43</f>
        <v>7073.58</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1960.35</v>
      </c>
      <c r="L47" s="34"/>
      <c r="M47" s="34"/>
      <c r="N47" s="34">
        <f>ROUND($L$3*P47,2)</f>
        <v>1960.35</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1838.4799999999996</v>
      </c>
      <c r="L48" s="34"/>
      <c r="M48" s="34"/>
      <c r="N48" s="34">
        <f>M3-SUM(N10,N21,N35)</f>
        <v>1838.4799999999996</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3798.8299999999995</v>
      </c>
      <c r="L49" s="34">
        <f>SUM(L45:L48)</f>
        <v>0</v>
      </c>
      <c r="M49" s="34">
        <f>SUM(M45:M48)</f>
        <v>0</v>
      </c>
      <c r="N49" s="34">
        <f>SUM(N45:N48)</f>
        <v>3798.8299999999995</v>
      </c>
      <c r="O49" s="8"/>
      <c r="P49" s="9"/>
    </row>
    <row r="50" spans="1:36" ht="21.95" customHeight="1" x14ac:dyDescent="0.2">
      <c r="A50" s="262"/>
      <c r="B50" s="261" t="s">
        <v>60</v>
      </c>
      <c r="C50" s="261"/>
      <c r="D50" s="261"/>
      <c r="E50" s="261"/>
      <c r="F50" s="261"/>
      <c r="G50" s="261"/>
      <c r="H50" s="261"/>
      <c r="I50" s="261"/>
      <c r="J50" s="34">
        <f>J49</f>
        <v>0</v>
      </c>
      <c r="K50" s="34">
        <f t="shared" ref="K50:N50" si="15">K49</f>
        <v>3798.8299999999995</v>
      </c>
      <c r="L50" s="34">
        <f t="shared" si="15"/>
        <v>0</v>
      </c>
      <c r="M50" s="34">
        <f t="shared" si="15"/>
        <v>0</v>
      </c>
      <c r="N50" s="34">
        <f t="shared" si="15"/>
        <v>3798.8299999999995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3798.8299999999995</v>
      </c>
      <c r="L57" s="34">
        <f>L50+L56</f>
        <v>0</v>
      </c>
      <c r="M57" s="34">
        <f>M50+M56</f>
        <v>0</v>
      </c>
      <c r="N57" s="34">
        <f>N50+N56</f>
        <v>3798.8299999999995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93.14</v>
      </c>
      <c r="L59" s="34"/>
      <c r="M59" s="34"/>
      <c r="N59" s="34">
        <f>D3</f>
        <v>93.14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662.94</v>
      </c>
      <c r="L60" s="34"/>
      <c r="M60" s="34"/>
      <c r="N60" s="34">
        <f>E3</f>
        <v>662.94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960.68</v>
      </c>
      <c r="L61" s="34"/>
      <c r="M61" s="34"/>
      <c r="N61" s="34">
        <f>G3-SUM(N9,N20,N33,N46)</f>
        <v>960.68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422.8</v>
      </c>
      <c r="L62" s="34"/>
      <c r="M62" s="34"/>
      <c r="N62" s="34">
        <f>H3</f>
        <v>422.8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5443.9</v>
      </c>
      <c r="L63" s="34"/>
      <c r="M63" s="34"/>
      <c r="N63" s="34">
        <f>I3</f>
        <v>5443.9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320.05</v>
      </c>
      <c r="L64" s="34"/>
      <c r="M64" s="34"/>
      <c r="N64" s="34">
        <f>J3</f>
        <v>320.05</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300.33999999999997</v>
      </c>
      <c r="L66" s="34"/>
      <c r="M66" s="34"/>
      <c r="N66" s="34">
        <f>K3</f>
        <v>300.33999999999997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8203.8499999999985</v>
      </c>
      <c r="L68" s="34">
        <f>SUM(L58:L67)</f>
        <v>0</v>
      </c>
      <c r="M68" s="34">
        <f>SUM(M58:M67)</f>
        <v>0</v>
      </c>
      <c r="N68" s="34">
        <f>SUM(N58:N67)</f>
        <v>8203.8499999999985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8203.8499999999985</v>
      </c>
      <c r="L69" s="34">
        <f t="shared" si="20"/>
        <v>0</v>
      </c>
      <c r="M69" s="34">
        <f t="shared" si="20"/>
        <v>0</v>
      </c>
      <c r="N69" s="34">
        <f t="shared" si="20"/>
        <v>8203.8499999999985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8203.8499999999985</v>
      </c>
      <c r="L82" s="34">
        <f>L69+L81</f>
        <v>0</v>
      </c>
      <c r="M82" s="34">
        <f>M69+M81</f>
        <v>0</v>
      </c>
      <c r="N82" s="34">
        <f>N69+N81</f>
        <v>8203.8499999999985</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201803.53199999998</v>
      </c>
      <c r="L83" s="35">
        <f>L18+L31+L44+L57+L82</f>
        <v>159886.36299999998</v>
      </c>
      <c r="M83" s="35">
        <f>M18+M31+M44+M57+M82</f>
        <v>68522.726999999999</v>
      </c>
      <c r="N83" s="38">
        <f>N18+N31+N44+N57+N82</f>
        <v>475894.44</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7D536ED-6BD9-4AAF-AAD8-3B8BE05C6219}">
          <x14:formula1>
            <xm:f>'2026 COB breakdown_Kris'!$A$5:$A$103</xm:f>
          </x14:formula1>
          <xm:sqref>A3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2A2B4-F093-49C3-8FBA-ABD1A863A750}">
  <dimension ref="A1:AJ116"/>
  <sheetViews>
    <sheetView topLeftCell="A73"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188</v>
      </c>
      <c r="B3" s="58" t="s">
        <v>158</v>
      </c>
      <c r="C3" s="59">
        <f>VLOOKUP($A3,COBTABLE,15, FALSE)</f>
        <v>5856.8</v>
      </c>
      <c r="D3" s="59">
        <f>VLOOKUP($A3,COBTABLE,16, FALSE)</f>
        <v>77.12</v>
      </c>
      <c r="E3" s="59">
        <f>VLOOKUP($A3,COBTABLE,17, FALSE)</f>
        <v>548.9</v>
      </c>
      <c r="F3" s="59">
        <f>VLOOKUP($A3,COBTABLE,18, FALSE)</f>
        <v>0</v>
      </c>
      <c r="G3" s="59">
        <f>VLOOKUP($A3,COBTABLE,19, FALSE)</f>
        <v>795.43</v>
      </c>
      <c r="H3" s="59">
        <f>VLOOKUP($A3,COBTABLE,20, FALSE)</f>
        <v>350.07</v>
      </c>
      <c r="I3" s="59">
        <f>VLOOKUP($A3,COBTABLE,21, FALSE)</f>
        <v>4507.46</v>
      </c>
      <c r="J3" s="59">
        <f>VLOOKUP($A3,COBTABLE,22, FALSE)</f>
        <v>265</v>
      </c>
      <c r="K3" s="59">
        <f>VLOOKUP($A3,COBTABLE,23, FALSE)</f>
        <v>248.68</v>
      </c>
      <c r="L3" s="59">
        <f>VLOOKUP($A3,COBTABLE,24, FALSE)</f>
        <v>1623.14</v>
      </c>
      <c r="M3" s="59">
        <f>VLOOKUP($A3,COBTABLE,25, FALSE)</f>
        <v>1522.2299999999996</v>
      </c>
      <c r="N3" s="60">
        <f>VLOOKUP($A3, countrygrant,2,FALSE)</f>
        <v>456818.18</v>
      </c>
      <c r="O3" s="92">
        <f>SUM(C3:N3)</f>
        <v>472613.01</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10158.31</v>
      </c>
      <c r="D4" s="59">
        <f>VLOOKUP($A3,COBTABLE,28, FALSE)</f>
        <v>133.76</v>
      </c>
      <c r="E4" s="59">
        <f>VLOOKUP($A3,COBTABLE,29, FALSE)</f>
        <v>952.04</v>
      </c>
      <c r="F4" s="59">
        <f>VLOOKUP($A3,COBTABLE,30, FALSE)</f>
        <v>0</v>
      </c>
      <c r="G4" s="59">
        <f>VLOOKUP($A3,COBTABLE,31, FALSE)</f>
        <v>1379.63</v>
      </c>
      <c r="H4" s="59">
        <f>VLOOKUP($A3,COBTABLE,32, FALSE)</f>
        <v>607.17999999999995</v>
      </c>
      <c r="I4" s="59">
        <f>VLOOKUP($A3,COBTABLE,33, FALSE)</f>
        <v>7817.95</v>
      </c>
      <c r="J4" s="59">
        <f>VLOOKUP($A3,COBTABLE,34, FALSE)</f>
        <v>459.63</v>
      </c>
      <c r="K4" s="59">
        <f>VLOOKUP($A3,COBTABLE,35, FALSE)</f>
        <v>431.31</v>
      </c>
      <c r="L4" s="59">
        <f>VLOOKUP($A3,COBTABLE,36, FALSE)</f>
        <v>2815.25</v>
      </c>
      <c r="M4" s="59">
        <f>VLOOKUP($A3,COBTABLE,37, FALSE)</f>
        <v>2640.2099999999955</v>
      </c>
      <c r="N4" s="60">
        <f>VLOOKUP($A3, countrygrant,3,FALSE)</f>
        <v>792325.92</v>
      </c>
      <c r="O4" s="92">
        <f t="shared" ref="O4" si="0">SUM(C4:N4)</f>
        <v>819721.19000000006</v>
      </c>
      <c r="P4" s="28"/>
      <c r="Q4" s="28"/>
      <c r="R4" s="28"/>
      <c r="S4" s="28"/>
      <c r="T4" s="28"/>
      <c r="U4" s="28"/>
      <c r="V4" s="28"/>
      <c r="W4" s="28"/>
      <c r="X4" s="28"/>
      <c r="Y4" s="28"/>
      <c r="Z4" s="28"/>
      <c r="AA4" s="28"/>
      <c r="AB4" s="28"/>
      <c r="AC4" s="28"/>
    </row>
    <row r="5" spans="1:36" s="53" customFormat="1" ht="12" customHeight="1" x14ac:dyDescent="0.25">
      <c r="A5" s="278"/>
      <c r="B5" s="61" t="s">
        <v>156</v>
      </c>
      <c r="C5" s="62">
        <f>SUM(C3:C4)</f>
        <v>16015.11</v>
      </c>
      <c r="D5" s="62">
        <f t="shared" ref="D5:O5" si="1">SUM(D3:D4)</f>
        <v>210.88</v>
      </c>
      <c r="E5" s="62">
        <f t="shared" si="1"/>
        <v>1500.94</v>
      </c>
      <c r="F5" s="62">
        <f t="shared" si="1"/>
        <v>0</v>
      </c>
      <c r="G5" s="62">
        <f t="shared" si="1"/>
        <v>2175.06</v>
      </c>
      <c r="H5" s="62">
        <f t="shared" si="1"/>
        <v>957.25</v>
      </c>
      <c r="I5" s="62">
        <f t="shared" si="1"/>
        <v>12325.41</v>
      </c>
      <c r="J5" s="62">
        <f t="shared" si="1"/>
        <v>724.63</v>
      </c>
      <c r="K5" s="62">
        <f t="shared" si="1"/>
        <v>679.99</v>
      </c>
      <c r="L5" s="62">
        <f t="shared" si="1"/>
        <v>4438.3900000000003</v>
      </c>
      <c r="M5" s="62">
        <f t="shared" si="1"/>
        <v>4162.4399999999951</v>
      </c>
      <c r="N5" s="62">
        <f t="shared" si="1"/>
        <v>1249144.1000000001</v>
      </c>
      <c r="O5" s="62">
        <f t="shared" si="1"/>
        <v>1292334.2000000002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79232.592000000004</v>
      </c>
      <c r="K28" s="34">
        <f>$N28*0.4</f>
        <v>316930.36800000002</v>
      </c>
      <c r="L28" s="34">
        <f>$N28*0.35</f>
        <v>277314.07199999999</v>
      </c>
      <c r="M28" s="34">
        <f>$N28*0.15</f>
        <v>118848.88800000001</v>
      </c>
      <c r="N28" s="34">
        <f>N4</f>
        <v>792325.92</v>
      </c>
      <c r="O28" s="8"/>
      <c r="P28" s="9">
        <f>VLOOKUP(H28,starratio3,4,FALSE)</f>
        <v>0</v>
      </c>
    </row>
    <row r="29" spans="1:36" ht="21.95" customHeight="1" x14ac:dyDescent="0.2">
      <c r="A29" s="262"/>
      <c r="B29" s="262"/>
      <c r="C29" s="263" t="s">
        <v>31</v>
      </c>
      <c r="D29" s="263"/>
      <c r="E29" s="263"/>
      <c r="F29" s="263"/>
      <c r="G29" s="263"/>
      <c r="H29" s="263"/>
      <c r="I29" s="263"/>
      <c r="J29" s="34">
        <f>SUM(J25:J28)</f>
        <v>79232.592000000004</v>
      </c>
      <c r="K29" s="34">
        <f>SUM(K25:K28)</f>
        <v>316930.36800000002</v>
      </c>
      <c r="L29" s="34">
        <f>SUM(L25:L28)</f>
        <v>277314.07199999999</v>
      </c>
      <c r="M29" s="34">
        <f>SUM(M25:M28)</f>
        <v>118848.88800000001</v>
      </c>
      <c r="N29" s="34">
        <f>SUM(N25:N28)</f>
        <v>792325.92</v>
      </c>
      <c r="O29" s="8"/>
      <c r="P29" s="9"/>
    </row>
    <row r="30" spans="1:36" ht="21.95" customHeight="1" x14ac:dyDescent="0.2">
      <c r="A30" s="262"/>
      <c r="B30" s="263" t="s">
        <v>44</v>
      </c>
      <c r="C30" s="263"/>
      <c r="D30" s="263"/>
      <c r="E30" s="263"/>
      <c r="F30" s="263"/>
      <c r="G30" s="263"/>
      <c r="H30" s="263"/>
      <c r="I30" s="263"/>
      <c r="J30" s="34">
        <f>J29</f>
        <v>79232.592000000004</v>
      </c>
      <c r="K30" s="34">
        <f t="shared" ref="K30:N30" si="9">K29</f>
        <v>316930.36800000002</v>
      </c>
      <c r="L30" s="34">
        <f t="shared" si="9"/>
        <v>277314.07199999999</v>
      </c>
      <c r="M30" s="34">
        <f t="shared" si="9"/>
        <v>118848.88800000001</v>
      </c>
      <c r="N30" s="34">
        <f t="shared" si="9"/>
        <v>792325.92</v>
      </c>
      <c r="O30" s="8"/>
      <c r="Q30" s="10"/>
      <c r="Z30" s="11"/>
      <c r="AC30" s="12"/>
      <c r="AD30" s="13"/>
    </row>
    <row r="31" spans="1:36" ht="21.95" customHeight="1" x14ac:dyDescent="0.2">
      <c r="A31" s="261" t="s">
        <v>45</v>
      </c>
      <c r="B31" s="261"/>
      <c r="C31" s="261"/>
      <c r="D31" s="261"/>
      <c r="E31" s="261"/>
      <c r="F31" s="261"/>
      <c r="G31" s="261"/>
      <c r="H31" s="261"/>
      <c r="I31" s="261"/>
      <c r="J31" s="34">
        <f>J24+J30</f>
        <v>124914.41</v>
      </c>
      <c r="K31" s="34">
        <f>K24+K30</f>
        <v>499657.64</v>
      </c>
      <c r="L31" s="34">
        <f>L24+L30</f>
        <v>437200.43499999994</v>
      </c>
      <c r="M31" s="34">
        <f>M24+M30</f>
        <v>187371.61499999999</v>
      </c>
      <c r="N31" s="34">
        <f>N24+N30</f>
        <v>1249144.1000000001</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5856.8</v>
      </c>
      <c r="L32" s="34"/>
      <c r="M32" s="34"/>
      <c r="N32" s="34">
        <f>ROUND($C$3*P32,2)</f>
        <v>5856.8</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5856.8</v>
      </c>
      <c r="L36" s="34">
        <f>SUM(L32:L35)</f>
        <v>0</v>
      </c>
      <c r="M36" s="34">
        <f>SUM(M32:M35)</f>
        <v>0</v>
      </c>
      <c r="N36" s="34">
        <f>SUM(N32:N35)</f>
        <v>5856.8</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5856.8</v>
      </c>
      <c r="L37" s="34">
        <f t="shared" si="11"/>
        <v>0</v>
      </c>
      <c r="M37" s="34">
        <f t="shared" si="11"/>
        <v>0</v>
      </c>
      <c r="N37" s="34">
        <f t="shared" si="11"/>
        <v>5856.8</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10158.31</v>
      </c>
      <c r="L38" s="34"/>
      <c r="M38" s="34"/>
      <c r="N38" s="34">
        <f>ROUND($C$4*P38,2)</f>
        <v>10158.31</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10158.31</v>
      </c>
      <c r="L42" s="34">
        <f>SUM(L38:L41)</f>
        <v>0</v>
      </c>
      <c r="M42" s="34">
        <f>SUM(M38:M41)</f>
        <v>0</v>
      </c>
      <c r="N42" s="34">
        <f>SUM(N38:N41)</f>
        <v>10158.31</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10158.31</v>
      </c>
      <c r="L43" s="34">
        <f t="shared" si="13"/>
        <v>0</v>
      </c>
      <c r="M43" s="34">
        <f t="shared" si="13"/>
        <v>0</v>
      </c>
      <c r="N43" s="34">
        <f t="shared" si="13"/>
        <v>10158.31</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16015.11</v>
      </c>
      <c r="L44" s="34">
        <f>L37+L43</f>
        <v>0</v>
      </c>
      <c r="M44" s="34">
        <f>M37+M43</f>
        <v>0</v>
      </c>
      <c r="N44" s="34">
        <f>N37+N43</f>
        <v>16015.11</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1623.14</v>
      </c>
      <c r="L47" s="34"/>
      <c r="M47" s="34"/>
      <c r="N47" s="34">
        <f>ROUND($L$3*P47,2)</f>
        <v>1623.14</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1522.2299999999996</v>
      </c>
      <c r="L48" s="34"/>
      <c r="M48" s="34"/>
      <c r="N48" s="34">
        <f>M3-SUM(N10,N21,N35)</f>
        <v>1522.2299999999996</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3145.37</v>
      </c>
      <c r="L49" s="34">
        <f>SUM(L45:L48)</f>
        <v>0</v>
      </c>
      <c r="M49" s="34">
        <f>SUM(M45:M48)</f>
        <v>0</v>
      </c>
      <c r="N49" s="34">
        <f>SUM(N45:N48)</f>
        <v>3145.37</v>
      </c>
      <c r="O49" s="8"/>
      <c r="P49" s="9"/>
    </row>
    <row r="50" spans="1:36" ht="21.95" customHeight="1" x14ac:dyDescent="0.2">
      <c r="A50" s="262"/>
      <c r="B50" s="261" t="s">
        <v>60</v>
      </c>
      <c r="C50" s="261"/>
      <c r="D50" s="261"/>
      <c r="E50" s="261"/>
      <c r="F50" s="261"/>
      <c r="G50" s="261"/>
      <c r="H50" s="261"/>
      <c r="I50" s="261"/>
      <c r="J50" s="34">
        <f>J49</f>
        <v>0</v>
      </c>
      <c r="K50" s="34">
        <f t="shared" ref="K50:N50" si="15">K49</f>
        <v>3145.37</v>
      </c>
      <c r="L50" s="34">
        <f t="shared" si="15"/>
        <v>0</v>
      </c>
      <c r="M50" s="34">
        <f t="shared" si="15"/>
        <v>0</v>
      </c>
      <c r="N50" s="34">
        <f t="shared" si="15"/>
        <v>3145.37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2815.25</v>
      </c>
      <c r="L53" s="34"/>
      <c r="M53" s="34"/>
      <c r="N53" s="34">
        <f>ROUND($L$4*P53,2)</f>
        <v>2815.25</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2640.2099999999955</v>
      </c>
      <c r="L54" s="34"/>
      <c r="M54" s="34"/>
      <c r="N54" s="34">
        <f>M4-SUM(N15,N27,N41)</f>
        <v>2640.2099999999955</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5455.4599999999955</v>
      </c>
      <c r="L55" s="34">
        <f>SUM(L51:L54)</f>
        <v>0</v>
      </c>
      <c r="M55" s="34">
        <f>SUM(M51:M54)</f>
        <v>0</v>
      </c>
      <c r="N55" s="34">
        <f>SUM(N51:N54)</f>
        <v>5455.4599999999955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5455.4599999999955</v>
      </c>
      <c r="L56" s="34">
        <f t="shared" si="17"/>
        <v>0</v>
      </c>
      <c r="M56" s="34">
        <f t="shared" si="17"/>
        <v>0</v>
      </c>
      <c r="N56" s="34">
        <f t="shared" si="17"/>
        <v>5455.4599999999955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8600.8299999999945</v>
      </c>
      <c r="L57" s="34">
        <f>L50+L56</f>
        <v>0</v>
      </c>
      <c r="M57" s="34">
        <f>M50+M56</f>
        <v>0</v>
      </c>
      <c r="N57" s="34">
        <f>N50+N56</f>
        <v>8600.8299999999945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77.12</v>
      </c>
      <c r="L59" s="34"/>
      <c r="M59" s="34"/>
      <c r="N59" s="34">
        <f>D3</f>
        <v>77.12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548.9</v>
      </c>
      <c r="L60" s="34"/>
      <c r="M60" s="34"/>
      <c r="N60" s="34">
        <f>E3</f>
        <v>548.9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795.43</v>
      </c>
      <c r="L61" s="34"/>
      <c r="M61" s="34"/>
      <c r="N61" s="34">
        <f>G3-SUM(N9,N20,N33,N46)</f>
        <v>795.43</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350.07</v>
      </c>
      <c r="L62" s="34"/>
      <c r="M62" s="34"/>
      <c r="N62" s="34">
        <f>H3</f>
        <v>350.07</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4507.46</v>
      </c>
      <c r="L63" s="34"/>
      <c r="M63" s="34"/>
      <c r="N63" s="34">
        <f>I3</f>
        <v>4507.46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265</v>
      </c>
      <c r="L64" s="34"/>
      <c r="M64" s="34"/>
      <c r="N64" s="34">
        <f>J3</f>
        <v>265</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248.68</v>
      </c>
      <c r="L66" s="34"/>
      <c r="M66" s="34"/>
      <c r="N66" s="34">
        <f>K3</f>
        <v>248.68</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6792.66</v>
      </c>
      <c r="L68" s="34">
        <f>SUM(L58:L67)</f>
        <v>0</v>
      </c>
      <c r="M68" s="34">
        <f>SUM(M58:M67)</f>
        <v>0</v>
      </c>
      <c r="N68" s="34">
        <f>SUM(N58:N67)</f>
        <v>6792.66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6792.66</v>
      </c>
      <c r="L69" s="34">
        <f t="shared" si="20"/>
        <v>0</v>
      </c>
      <c r="M69" s="34">
        <f t="shared" si="20"/>
        <v>0</v>
      </c>
      <c r="N69" s="34">
        <f t="shared" si="20"/>
        <v>6792.66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133.76</v>
      </c>
      <c r="L71" s="34"/>
      <c r="M71" s="34"/>
      <c r="N71" s="34">
        <f>D4</f>
        <v>133.76</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952.04</v>
      </c>
      <c r="L72" s="34"/>
      <c r="M72" s="34"/>
      <c r="N72" s="34">
        <f>E4</f>
        <v>952.04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1379.63</v>
      </c>
      <c r="L73" s="34"/>
      <c r="M73" s="34"/>
      <c r="N73" s="34">
        <f>G4-SUM(N14,N26,N39,N52)</f>
        <v>1379.63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607.17999999999995</v>
      </c>
      <c r="L74" s="34"/>
      <c r="M74" s="34"/>
      <c r="N74" s="34">
        <f>H4</f>
        <v>607.17999999999995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7817.95</v>
      </c>
      <c r="L75" s="34"/>
      <c r="M75" s="34"/>
      <c r="N75" s="34">
        <f>I4</f>
        <v>7817.95</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459.63</v>
      </c>
      <c r="L76" s="34"/>
      <c r="M76" s="34"/>
      <c r="N76" s="34">
        <f>J4</f>
        <v>459.63</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431.31</v>
      </c>
      <c r="L78" s="34"/>
      <c r="M78" s="34"/>
      <c r="N78" s="34">
        <f>K4</f>
        <v>431.31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11781.499999999998</v>
      </c>
      <c r="L80" s="34">
        <f>SUM(L70:L79)</f>
        <v>0</v>
      </c>
      <c r="M80" s="34">
        <f>SUM(M70:M79)</f>
        <v>0</v>
      </c>
      <c r="N80" s="34">
        <f>SUM(N70:N79)</f>
        <v>11781.499999999998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11781.499999999998</v>
      </c>
      <c r="L81" s="34">
        <f t="shared" si="23"/>
        <v>0</v>
      </c>
      <c r="M81" s="34">
        <f t="shared" si="23"/>
        <v>0</v>
      </c>
      <c r="N81" s="34">
        <f t="shared" si="23"/>
        <v>11781.499999999998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18574.159999999996</v>
      </c>
      <c r="L82" s="34">
        <f>L69+L81</f>
        <v>0</v>
      </c>
      <c r="M82" s="34">
        <f>M69+M81</f>
        <v>0</v>
      </c>
      <c r="N82" s="34">
        <f>N69+N81</f>
        <v>18574.159999999996</v>
      </c>
      <c r="O82" s="8"/>
      <c r="R82" s="14"/>
      <c r="Z82" s="15"/>
      <c r="AJ82" s="16"/>
    </row>
    <row r="83" spans="1:36" s="31" customFormat="1" ht="21.95" customHeight="1" x14ac:dyDescent="0.2">
      <c r="A83" s="275" t="s">
        <v>82</v>
      </c>
      <c r="B83" s="275"/>
      <c r="C83" s="275"/>
      <c r="D83" s="275"/>
      <c r="E83" s="275"/>
      <c r="F83" s="275"/>
      <c r="G83" s="275"/>
      <c r="H83" s="275"/>
      <c r="I83" s="275"/>
      <c r="J83" s="35">
        <f>J18+J31+J44+J57+J82</f>
        <v>124914.41</v>
      </c>
      <c r="K83" s="35">
        <f>K18+K31+K44+K57+K82</f>
        <v>542847.74</v>
      </c>
      <c r="L83" s="35">
        <f>L18+L31+L44+L57+L82</f>
        <v>437200.43499999994</v>
      </c>
      <c r="M83" s="35">
        <f>M18+M31+M44+M57+M82</f>
        <v>187371.61499999999</v>
      </c>
      <c r="N83" s="38">
        <f>N18+N31+N44+N57+N82</f>
        <v>1292334.2000000002</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EF912FF-AE1E-4BBF-8468-FA48B0765614}">
          <x14:formula1>
            <xm:f>'2026 COB breakdown_Kris'!$A$5:$A$103</xm:f>
          </x14:formula1>
          <xm:sqref>A3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A6F41-3CF6-418F-8416-B037FFCD9826}">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189</v>
      </c>
      <c r="B3" s="58" t="s">
        <v>158</v>
      </c>
      <c r="C3" s="59">
        <f>VLOOKUP($A3,COBTABLE,15, FALSE)</f>
        <v>4430.3900000000003</v>
      </c>
      <c r="D3" s="59">
        <f>VLOOKUP($A3,COBTABLE,16, FALSE)</f>
        <v>58.33</v>
      </c>
      <c r="E3" s="59">
        <f>VLOOKUP($A3,COBTABLE,17, FALSE)</f>
        <v>415.22</v>
      </c>
      <c r="F3" s="59">
        <f>VLOOKUP($A3,COBTABLE,18, FALSE)</f>
        <v>0</v>
      </c>
      <c r="G3" s="59">
        <f>VLOOKUP($A3,COBTABLE,19, FALSE)</f>
        <v>601.71</v>
      </c>
      <c r="H3" s="59">
        <f>VLOOKUP($A3,COBTABLE,20, FALSE)</f>
        <v>264.81</v>
      </c>
      <c r="I3" s="59">
        <f>VLOOKUP($A3,COBTABLE,21, FALSE)</f>
        <v>3409.68</v>
      </c>
      <c r="J3" s="59">
        <f>VLOOKUP($A3,COBTABLE,22, FALSE)</f>
        <v>200.46</v>
      </c>
      <c r="K3" s="59">
        <f>VLOOKUP($A3,COBTABLE,23, FALSE)</f>
        <v>188.11</v>
      </c>
      <c r="L3" s="59">
        <f>VLOOKUP($A3,COBTABLE,24, FALSE)</f>
        <v>1227.82</v>
      </c>
      <c r="M3" s="59">
        <f>VLOOKUP($A3,COBTABLE,25, FALSE)</f>
        <v>1151.5000000000018</v>
      </c>
      <c r="N3" s="60">
        <f>VLOOKUP($A3, countrygrant,2,FALSE)</f>
        <v>456818.18</v>
      </c>
      <c r="O3" s="92">
        <f>SUM(C3:N3)</f>
        <v>468766.21</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6497.91</v>
      </c>
      <c r="D4" s="59">
        <f>VLOOKUP($A3,COBTABLE,28, FALSE)</f>
        <v>85.56</v>
      </c>
      <c r="E4" s="59">
        <f>VLOOKUP($A3,COBTABLE,29, FALSE)</f>
        <v>608.98</v>
      </c>
      <c r="F4" s="59">
        <f>VLOOKUP($A3,COBTABLE,30, FALSE)</f>
        <v>0</v>
      </c>
      <c r="G4" s="59">
        <f>VLOOKUP($A3,COBTABLE,31, FALSE)</f>
        <v>882.5</v>
      </c>
      <c r="H4" s="59">
        <f>VLOOKUP($A3,COBTABLE,32, FALSE)</f>
        <v>388.39</v>
      </c>
      <c r="I4" s="59">
        <f>VLOOKUP($A3,COBTABLE,33, FALSE)</f>
        <v>5000.87</v>
      </c>
      <c r="J4" s="59">
        <f>VLOOKUP($A3,COBTABLE,34, FALSE)</f>
        <v>294.01</v>
      </c>
      <c r="K4" s="59">
        <f>VLOOKUP($A3,COBTABLE,35, FALSE)</f>
        <v>275.89</v>
      </c>
      <c r="L4" s="59">
        <f>VLOOKUP($A3,COBTABLE,36, FALSE)</f>
        <v>1800.81</v>
      </c>
      <c r="M4" s="59">
        <f>VLOOKUP($A3,COBTABLE,37, FALSE)</f>
        <v>1688.8600000000006</v>
      </c>
      <c r="N4" s="60">
        <f>VLOOKUP($A3, countrygrant,3,FALSE)</f>
        <v>670000</v>
      </c>
      <c r="O4" s="92">
        <f t="shared" ref="O4" si="0">SUM(C4:N4)</f>
        <v>687523.78</v>
      </c>
      <c r="P4" s="28"/>
      <c r="Q4" s="28"/>
      <c r="R4" s="28"/>
      <c r="S4" s="28"/>
      <c r="T4" s="28"/>
      <c r="U4" s="28"/>
      <c r="V4" s="28"/>
      <c r="W4" s="28"/>
      <c r="X4" s="28"/>
      <c r="Y4" s="28"/>
      <c r="Z4" s="28"/>
      <c r="AA4" s="28"/>
      <c r="AB4" s="28"/>
      <c r="AC4" s="28"/>
    </row>
    <row r="5" spans="1:36" s="53" customFormat="1" ht="12" customHeight="1" x14ac:dyDescent="0.25">
      <c r="A5" s="278"/>
      <c r="B5" s="61" t="s">
        <v>156</v>
      </c>
      <c r="C5" s="62">
        <f>SUM(C3:C4)</f>
        <v>10928.3</v>
      </c>
      <c r="D5" s="62">
        <f t="shared" ref="D5:O5" si="1">SUM(D3:D4)</f>
        <v>143.88999999999999</v>
      </c>
      <c r="E5" s="62">
        <f t="shared" si="1"/>
        <v>1024.2</v>
      </c>
      <c r="F5" s="62">
        <f t="shared" si="1"/>
        <v>0</v>
      </c>
      <c r="G5" s="62">
        <f t="shared" si="1"/>
        <v>1484.21</v>
      </c>
      <c r="H5" s="62">
        <f t="shared" si="1"/>
        <v>653.20000000000005</v>
      </c>
      <c r="I5" s="62">
        <f t="shared" si="1"/>
        <v>8410.5499999999993</v>
      </c>
      <c r="J5" s="62">
        <f t="shared" si="1"/>
        <v>494.47</v>
      </c>
      <c r="K5" s="62">
        <f t="shared" si="1"/>
        <v>464</v>
      </c>
      <c r="L5" s="62">
        <f t="shared" si="1"/>
        <v>3028.63</v>
      </c>
      <c r="M5" s="62">
        <f t="shared" si="1"/>
        <v>2840.3600000000024</v>
      </c>
      <c r="N5" s="62">
        <f t="shared" si="1"/>
        <v>1126818.18</v>
      </c>
      <c r="O5" s="62">
        <f t="shared" si="1"/>
        <v>1156289.99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VLOOKUP(H28,starratio3,4,FALSE)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4430.3900000000003</v>
      </c>
      <c r="L32" s="34"/>
      <c r="M32" s="34"/>
      <c r="N32" s="34">
        <f>ROUND($C$3*P32,2)</f>
        <v>4430.3900000000003</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4430.3900000000003</v>
      </c>
      <c r="L36" s="34">
        <f>SUM(L32:L35)</f>
        <v>0</v>
      </c>
      <c r="M36" s="34">
        <f>SUM(M32:M35)</f>
        <v>0</v>
      </c>
      <c r="N36" s="34">
        <f>SUM(N32:N35)</f>
        <v>4430.3900000000003</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4430.3900000000003</v>
      </c>
      <c r="L37" s="34">
        <f t="shared" si="11"/>
        <v>0</v>
      </c>
      <c r="M37" s="34">
        <f t="shared" si="11"/>
        <v>0</v>
      </c>
      <c r="N37" s="34">
        <f t="shared" si="11"/>
        <v>4430.3900000000003</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6497.91</v>
      </c>
      <c r="L38" s="34"/>
      <c r="M38" s="34"/>
      <c r="N38" s="34">
        <f>ROUND($C$4*P38,2)</f>
        <v>6497.91</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6497.91</v>
      </c>
      <c r="L42" s="34">
        <f>SUM(L38:L41)</f>
        <v>0</v>
      </c>
      <c r="M42" s="34">
        <f>SUM(M38:M41)</f>
        <v>0</v>
      </c>
      <c r="N42" s="34">
        <f>SUM(N38:N41)</f>
        <v>6497.91</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6497.91</v>
      </c>
      <c r="L43" s="34">
        <f t="shared" si="13"/>
        <v>0</v>
      </c>
      <c r="M43" s="34">
        <f t="shared" si="13"/>
        <v>0</v>
      </c>
      <c r="N43" s="34">
        <f t="shared" si="13"/>
        <v>6497.91</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10928.3</v>
      </c>
      <c r="L44" s="34">
        <f>L37+L43</f>
        <v>0</v>
      </c>
      <c r="M44" s="34">
        <f>M37+M43</f>
        <v>0</v>
      </c>
      <c r="N44" s="34">
        <f>N37+N43</f>
        <v>10928.3</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1227.82</v>
      </c>
      <c r="L47" s="34"/>
      <c r="M47" s="34"/>
      <c r="N47" s="34">
        <f>ROUND($L$3*P47,2)</f>
        <v>1227.82</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1151.5000000000018</v>
      </c>
      <c r="L48" s="34"/>
      <c r="M48" s="34"/>
      <c r="N48" s="34">
        <f>M3-SUM(N10,N21,N35)</f>
        <v>1151.5000000000018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2379.3200000000015</v>
      </c>
      <c r="L49" s="34">
        <f>SUM(L45:L48)</f>
        <v>0</v>
      </c>
      <c r="M49" s="34">
        <f>SUM(M45:M48)</f>
        <v>0</v>
      </c>
      <c r="N49" s="34">
        <f>SUM(N45:N48)</f>
        <v>2379.3200000000015</v>
      </c>
      <c r="O49" s="8"/>
      <c r="P49" s="9"/>
    </row>
    <row r="50" spans="1:36" ht="21.95" customHeight="1" x14ac:dyDescent="0.2">
      <c r="A50" s="262"/>
      <c r="B50" s="261" t="s">
        <v>60</v>
      </c>
      <c r="C50" s="261"/>
      <c r="D50" s="261"/>
      <c r="E50" s="261"/>
      <c r="F50" s="261"/>
      <c r="G50" s="261"/>
      <c r="H50" s="261"/>
      <c r="I50" s="261"/>
      <c r="J50" s="34">
        <f>J49</f>
        <v>0</v>
      </c>
      <c r="K50" s="34">
        <f t="shared" ref="K50:N50" si="15">K49</f>
        <v>2379.3200000000015</v>
      </c>
      <c r="L50" s="34">
        <f t="shared" si="15"/>
        <v>0</v>
      </c>
      <c r="M50" s="34">
        <f t="shared" si="15"/>
        <v>0</v>
      </c>
      <c r="N50" s="34">
        <f t="shared" si="15"/>
        <v>2379.3200000000015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1800.81</v>
      </c>
      <c r="L53" s="34"/>
      <c r="M53" s="34"/>
      <c r="N53" s="34">
        <f>ROUND($L$4*P53,2)</f>
        <v>1800.81</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1688.8600000000006</v>
      </c>
      <c r="L54" s="34"/>
      <c r="M54" s="34"/>
      <c r="N54" s="34">
        <f>M4-SUM(N15,N27,N41)</f>
        <v>1688.8600000000006</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3489.6700000000005</v>
      </c>
      <c r="L55" s="34">
        <f>SUM(L51:L54)</f>
        <v>0</v>
      </c>
      <c r="M55" s="34">
        <f>SUM(M51:M54)</f>
        <v>0</v>
      </c>
      <c r="N55" s="34">
        <f>SUM(N51:N54)</f>
        <v>3489.6700000000005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3489.6700000000005</v>
      </c>
      <c r="L56" s="34">
        <f t="shared" si="17"/>
        <v>0</v>
      </c>
      <c r="M56" s="34">
        <f t="shared" si="17"/>
        <v>0</v>
      </c>
      <c r="N56" s="34">
        <f t="shared" si="17"/>
        <v>3489.6700000000005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5868.9900000000016</v>
      </c>
      <c r="L57" s="34">
        <f>L50+L56</f>
        <v>0</v>
      </c>
      <c r="M57" s="34">
        <f>M50+M56</f>
        <v>0</v>
      </c>
      <c r="N57" s="34">
        <f>N50+N56</f>
        <v>5868.9900000000016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58.33</v>
      </c>
      <c r="L59" s="34"/>
      <c r="M59" s="34"/>
      <c r="N59" s="34">
        <f>D3</f>
        <v>58.33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415.22</v>
      </c>
      <c r="L60" s="34"/>
      <c r="M60" s="34"/>
      <c r="N60" s="34">
        <f>E3</f>
        <v>415.22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601.71</v>
      </c>
      <c r="L61" s="34"/>
      <c r="M61" s="34"/>
      <c r="N61" s="34">
        <f>G3-SUM(N9,N20,N33,N46)</f>
        <v>601.71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264.81</v>
      </c>
      <c r="L62" s="34"/>
      <c r="M62" s="34"/>
      <c r="N62" s="34">
        <f>H3</f>
        <v>264.81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3409.68</v>
      </c>
      <c r="L63" s="34"/>
      <c r="M63" s="34"/>
      <c r="N63" s="34">
        <f>I3</f>
        <v>3409.68</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200.46</v>
      </c>
      <c r="L64" s="34"/>
      <c r="M64" s="34"/>
      <c r="N64" s="34">
        <f>J3</f>
        <v>200.46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188.11</v>
      </c>
      <c r="L66" s="34"/>
      <c r="M66" s="34"/>
      <c r="N66" s="34">
        <f>K3</f>
        <v>188.11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5138.32</v>
      </c>
      <c r="L68" s="34">
        <f>SUM(L58:L67)</f>
        <v>0</v>
      </c>
      <c r="M68" s="34">
        <f>SUM(M58:M67)</f>
        <v>0</v>
      </c>
      <c r="N68" s="34">
        <f>SUM(N58:N67)</f>
        <v>5138.32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5138.32</v>
      </c>
      <c r="L69" s="34">
        <f t="shared" si="20"/>
        <v>0</v>
      </c>
      <c r="M69" s="34">
        <f t="shared" si="20"/>
        <v>0</v>
      </c>
      <c r="N69" s="34">
        <f t="shared" si="20"/>
        <v>5138.32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85.56</v>
      </c>
      <c r="L71" s="34"/>
      <c r="M71" s="34"/>
      <c r="N71" s="34">
        <f>D4</f>
        <v>85.56</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608.98</v>
      </c>
      <c r="L72" s="34"/>
      <c r="M72" s="34"/>
      <c r="N72" s="34">
        <f>E4</f>
        <v>608.98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882.5</v>
      </c>
      <c r="L73" s="34"/>
      <c r="M73" s="34"/>
      <c r="N73" s="34">
        <f>G4-SUM(N14,N26,N39,N52)</f>
        <v>882.5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388.39</v>
      </c>
      <c r="L74" s="34"/>
      <c r="M74" s="34"/>
      <c r="N74" s="34">
        <f>H4</f>
        <v>388.39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5000.87</v>
      </c>
      <c r="L75" s="34"/>
      <c r="M75" s="34"/>
      <c r="N75" s="34">
        <f>I4</f>
        <v>5000.87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294.01</v>
      </c>
      <c r="L76" s="34"/>
      <c r="M76" s="34"/>
      <c r="N76" s="34">
        <f>J4</f>
        <v>294.01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275.89</v>
      </c>
      <c r="L78" s="34"/>
      <c r="M78" s="34"/>
      <c r="N78" s="34">
        <f>K4</f>
        <v>275.89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7536.2</v>
      </c>
      <c r="L80" s="34">
        <f>SUM(L70:L79)</f>
        <v>0</v>
      </c>
      <c r="M80" s="34">
        <f>SUM(M70:M79)</f>
        <v>0</v>
      </c>
      <c r="N80" s="34">
        <f>SUM(N70:N79)</f>
        <v>7536.2</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7536.2</v>
      </c>
      <c r="L81" s="34">
        <f t="shared" si="23"/>
        <v>0</v>
      </c>
      <c r="M81" s="34">
        <f t="shared" si="23"/>
        <v>0</v>
      </c>
      <c r="N81" s="34">
        <f t="shared" si="23"/>
        <v>7536.2</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12674.52</v>
      </c>
      <c r="L82" s="34">
        <f>L69+L81</f>
        <v>0</v>
      </c>
      <c r="M82" s="34">
        <f>M69+M81</f>
        <v>0</v>
      </c>
      <c r="N82" s="34">
        <f>N69+N81</f>
        <v>12674.52</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480199.08199999999</v>
      </c>
      <c r="L83" s="35">
        <f>L18+L31+L44+L57+L82</f>
        <v>394386.36299999995</v>
      </c>
      <c r="M83" s="35">
        <f>M18+M31+M44+M57+M82</f>
        <v>169022.72700000001</v>
      </c>
      <c r="N83" s="38">
        <f>N18+N31+N44+N57+N82</f>
        <v>1156289.99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FBCE187-D72C-4794-8423-6406500797DA}">
          <x14:formula1>
            <xm:f>'2026 COB breakdown_Kris'!$A$5:$A$103</xm:f>
          </x14:formula1>
          <xm:sqref>A3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B25F8-5C20-4982-A7A7-FEA54A6EB5CC}">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190</v>
      </c>
      <c r="B3" s="58" t="s">
        <v>158</v>
      </c>
      <c r="C3" s="59">
        <f>VLOOKUP($A3,COBTABLE,15, FALSE)</f>
        <v>16349.91</v>
      </c>
      <c r="D3" s="59">
        <f>VLOOKUP($A3,COBTABLE,16, FALSE)</f>
        <v>215.28</v>
      </c>
      <c r="E3" s="59">
        <f>VLOOKUP($A3,COBTABLE,17, FALSE)</f>
        <v>1532.32</v>
      </c>
      <c r="F3" s="59">
        <f>VLOOKUP($A3,COBTABLE,18, FALSE)</f>
        <v>0</v>
      </c>
      <c r="G3" s="59">
        <f>VLOOKUP($A3,COBTABLE,19, FALSE)</f>
        <v>2220.5300000000002</v>
      </c>
      <c r="H3" s="59">
        <f>VLOOKUP($A3,COBTABLE,20, FALSE)</f>
        <v>977.25</v>
      </c>
      <c r="I3" s="59">
        <f>VLOOKUP($A3,COBTABLE,21, FALSE)</f>
        <v>12583.07</v>
      </c>
      <c r="J3" s="59">
        <f>VLOOKUP($A3,COBTABLE,22, FALSE)</f>
        <v>739.77</v>
      </c>
      <c r="K3" s="59">
        <f>VLOOKUP($A3,COBTABLE,23, FALSE)</f>
        <v>694.21</v>
      </c>
      <c r="L3" s="59">
        <f>VLOOKUP($A3,COBTABLE,24, FALSE)</f>
        <v>4531.16</v>
      </c>
      <c r="M3" s="59">
        <f>VLOOKUP($A3,COBTABLE,25, FALSE)</f>
        <v>4249.489999999998</v>
      </c>
      <c r="N3" s="60">
        <f>VLOOKUP($A3, countrygrant,2,FALSE)</f>
        <v>456818.18</v>
      </c>
      <c r="O3" s="92">
        <f>SUM(C3:N3)</f>
        <v>500911.17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16349.91</v>
      </c>
      <c r="D5" s="62">
        <f t="shared" ref="D5:O5" si="1">SUM(D3:D4)</f>
        <v>215.28</v>
      </c>
      <c r="E5" s="62">
        <f t="shared" si="1"/>
        <v>1532.32</v>
      </c>
      <c r="F5" s="62">
        <f t="shared" si="1"/>
        <v>0</v>
      </c>
      <c r="G5" s="62">
        <f t="shared" si="1"/>
        <v>2220.5300000000002</v>
      </c>
      <c r="H5" s="62">
        <f t="shared" si="1"/>
        <v>977.25</v>
      </c>
      <c r="I5" s="62">
        <f t="shared" si="1"/>
        <v>12583.07</v>
      </c>
      <c r="J5" s="62">
        <f t="shared" si="1"/>
        <v>739.77</v>
      </c>
      <c r="K5" s="62">
        <f t="shared" si="1"/>
        <v>694.21</v>
      </c>
      <c r="L5" s="62">
        <f t="shared" si="1"/>
        <v>4531.16</v>
      </c>
      <c r="M5" s="62">
        <f t="shared" si="1"/>
        <v>4249.489999999998</v>
      </c>
      <c r="N5" s="62">
        <f t="shared" si="1"/>
        <v>456818.18</v>
      </c>
      <c r="O5" s="62">
        <f t="shared" si="1"/>
        <v>500911.17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VLOOKUP(H28,starratio3,4,FALSE)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16349.91</v>
      </c>
      <c r="L32" s="34"/>
      <c r="M32" s="34"/>
      <c r="N32" s="34">
        <f>ROUND($C$3*P32,2)</f>
        <v>16349.91</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16349.91</v>
      </c>
      <c r="L36" s="34">
        <f>SUM(L32:L35)</f>
        <v>0</v>
      </c>
      <c r="M36" s="34">
        <f>SUM(M32:M35)</f>
        <v>0</v>
      </c>
      <c r="N36" s="34">
        <f>SUM(N32:N35)</f>
        <v>16349.91</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16349.91</v>
      </c>
      <c r="L37" s="34">
        <f t="shared" si="11"/>
        <v>0</v>
      </c>
      <c r="M37" s="34">
        <f t="shared" si="11"/>
        <v>0</v>
      </c>
      <c r="N37" s="34">
        <f t="shared" si="11"/>
        <v>16349.91</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16349.91</v>
      </c>
      <c r="L44" s="34">
        <f>L37+L43</f>
        <v>0</v>
      </c>
      <c r="M44" s="34">
        <f>M37+M43</f>
        <v>0</v>
      </c>
      <c r="N44" s="34">
        <f>N37+N43</f>
        <v>16349.91</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4531.16</v>
      </c>
      <c r="L47" s="34"/>
      <c r="M47" s="34"/>
      <c r="N47" s="34">
        <f>ROUND($L$3*P47,2)</f>
        <v>4531.16</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4249.489999999998</v>
      </c>
      <c r="L48" s="34"/>
      <c r="M48" s="34"/>
      <c r="N48" s="34">
        <f>M3-SUM(N10,N21,N35)</f>
        <v>4249.489999999998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8780.6499999999978</v>
      </c>
      <c r="L49" s="34">
        <f>SUM(L45:L48)</f>
        <v>0</v>
      </c>
      <c r="M49" s="34">
        <f>SUM(M45:M48)</f>
        <v>0</v>
      </c>
      <c r="N49" s="34">
        <f>SUM(N45:N48)</f>
        <v>8780.6499999999978</v>
      </c>
      <c r="O49" s="8"/>
      <c r="P49" s="9"/>
    </row>
    <row r="50" spans="1:36" ht="21.95" customHeight="1" x14ac:dyDescent="0.2">
      <c r="A50" s="262"/>
      <c r="B50" s="261" t="s">
        <v>60</v>
      </c>
      <c r="C50" s="261"/>
      <c r="D50" s="261"/>
      <c r="E50" s="261"/>
      <c r="F50" s="261"/>
      <c r="G50" s="261"/>
      <c r="H50" s="261"/>
      <c r="I50" s="261"/>
      <c r="J50" s="34">
        <f>J49</f>
        <v>0</v>
      </c>
      <c r="K50" s="34">
        <f t="shared" ref="K50:N50" si="15">K49</f>
        <v>8780.6499999999978</v>
      </c>
      <c r="L50" s="34">
        <f t="shared" si="15"/>
        <v>0</v>
      </c>
      <c r="M50" s="34">
        <f t="shared" si="15"/>
        <v>0</v>
      </c>
      <c r="N50" s="34">
        <f t="shared" si="15"/>
        <v>8780.6499999999978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8780.6499999999978</v>
      </c>
      <c r="L57" s="34">
        <f>L50+L56</f>
        <v>0</v>
      </c>
      <c r="M57" s="34">
        <f>M50+M56</f>
        <v>0</v>
      </c>
      <c r="N57" s="34">
        <f>N50+N56</f>
        <v>8780.6499999999978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215.28</v>
      </c>
      <c r="L59" s="34"/>
      <c r="M59" s="34"/>
      <c r="N59" s="34">
        <f>D3</f>
        <v>215.28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1532.32</v>
      </c>
      <c r="L60" s="34"/>
      <c r="M60" s="34"/>
      <c r="N60" s="34">
        <f>E3</f>
        <v>1532.32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2220.5300000000002</v>
      </c>
      <c r="L61" s="34"/>
      <c r="M61" s="34"/>
      <c r="N61" s="34">
        <f>G3-SUM(N9,N20,N33,N46)</f>
        <v>2220.5300000000002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977.25</v>
      </c>
      <c r="L62" s="34"/>
      <c r="M62" s="34"/>
      <c r="N62" s="34">
        <f>H3</f>
        <v>977.25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12583.07</v>
      </c>
      <c r="L63" s="34"/>
      <c r="M63" s="34"/>
      <c r="N63" s="34">
        <f>I3</f>
        <v>12583.07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739.77</v>
      </c>
      <c r="L64" s="34"/>
      <c r="M64" s="34"/>
      <c r="N64" s="34">
        <f>J3</f>
        <v>739.77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694.21</v>
      </c>
      <c r="L66" s="34"/>
      <c r="M66" s="34"/>
      <c r="N66" s="34">
        <f>K3</f>
        <v>694.21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18962.43</v>
      </c>
      <c r="L68" s="34">
        <f>SUM(L58:L67)</f>
        <v>0</v>
      </c>
      <c r="M68" s="34">
        <f>SUM(M58:M67)</f>
        <v>0</v>
      </c>
      <c r="N68" s="34">
        <f>SUM(N58:N67)</f>
        <v>18962.43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18962.43</v>
      </c>
      <c r="L69" s="34">
        <f t="shared" si="20"/>
        <v>0</v>
      </c>
      <c r="M69" s="34">
        <f t="shared" si="20"/>
        <v>0</v>
      </c>
      <c r="N69" s="34">
        <f t="shared" si="20"/>
        <v>18962.43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18962.43</v>
      </c>
      <c r="L82" s="34">
        <f>L69+L81</f>
        <v>0</v>
      </c>
      <c r="M82" s="34">
        <f>M69+M81</f>
        <v>0</v>
      </c>
      <c r="N82" s="34">
        <f>N69+N81</f>
        <v>18962.43</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226820.26199999999</v>
      </c>
      <c r="L83" s="35">
        <f>L18+L31+L44+L57+L82</f>
        <v>159886.36299999998</v>
      </c>
      <c r="M83" s="35">
        <f>M18+M31+M44+M57+M82</f>
        <v>68522.726999999999</v>
      </c>
      <c r="N83" s="38">
        <f>N18+N31+N44+N57+N82</f>
        <v>500911.17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5D6F7E6-AD35-4C2C-98F4-FD2E8E957867}">
          <x14:formula1>
            <xm:f>'2026 COB breakdown_Kris'!$A$5:$A$103</xm:f>
          </x14:formula1>
          <xm:sqref>A3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01EB7-4D28-4479-971F-4714B76994A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191</v>
      </c>
      <c r="B3" s="58" t="s">
        <v>158</v>
      </c>
      <c r="C3" s="59">
        <f>VLOOKUP($A3,COBTABLE,15, FALSE)</f>
        <v>6080</v>
      </c>
      <c r="D3" s="59">
        <f>VLOOKUP($A3,COBTABLE,16, FALSE)</f>
        <v>80.05</v>
      </c>
      <c r="E3" s="59">
        <f>VLOOKUP($A3,COBTABLE,17, FALSE)</f>
        <v>569.82000000000005</v>
      </c>
      <c r="F3" s="59">
        <f>VLOOKUP($A3,COBTABLE,18, FALSE)</f>
        <v>0</v>
      </c>
      <c r="G3" s="59">
        <f>VLOOKUP($A3,COBTABLE,19, FALSE)</f>
        <v>825.74</v>
      </c>
      <c r="H3" s="59">
        <f>VLOOKUP($A3,COBTABLE,20, FALSE)</f>
        <v>363.41</v>
      </c>
      <c r="I3" s="59">
        <f>VLOOKUP($A3,COBTABLE,21, FALSE)</f>
        <v>4679.2299999999996</v>
      </c>
      <c r="J3" s="59">
        <f>VLOOKUP($A3,COBTABLE,22, FALSE)</f>
        <v>275.10000000000002</v>
      </c>
      <c r="K3" s="59">
        <f>VLOOKUP($A3,COBTABLE,23, FALSE)</f>
        <v>258.14999999999998</v>
      </c>
      <c r="L3" s="59">
        <f>VLOOKUP($A3,COBTABLE,24, FALSE)</f>
        <v>1684.99</v>
      </c>
      <c r="M3" s="59">
        <f>VLOOKUP($A3,COBTABLE,25, FALSE)</f>
        <v>1580.2499999999982</v>
      </c>
      <c r="N3" s="60">
        <f>VLOOKUP($A3, countrygrant,2,FALSE)</f>
        <v>456818.18</v>
      </c>
      <c r="O3" s="92">
        <f>SUM(C3:N3)</f>
        <v>473214.92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4458.66</v>
      </c>
      <c r="D4" s="59">
        <f>VLOOKUP($A3,COBTABLE,28, FALSE)</f>
        <v>58.71</v>
      </c>
      <c r="E4" s="59">
        <f>VLOOKUP($A3,COBTABLE,29, FALSE)</f>
        <v>417.87</v>
      </c>
      <c r="F4" s="59">
        <f>VLOOKUP($A3,COBTABLE,30, FALSE)</f>
        <v>0</v>
      </c>
      <c r="G4" s="59">
        <f>VLOOKUP($A3,COBTABLE,31, FALSE)</f>
        <v>605.54</v>
      </c>
      <c r="H4" s="59">
        <f>VLOOKUP($A3,COBTABLE,32, FALSE)</f>
        <v>266.5</v>
      </c>
      <c r="I4" s="59">
        <f>VLOOKUP($A3,COBTABLE,33, FALSE)</f>
        <v>3431.44</v>
      </c>
      <c r="J4" s="59">
        <f>VLOOKUP($A3,COBTABLE,34, FALSE)</f>
        <v>201.74</v>
      </c>
      <c r="K4" s="59">
        <f>VLOOKUP($A3,COBTABLE,35, FALSE)</f>
        <v>189.31</v>
      </c>
      <c r="L4" s="59">
        <f>VLOOKUP($A3,COBTABLE,36, FALSE)</f>
        <v>1235.6600000000001</v>
      </c>
      <c r="M4" s="59">
        <f>VLOOKUP($A3,COBTABLE,37, FALSE)</f>
        <v>1158.840000000002</v>
      </c>
      <c r="N4" s="60">
        <f>VLOOKUP($A3, countrygrant,3,FALSE)</f>
        <v>335000</v>
      </c>
      <c r="O4" s="92">
        <f t="shared" ref="O4" si="0">SUM(C4:N4)</f>
        <v>347024.27</v>
      </c>
      <c r="P4" s="28"/>
      <c r="Q4" s="28"/>
      <c r="R4" s="28"/>
      <c r="S4" s="28"/>
      <c r="T4" s="28"/>
      <c r="U4" s="28"/>
      <c r="V4" s="28"/>
      <c r="W4" s="28"/>
      <c r="X4" s="28"/>
      <c r="Y4" s="28"/>
      <c r="Z4" s="28"/>
      <c r="AA4" s="28"/>
      <c r="AB4" s="28"/>
      <c r="AC4" s="28"/>
    </row>
    <row r="5" spans="1:36" s="53" customFormat="1" ht="12" customHeight="1" x14ac:dyDescent="0.25">
      <c r="A5" s="278"/>
      <c r="B5" s="61" t="s">
        <v>156</v>
      </c>
      <c r="C5" s="62">
        <f>SUM(C3:C4)</f>
        <v>10538.66</v>
      </c>
      <c r="D5" s="62">
        <f t="shared" ref="D5:O5" si="1">SUM(D3:D4)</f>
        <v>138.76</v>
      </c>
      <c r="E5" s="62">
        <f t="shared" si="1"/>
        <v>987.69</v>
      </c>
      <c r="F5" s="62">
        <f t="shared" si="1"/>
        <v>0</v>
      </c>
      <c r="G5" s="62">
        <f t="shared" si="1"/>
        <v>1431.28</v>
      </c>
      <c r="H5" s="62">
        <f t="shared" si="1"/>
        <v>629.91000000000008</v>
      </c>
      <c r="I5" s="62">
        <f t="shared" si="1"/>
        <v>8110.67</v>
      </c>
      <c r="J5" s="62">
        <f t="shared" si="1"/>
        <v>476.84000000000003</v>
      </c>
      <c r="K5" s="62">
        <f t="shared" si="1"/>
        <v>447.46</v>
      </c>
      <c r="L5" s="62">
        <f t="shared" si="1"/>
        <v>2920.65</v>
      </c>
      <c r="M5" s="62">
        <f t="shared" si="1"/>
        <v>2739.09</v>
      </c>
      <c r="N5" s="62">
        <f t="shared" si="1"/>
        <v>791818.17999999993</v>
      </c>
      <c r="O5" s="62">
        <f t="shared" si="1"/>
        <v>820239.19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33500</v>
      </c>
      <c r="K28" s="34">
        <f>$N28*0.4</f>
        <v>134000</v>
      </c>
      <c r="L28" s="34">
        <f>$N28*0.35</f>
        <v>117249.99999999999</v>
      </c>
      <c r="M28" s="34">
        <f>$N28*0.15</f>
        <v>50250</v>
      </c>
      <c r="N28" s="34">
        <f>N4</f>
        <v>335000</v>
      </c>
      <c r="O28" s="8"/>
      <c r="P28" s="9">
        <f>VLOOKUP(H28,starratio3,4,FALSE)</f>
        <v>0</v>
      </c>
    </row>
    <row r="29" spans="1:36" ht="21.95" customHeight="1" x14ac:dyDescent="0.2">
      <c r="A29" s="262"/>
      <c r="B29" s="262"/>
      <c r="C29" s="263" t="s">
        <v>31</v>
      </c>
      <c r="D29" s="263"/>
      <c r="E29" s="263"/>
      <c r="F29" s="263"/>
      <c r="G29" s="263"/>
      <c r="H29" s="263"/>
      <c r="I29" s="263"/>
      <c r="J29" s="34">
        <f>SUM(J25:J28)</f>
        <v>33500</v>
      </c>
      <c r="K29" s="34">
        <f>SUM(K25:K28)</f>
        <v>134000</v>
      </c>
      <c r="L29" s="34">
        <f>SUM(L25:L28)</f>
        <v>117249.99999999999</v>
      </c>
      <c r="M29" s="34">
        <f>SUM(M25:M28)</f>
        <v>50250</v>
      </c>
      <c r="N29" s="34">
        <f>SUM(N25:N28)</f>
        <v>335000</v>
      </c>
      <c r="O29" s="8"/>
      <c r="P29" s="9"/>
    </row>
    <row r="30" spans="1:36" ht="21.95" customHeight="1" x14ac:dyDescent="0.2">
      <c r="A30" s="262"/>
      <c r="B30" s="263" t="s">
        <v>44</v>
      </c>
      <c r="C30" s="263"/>
      <c r="D30" s="263"/>
      <c r="E30" s="263"/>
      <c r="F30" s="263"/>
      <c r="G30" s="263"/>
      <c r="H30" s="263"/>
      <c r="I30" s="263"/>
      <c r="J30" s="34">
        <f>J29</f>
        <v>33500</v>
      </c>
      <c r="K30" s="34">
        <f t="shared" ref="K30:N30" si="9">K29</f>
        <v>134000</v>
      </c>
      <c r="L30" s="34">
        <f t="shared" si="9"/>
        <v>117249.99999999999</v>
      </c>
      <c r="M30" s="34">
        <f t="shared" si="9"/>
        <v>50250</v>
      </c>
      <c r="N30" s="34">
        <f t="shared" si="9"/>
        <v>335000</v>
      </c>
      <c r="O30" s="8"/>
      <c r="Q30" s="10"/>
      <c r="Z30" s="11"/>
      <c r="AC30" s="12"/>
      <c r="AD30" s="13"/>
    </row>
    <row r="31" spans="1:36" ht="21.95" customHeight="1" x14ac:dyDescent="0.2">
      <c r="A31" s="261" t="s">
        <v>45</v>
      </c>
      <c r="B31" s="261"/>
      <c r="C31" s="261"/>
      <c r="D31" s="261"/>
      <c r="E31" s="261"/>
      <c r="F31" s="261"/>
      <c r="G31" s="261"/>
      <c r="H31" s="261"/>
      <c r="I31" s="261"/>
      <c r="J31" s="34">
        <f>J24+J30</f>
        <v>79181.817999999999</v>
      </c>
      <c r="K31" s="34">
        <f>K24+K30</f>
        <v>316727.272</v>
      </c>
      <c r="L31" s="34">
        <f>L24+L30</f>
        <v>277136.36299999995</v>
      </c>
      <c r="M31" s="34">
        <f>M24+M30</f>
        <v>118772.727</v>
      </c>
      <c r="N31" s="34">
        <f>N24+N30</f>
        <v>791818.17999999993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6080</v>
      </c>
      <c r="L32" s="34"/>
      <c r="M32" s="34"/>
      <c r="N32" s="34">
        <f>ROUND($C$3*P32,2)</f>
        <v>6080</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6080</v>
      </c>
      <c r="L36" s="34">
        <f>SUM(L32:L35)</f>
        <v>0</v>
      </c>
      <c r="M36" s="34">
        <f>SUM(M32:M35)</f>
        <v>0</v>
      </c>
      <c r="N36" s="34">
        <f>SUM(N32:N35)</f>
        <v>6080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6080</v>
      </c>
      <c r="L37" s="34">
        <f t="shared" si="11"/>
        <v>0</v>
      </c>
      <c r="M37" s="34">
        <f t="shared" si="11"/>
        <v>0</v>
      </c>
      <c r="N37" s="34">
        <f t="shared" si="11"/>
        <v>6080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4458.66</v>
      </c>
      <c r="L38" s="34"/>
      <c r="M38" s="34"/>
      <c r="N38" s="34">
        <f>ROUND($C$4*P38,2)</f>
        <v>4458.66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4458.66</v>
      </c>
      <c r="L42" s="34">
        <f>SUM(L38:L41)</f>
        <v>0</v>
      </c>
      <c r="M42" s="34">
        <f>SUM(M38:M41)</f>
        <v>0</v>
      </c>
      <c r="N42" s="34">
        <f>SUM(N38:N41)</f>
        <v>4458.66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4458.66</v>
      </c>
      <c r="L43" s="34">
        <f t="shared" si="13"/>
        <v>0</v>
      </c>
      <c r="M43" s="34">
        <f t="shared" si="13"/>
        <v>0</v>
      </c>
      <c r="N43" s="34">
        <f t="shared" si="13"/>
        <v>4458.66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10538.66</v>
      </c>
      <c r="L44" s="34">
        <f>L37+L43</f>
        <v>0</v>
      </c>
      <c r="M44" s="34">
        <f>M37+M43</f>
        <v>0</v>
      </c>
      <c r="N44" s="34">
        <f>N37+N43</f>
        <v>10538.66</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1684.99</v>
      </c>
      <c r="L47" s="34"/>
      <c r="M47" s="34"/>
      <c r="N47" s="34">
        <f>ROUND($L$3*P47,2)</f>
        <v>1684.99</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1580.2499999999982</v>
      </c>
      <c r="L48" s="34"/>
      <c r="M48" s="34"/>
      <c r="N48" s="34">
        <f>M3-SUM(N10,N21,N35)</f>
        <v>1580.2499999999982</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3265.239999999998</v>
      </c>
      <c r="L49" s="34">
        <f>SUM(L45:L48)</f>
        <v>0</v>
      </c>
      <c r="M49" s="34">
        <f>SUM(M45:M48)</f>
        <v>0</v>
      </c>
      <c r="N49" s="34">
        <f>SUM(N45:N48)</f>
        <v>3265.239999999998</v>
      </c>
      <c r="O49" s="8"/>
      <c r="P49" s="9"/>
    </row>
    <row r="50" spans="1:36" ht="21.95" customHeight="1" x14ac:dyDescent="0.2">
      <c r="A50" s="262"/>
      <c r="B50" s="261" t="s">
        <v>60</v>
      </c>
      <c r="C50" s="261"/>
      <c r="D50" s="261"/>
      <c r="E50" s="261"/>
      <c r="F50" s="261"/>
      <c r="G50" s="261"/>
      <c r="H50" s="261"/>
      <c r="I50" s="261"/>
      <c r="J50" s="34">
        <f>J49</f>
        <v>0</v>
      </c>
      <c r="K50" s="34">
        <f t="shared" ref="K50:N50" si="15">K49</f>
        <v>3265.239999999998</v>
      </c>
      <c r="L50" s="34">
        <f t="shared" si="15"/>
        <v>0</v>
      </c>
      <c r="M50" s="34">
        <f t="shared" si="15"/>
        <v>0</v>
      </c>
      <c r="N50" s="34">
        <f t="shared" si="15"/>
        <v>3265.239999999998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1235.6600000000001</v>
      </c>
      <c r="L53" s="34"/>
      <c r="M53" s="34"/>
      <c r="N53" s="34">
        <f>ROUND($L$4*P53,2)</f>
        <v>1235.6600000000001</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1158.840000000002</v>
      </c>
      <c r="L54" s="34"/>
      <c r="M54" s="34"/>
      <c r="N54" s="34">
        <f>M4-SUM(N15,N27,N41)</f>
        <v>1158.840000000002</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2394.5000000000018</v>
      </c>
      <c r="L55" s="34">
        <f>SUM(L51:L54)</f>
        <v>0</v>
      </c>
      <c r="M55" s="34">
        <f>SUM(M51:M54)</f>
        <v>0</v>
      </c>
      <c r="N55" s="34">
        <f>SUM(N51:N54)</f>
        <v>2394.5000000000018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2394.5000000000018</v>
      </c>
      <c r="L56" s="34">
        <f t="shared" si="17"/>
        <v>0</v>
      </c>
      <c r="M56" s="34">
        <f t="shared" si="17"/>
        <v>0</v>
      </c>
      <c r="N56" s="34">
        <f t="shared" si="17"/>
        <v>2394.5000000000018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5659.74</v>
      </c>
      <c r="L57" s="34">
        <f>L50+L56</f>
        <v>0</v>
      </c>
      <c r="M57" s="34">
        <f>M50+M56</f>
        <v>0</v>
      </c>
      <c r="N57" s="34">
        <f>N50+N56</f>
        <v>5659.74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80.05</v>
      </c>
      <c r="L59" s="34"/>
      <c r="M59" s="34"/>
      <c r="N59" s="34">
        <f>D3</f>
        <v>80.05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569.82000000000005</v>
      </c>
      <c r="L60" s="34"/>
      <c r="M60" s="34"/>
      <c r="N60" s="34">
        <f>E3</f>
        <v>569.82000000000005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825.74</v>
      </c>
      <c r="L61" s="34"/>
      <c r="M61" s="34"/>
      <c r="N61" s="34">
        <f>G3-SUM(N9,N20,N33,N46)</f>
        <v>825.74</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363.41</v>
      </c>
      <c r="L62" s="34"/>
      <c r="M62" s="34"/>
      <c r="N62" s="34">
        <f>H3</f>
        <v>363.41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4679.2299999999996</v>
      </c>
      <c r="L63" s="34"/>
      <c r="M63" s="34"/>
      <c r="N63" s="34">
        <f>I3</f>
        <v>4679.2299999999996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275.10000000000002</v>
      </c>
      <c r="L64" s="34"/>
      <c r="M64" s="34"/>
      <c r="N64" s="34">
        <f>J3</f>
        <v>275.10000000000002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258.14999999999998</v>
      </c>
      <c r="L66" s="34"/>
      <c r="M66" s="34"/>
      <c r="N66" s="34">
        <f>K3</f>
        <v>258.14999999999998</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7051.5</v>
      </c>
      <c r="L68" s="34">
        <f>SUM(L58:L67)</f>
        <v>0</v>
      </c>
      <c r="M68" s="34">
        <f>SUM(M58:M67)</f>
        <v>0</v>
      </c>
      <c r="N68" s="34">
        <f>SUM(N58:N67)</f>
        <v>7051.5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7051.5</v>
      </c>
      <c r="L69" s="34">
        <f t="shared" si="20"/>
        <v>0</v>
      </c>
      <c r="M69" s="34">
        <f t="shared" si="20"/>
        <v>0</v>
      </c>
      <c r="N69" s="34">
        <f t="shared" si="20"/>
        <v>7051.5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58.71</v>
      </c>
      <c r="L71" s="34"/>
      <c r="M71" s="34"/>
      <c r="N71" s="34">
        <f>D4</f>
        <v>58.71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417.87</v>
      </c>
      <c r="L72" s="34"/>
      <c r="M72" s="34"/>
      <c r="N72" s="34">
        <f>E4</f>
        <v>417.87</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605.54</v>
      </c>
      <c r="L73" s="34"/>
      <c r="M73" s="34"/>
      <c r="N73" s="34">
        <f>G4-SUM(N14,N26,N39,N52)</f>
        <v>605.54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266.5</v>
      </c>
      <c r="L74" s="34"/>
      <c r="M74" s="34"/>
      <c r="N74" s="34">
        <f>H4</f>
        <v>266.5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3431.44</v>
      </c>
      <c r="L75" s="34"/>
      <c r="M75" s="34"/>
      <c r="N75" s="34">
        <f>I4</f>
        <v>3431.44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201.74</v>
      </c>
      <c r="L76" s="34"/>
      <c r="M76" s="34"/>
      <c r="N76" s="34">
        <f>J4</f>
        <v>201.74</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189.31</v>
      </c>
      <c r="L78" s="34"/>
      <c r="M78" s="34"/>
      <c r="N78" s="34">
        <f>K4</f>
        <v>189.31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5171.1099999999997</v>
      </c>
      <c r="L80" s="34">
        <f>SUM(L70:L79)</f>
        <v>0</v>
      </c>
      <c r="M80" s="34">
        <f>SUM(M70:M79)</f>
        <v>0</v>
      </c>
      <c r="N80" s="34">
        <f>SUM(N70:N79)</f>
        <v>5171.1099999999997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5171.1099999999997</v>
      </c>
      <c r="L81" s="34">
        <f t="shared" si="23"/>
        <v>0</v>
      </c>
      <c r="M81" s="34">
        <f t="shared" si="23"/>
        <v>0</v>
      </c>
      <c r="N81" s="34">
        <f t="shared" si="23"/>
        <v>5171.1099999999997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12222.61</v>
      </c>
      <c r="L82" s="34">
        <f>L69+L81</f>
        <v>0</v>
      </c>
      <c r="M82" s="34">
        <f>M69+M81</f>
        <v>0</v>
      </c>
      <c r="N82" s="34">
        <f>N69+N81</f>
        <v>12222.61</v>
      </c>
      <c r="O82" s="8"/>
      <c r="R82" s="14"/>
      <c r="Z82" s="15"/>
      <c r="AJ82" s="16"/>
    </row>
    <row r="83" spans="1:36" s="31" customFormat="1" ht="21.95" customHeight="1" x14ac:dyDescent="0.2">
      <c r="A83" s="275" t="s">
        <v>82</v>
      </c>
      <c r="B83" s="275"/>
      <c r="C83" s="275"/>
      <c r="D83" s="275"/>
      <c r="E83" s="275"/>
      <c r="F83" s="275"/>
      <c r="G83" s="275"/>
      <c r="H83" s="275"/>
      <c r="I83" s="275"/>
      <c r="J83" s="35">
        <f>J18+J31+J44+J57+J82</f>
        <v>79181.817999999999</v>
      </c>
      <c r="K83" s="35">
        <f>K18+K31+K44+K57+K82</f>
        <v>345148.28199999995</v>
      </c>
      <c r="L83" s="35">
        <f>L18+L31+L44+L57+L82</f>
        <v>277136.36299999995</v>
      </c>
      <c r="M83" s="35">
        <f>M18+M31+M44+M57+M82</f>
        <v>118772.727</v>
      </c>
      <c r="N83" s="38">
        <f>N18+N31+N44+N57+N82</f>
        <v>820239.19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96D165B-CEA1-44C1-9EE9-71B01027FDE4}">
          <x14:formula1>
            <xm:f>'2026 COB breakdown_Kris'!$A$5:$A$103</xm:f>
          </x14:formula1>
          <xm:sqref>A3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A41EC-89FC-488D-B5CC-7E061563A8AF}">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192</v>
      </c>
      <c r="B3" s="58" t="s">
        <v>158</v>
      </c>
      <c r="C3" s="59">
        <f>VLOOKUP($A3,COBTABLE,15, FALSE)</f>
        <v>6153.33</v>
      </c>
      <c r="D3" s="59">
        <f>VLOOKUP($A3,COBTABLE,16, FALSE)</f>
        <v>81.02</v>
      </c>
      <c r="E3" s="59">
        <f>VLOOKUP($A3,COBTABLE,17, FALSE)</f>
        <v>576.69000000000005</v>
      </c>
      <c r="F3" s="59">
        <f>VLOOKUP($A3,COBTABLE,18, FALSE)</f>
        <v>0</v>
      </c>
      <c r="G3" s="59">
        <f>VLOOKUP($A3,COBTABLE,19, FALSE)</f>
        <v>835.7</v>
      </c>
      <c r="H3" s="59">
        <f>VLOOKUP($A3,COBTABLE,20, FALSE)</f>
        <v>367.79</v>
      </c>
      <c r="I3" s="59">
        <f>VLOOKUP($A3,COBTABLE,21, FALSE)</f>
        <v>4735.67</v>
      </c>
      <c r="J3" s="59">
        <f>VLOOKUP($A3,COBTABLE,22, FALSE)</f>
        <v>278.41000000000003</v>
      </c>
      <c r="K3" s="59">
        <f>VLOOKUP($A3,COBTABLE,23, FALSE)</f>
        <v>261.27</v>
      </c>
      <c r="L3" s="59">
        <f>VLOOKUP($A3,COBTABLE,24, FALSE)</f>
        <v>1705.31</v>
      </c>
      <c r="M3" s="59">
        <f>VLOOKUP($A3,COBTABLE,25, FALSE)</f>
        <v>1599.3100000000031</v>
      </c>
      <c r="N3" s="60">
        <f>VLOOKUP($A3, countrygrant,2,FALSE)</f>
        <v>456818.18</v>
      </c>
      <c r="O3" s="92">
        <f>SUM(C3:N3)</f>
        <v>473412.68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6317.41</v>
      </c>
      <c r="D4" s="59">
        <f>VLOOKUP($A3,COBTABLE,28, FALSE)</f>
        <v>83.18</v>
      </c>
      <c r="E4" s="59">
        <f>VLOOKUP($A3,COBTABLE,29, FALSE)</f>
        <v>592.07000000000005</v>
      </c>
      <c r="F4" s="59">
        <f>VLOOKUP($A3,COBTABLE,30, FALSE)</f>
        <v>0</v>
      </c>
      <c r="G4" s="59">
        <f>VLOOKUP($A3,COBTABLE,31, FALSE)</f>
        <v>857.98</v>
      </c>
      <c r="H4" s="59">
        <f>VLOOKUP($A3,COBTABLE,32, FALSE)</f>
        <v>377.6</v>
      </c>
      <c r="I4" s="59">
        <f>VLOOKUP($A3,COBTABLE,33, FALSE)</f>
        <v>4861.95</v>
      </c>
      <c r="J4" s="59">
        <f>VLOOKUP($A3,COBTABLE,34, FALSE)</f>
        <v>285.83999999999997</v>
      </c>
      <c r="K4" s="59">
        <f>VLOOKUP($A3,COBTABLE,35, FALSE)</f>
        <v>268.23</v>
      </c>
      <c r="L4" s="59">
        <f>VLOOKUP($A3,COBTABLE,36, FALSE)</f>
        <v>1750.79</v>
      </c>
      <c r="M4" s="59">
        <f>VLOOKUP($A3,COBTABLE,37, FALSE)</f>
        <v>1641.9599999999991</v>
      </c>
      <c r="N4" s="60">
        <f>VLOOKUP($A3, countrygrant,3,FALSE)</f>
        <v>469000</v>
      </c>
      <c r="O4" s="92">
        <f t="shared" ref="O4" si="0">SUM(C4:N4)</f>
        <v>486037.01</v>
      </c>
      <c r="P4" s="28"/>
      <c r="Q4" s="28"/>
      <c r="R4" s="28"/>
      <c r="S4" s="28"/>
      <c r="T4" s="28"/>
      <c r="U4" s="28"/>
      <c r="V4" s="28"/>
      <c r="W4" s="28"/>
      <c r="X4" s="28"/>
      <c r="Y4" s="28"/>
      <c r="Z4" s="28"/>
      <c r="AA4" s="28"/>
      <c r="AB4" s="28"/>
      <c r="AC4" s="28"/>
    </row>
    <row r="5" spans="1:36" s="53" customFormat="1" ht="12" customHeight="1" x14ac:dyDescent="0.25">
      <c r="A5" s="278"/>
      <c r="B5" s="61" t="s">
        <v>156</v>
      </c>
      <c r="C5" s="62">
        <f>SUM(C3:C4)</f>
        <v>12470.74</v>
      </c>
      <c r="D5" s="62">
        <f t="shared" ref="D5:O5" si="1">SUM(D3:D4)</f>
        <v>164.2</v>
      </c>
      <c r="E5" s="62">
        <f t="shared" si="1"/>
        <v>1168.7600000000002</v>
      </c>
      <c r="F5" s="62">
        <f t="shared" si="1"/>
        <v>0</v>
      </c>
      <c r="G5" s="62">
        <f t="shared" si="1"/>
        <v>1693.68</v>
      </c>
      <c r="H5" s="62">
        <f t="shared" si="1"/>
        <v>745.3900000000001</v>
      </c>
      <c r="I5" s="62">
        <f t="shared" si="1"/>
        <v>9597.619999999999</v>
      </c>
      <c r="J5" s="62">
        <f t="shared" si="1"/>
        <v>564.25</v>
      </c>
      <c r="K5" s="62">
        <f t="shared" si="1"/>
        <v>529.5</v>
      </c>
      <c r="L5" s="62">
        <f t="shared" si="1"/>
        <v>3456.1</v>
      </c>
      <c r="M5" s="62">
        <f t="shared" si="1"/>
        <v>3241.2700000000023</v>
      </c>
      <c r="N5" s="62">
        <f t="shared" si="1"/>
        <v>925818.17999999993</v>
      </c>
      <c r="O5" s="62">
        <f t="shared" si="1"/>
        <v>959449.69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46900</v>
      </c>
      <c r="K28" s="34">
        <f>$N28*0.4</f>
        <v>187600</v>
      </c>
      <c r="L28" s="34">
        <f>$N28*0.35</f>
        <v>164150</v>
      </c>
      <c r="M28" s="34">
        <f>$N28*0.15</f>
        <v>70350</v>
      </c>
      <c r="N28" s="34">
        <f>N4</f>
        <v>469000</v>
      </c>
      <c r="O28" s="8"/>
      <c r="P28" s="9">
        <f>VLOOKUP(H28,starratio3,4,FALSE)</f>
        <v>0</v>
      </c>
    </row>
    <row r="29" spans="1:36" ht="21.95" customHeight="1" x14ac:dyDescent="0.2">
      <c r="A29" s="262"/>
      <c r="B29" s="262"/>
      <c r="C29" s="263" t="s">
        <v>31</v>
      </c>
      <c r="D29" s="263"/>
      <c r="E29" s="263"/>
      <c r="F29" s="263"/>
      <c r="G29" s="263"/>
      <c r="H29" s="263"/>
      <c r="I29" s="263"/>
      <c r="J29" s="34">
        <f>SUM(J25:J28)</f>
        <v>46900</v>
      </c>
      <c r="K29" s="34">
        <f>SUM(K25:K28)</f>
        <v>187600</v>
      </c>
      <c r="L29" s="34">
        <f>SUM(L25:L28)</f>
        <v>164150</v>
      </c>
      <c r="M29" s="34">
        <f>SUM(M25:M28)</f>
        <v>70350</v>
      </c>
      <c r="N29" s="34">
        <f>SUM(N25:N28)</f>
        <v>469000</v>
      </c>
      <c r="O29" s="8"/>
      <c r="P29" s="9"/>
    </row>
    <row r="30" spans="1:36" ht="21.95" customHeight="1" x14ac:dyDescent="0.2">
      <c r="A30" s="262"/>
      <c r="B30" s="263" t="s">
        <v>44</v>
      </c>
      <c r="C30" s="263"/>
      <c r="D30" s="263"/>
      <c r="E30" s="263"/>
      <c r="F30" s="263"/>
      <c r="G30" s="263"/>
      <c r="H30" s="263"/>
      <c r="I30" s="263"/>
      <c r="J30" s="34">
        <f>J29</f>
        <v>46900</v>
      </c>
      <c r="K30" s="34">
        <f t="shared" ref="K30:N30" si="9">K29</f>
        <v>187600</v>
      </c>
      <c r="L30" s="34">
        <f t="shared" si="9"/>
        <v>164150</v>
      </c>
      <c r="M30" s="34">
        <f t="shared" si="9"/>
        <v>70350</v>
      </c>
      <c r="N30" s="34">
        <f t="shared" si="9"/>
        <v>469000</v>
      </c>
      <c r="O30" s="8"/>
      <c r="Q30" s="10"/>
      <c r="Z30" s="11"/>
      <c r="AC30" s="12"/>
      <c r="AD30" s="13"/>
    </row>
    <row r="31" spans="1:36" ht="21.95" customHeight="1" x14ac:dyDescent="0.2">
      <c r="A31" s="261" t="s">
        <v>45</v>
      </c>
      <c r="B31" s="261"/>
      <c r="C31" s="261"/>
      <c r="D31" s="261"/>
      <c r="E31" s="261"/>
      <c r="F31" s="261"/>
      <c r="G31" s="261"/>
      <c r="H31" s="261"/>
      <c r="I31" s="261"/>
      <c r="J31" s="34">
        <f>J24+J30</f>
        <v>92581.817999999999</v>
      </c>
      <c r="K31" s="34">
        <f>K24+K30</f>
        <v>370327.272</v>
      </c>
      <c r="L31" s="34">
        <f>L24+L30</f>
        <v>324036.36300000001</v>
      </c>
      <c r="M31" s="34">
        <f>M24+M30</f>
        <v>138872.72700000001</v>
      </c>
      <c r="N31" s="34">
        <f>N24+N30</f>
        <v>925818.17999999993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6153.33</v>
      </c>
      <c r="L32" s="34"/>
      <c r="M32" s="34"/>
      <c r="N32" s="34">
        <f>ROUND($C$3*P32,2)</f>
        <v>6153.33</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6153.33</v>
      </c>
      <c r="L36" s="34">
        <f>SUM(L32:L35)</f>
        <v>0</v>
      </c>
      <c r="M36" s="34">
        <f>SUM(M32:M35)</f>
        <v>0</v>
      </c>
      <c r="N36" s="34">
        <f>SUM(N32:N35)</f>
        <v>6153.33</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6153.33</v>
      </c>
      <c r="L37" s="34">
        <f t="shared" si="11"/>
        <v>0</v>
      </c>
      <c r="M37" s="34">
        <f t="shared" si="11"/>
        <v>0</v>
      </c>
      <c r="N37" s="34">
        <f t="shared" si="11"/>
        <v>6153.33</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6317.41</v>
      </c>
      <c r="L38" s="34"/>
      <c r="M38" s="34"/>
      <c r="N38" s="34">
        <f>ROUND($C$4*P38,2)</f>
        <v>6317.41</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6317.41</v>
      </c>
      <c r="L42" s="34">
        <f>SUM(L38:L41)</f>
        <v>0</v>
      </c>
      <c r="M42" s="34">
        <f>SUM(M38:M41)</f>
        <v>0</v>
      </c>
      <c r="N42" s="34">
        <f>SUM(N38:N41)</f>
        <v>6317.41</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6317.41</v>
      </c>
      <c r="L43" s="34">
        <f t="shared" si="13"/>
        <v>0</v>
      </c>
      <c r="M43" s="34">
        <f t="shared" si="13"/>
        <v>0</v>
      </c>
      <c r="N43" s="34">
        <f t="shared" si="13"/>
        <v>6317.41</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12470.74</v>
      </c>
      <c r="L44" s="34">
        <f>L37+L43</f>
        <v>0</v>
      </c>
      <c r="M44" s="34">
        <f>M37+M43</f>
        <v>0</v>
      </c>
      <c r="N44" s="34">
        <f>N37+N43</f>
        <v>12470.74</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1705.31</v>
      </c>
      <c r="L47" s="34"/>
      <c r="M47" s="34"/>
      <c r="N47" s="34">
        <f>ROUND($L$3*P47,2)</f>
        <v>1705.31</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1599.3100000000031</v>
      </c>
      <c r="L48" s="34"/>
      <c r="M48" s="34"/>
      <c r="N48" s="34">
        <f>M3-SUM(N10,N21,N35)</f>
        <v>1599.3100000000031</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3304.6200000000031</v>
      </c>
      <c r="L49" s="34">
        <f>SUM(L45:L48)</f>
        <v>0</v>
      </c>
      <c r="M49" s="34">
        <f>SUM(M45:M48)</f>
        <v>0</v>
      </c>
      <c r="N49" s="34">
        <f>SUM(N45:N48)</f>
        <v>3304.6200000000031</v>
      </c>
      <c r="O49" s="8"/>
      <c r="P49" s="9"/>
    </row>
    <row r="50" spans="1:36" ht="21.95" customHeight="1" x14ac:dyDescent="0.2">
      <c r="A50" s="262"/>
      <c r="B50" s="261" t="s">
        <v>60</v>
      </c>
      <c r="C50" s="261"/>
      <c r="D50" s="261"/>
      <c r="E50" s="261"/>
      <c r="F50" s="261"/>
      <c r="G50" s="261"/>
      <c r="H50" s="261"/>
      <c r="I50" s="261"/>
      <c r="J50" s="34">
        <f>J49</f>
        <v>0</v>
      </c>
      <c r="K50" s="34">
        <f t="shared" ref="K50:N50" si="15">K49</f>
        <v>3304.6200000000031</v>
      </c>
      <c r="L50" s="34">
        <f t="shared" si="15"/>
        <v>0</v>
      </c>
      <c r="M50" s="34">
        <f t="shared" si="15"/>
        <v>0</v>
      </c>
      <c r="N50" s="34">
        <f t="shared" si="15"/>
        <v>3304.6200000000031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1750.79</v>
      </c>
      <c r="L53" s="34"/>
      <c r="M53" s="34"/>
      <c r="N53" s="34">
        <f>ROUND($L$4*P53,2)</f>
        <v>1750.79</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1641.9599999999991</v>
      </c>
      <c r="L54" s="34"/>
      <c r="M54" s="34"/>
      <c r="N54" s="34">
        <f>M4-SUM(N15,N27,N41)</f>
        <v>1641.9599999999991</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3392.7499999999991</v>
      </c>
      <c r="L55" s="34">
        <f>SUM(L51:L54)</f>
        <v>0</v>
      </c>
      <c r="M55" s="34">
        <f>SUM(M51:M54)</f>
        <v>0</v>
      </c>
      <c r="N55" s="34">
        <f>SUM(N51:N54)</f>
        <v>3392.7499999999991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3392.7499999999991</v>
      </c>
      <c r="L56" s="34">
        <f t="shared" si="17"/>
        <v>0</v>
      </c>
      <c r="M56" s="34">
        <f t="shared" si="17"/>
        <v>0</v>
      </c>
      <c r="N56" s="34">
        <f t="shared" si="17"/>
        <v>3392.7499999999991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6697.3700000000026</v>
      </c>
      <c r="L57" s="34">
        <f>L50+L56</f>
        <v>0</v>
      </c>
      <c r="M57" s="34">
        <f>M50+M56</f>
        <v>0</v>
      </c>
      <c r="N57" s="34">
        <f>N50+N56</f>
        <v>6697.3700000000026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81.02</v>
      </c>
      <c r="L59" s="34"/>
      <c r="M59" s="34"/>
      <c r="N59" s="34">
        <f>D3</f>
        <v>81.02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576.69000000000005</v>
      </c>
      <c r="L60" s="34"/>
      <c r="M60" s="34"/>
      <c r="N60" s="34">
        <f>E3</f>
        <v>576.69000000000005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835.7</v>
      </c>
      <c r="L61" s="34"/>
      <c r="M61" s="34"/>
      <c r="N61" s="34">
        <f>G3-SUM(N9,N20,N33,N46)</f>
        <v>835.7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367.79</v>
      </c>
      <c r="L62" s="34"/>
      <c r="M62" s="34"/>
      <c r="N62" s="34">
        <f>H3</f>
        <v>367.79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4735.67</v>
      </c>
      <c r="L63" s="34"/>
      <c r="M63" s="34"/>
      <c r="N63" s="34">
        <f>I3</f>
        <v>4735.67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278.41000000000003</v>
      </c>
      <c r="L64" s="34"/>
      <c r="M64" s="34"/>
      <c r="N64" s="34">
        <f>J3</f>
        <v>278.41000000000003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261.27</v>
      </c>
      <c r="L66" s="34"/>
      <c r="M66" s="34"/>
      <c r="N66" s="34">
        <f>K3</f>
        <v>261.27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7136.5499999999993</v>
      </c>
      <c r="L68" s="34">
        <f>SUM(L58:L67)</f>
        <v>0</v>
      </c>
      <c r="M68" s="34">
        <f>SUM(M58:M67)</f>
        <v>0</v>
      </c>
      <c r="N68" s="34">
        <f>SUM(N58:N67)</f>
        <v>7136.5499999999993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7136.5499999999993</v>
      </c>
      <c r="L69" s="34">
        <f t="shared" si="20"/>
        <v>0</v>
      </c>
      <c r="M69" s="34">
        <f t="shared" si="20"/>
        <v>0</v>
      </c>
      <c r="N69" s="34">
        <f t="shared" si="20"/>
        <v>7136.5499999999993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83.18</v>
      </c>
      <c r="L71" s="34"/>
      <c r="M71" s="34"/>
      <c r="N71" s="34">
        <f>D4</f>
        <v>83.18</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592.07000000000005</v>
      </c>
      <c r="L72" s="34"/>
      <c r="M72" s="34"/>
      <c r="N72" s="34">
        <f>E4</f>
        <v>592.07000000000005</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857.98</v>
      </c>
      <c r="L73" s="34"/>
      <c r="M73" s="34"/>
      <c r="N73" s="34">
        <f>G4-SUM(N14,N26,N39,N52)</f>
        <v>857.98</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377.6</v>
      </c>
      <c r="L74" s="34"/>
      <c r="M74" s="34"/>
      <c r="N74" s="34">
        <f>H4</f>
        <v>377.6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4861.95</v>
      </c>
      <c r="L75" s="34"/>
      <c r="M75" s="34"/>
      <c r="N75" s="34">
        <f>I4</f>
        <v>4861.95</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285.83999999999997</v>
      </c>
      <c r="L76" s="34"/>
      <c r="M76" s="34"/>
      <c r="N76" s="34">
        <f>J4</f>
        <v>285.83999999999997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268.23</v>
      </c>
      <c r="L78" s="34"/>
      <c r="M78" s="34"/>
      <c r="N78" s="34">
        <f>K4</f>
        <v>268.23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7326.85</v>
      </c>
      <c r="L80" s="34">
        <f>SUM(L70:L79)</f>
        <v>0</v>
      </c>
      <c r="M80" s="34">
        <f>SUM(M70:M79)</f>
        <v>0</v>
      </c>
      <c r="N80" s="34">
        <f>SUM(N70:N79)</f>
        <v>7326.85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7326.85</v>
      </c>
      <c r="L81" s="34">
        <f t="shared" si="23"/>
        <v>0</v>
      </c>
      <c r="M81" s="34">
        <f t="shared" si="23"/>
        <v>0</v>
      </c>
      <c r="N81" s="34">
        <f t="shared" si="23"/>
        <v>7326.85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14463.4</v>
      </c>
      <c r="L82" s="34">
        <f>L69+L81</f>
        <v>0</v>
      </c>
      <c r="M82" s="34">
        <f>M69+M81</f>
        <v>0</v>
      </c>
      <c r="N82" s="34">
        <f>N69+N81</f>
        <v>14463.4</v>
      </c>
      <c r="O82" s="8"/>
      <c r="R82" s="14"/>
      <c r="Z82" s="15"/>
      <c r="AJ82" s="16"/>
    </row>
    <row r="83" spans="1:36" s="31" customFormat="1" ht="21.95" customHeight="1" x14ac:dyDescent="0.2">
      <c r="A83" s="275" t="s">
        <v>82</v>
      </c>
      <c r="B83" s="275"/>
      <c r="C83" s="275"/>
      <c r="D83" s="275"/>
      <c r="E83" s="275"/>
      <c r="F83" s="275"/>
      <c r="G83" s="275"/>
      <c r="H83" s="275"/>
      <c r="I83" s="275"/>
      <c r="J83" s="35">
        <f>J18+J31+J44+J57+J82</f>
        <v>92581.817999999999</v>
      </c>
      <c r="K83" s="35">
        <f>K18+K31+K44+K57+K82</f>
        <v>403958.78200000001</v>
      </c>
      <c r="L83" s="35">
        <f>L18+L31+L44+L57+L82</f>
        <v>324036.36300000001</v>
      </c>
      <c r="M83" s="35">
        <f>M18+M31+M44+M57+M82</f>
        <v>138872.72700000001</v>
      </c>
      <c r="N83" s="38">
        <f>N18+N31+N44+N57+N82</f>
        <v>959449.69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AB6DFA1-C015-413D-B618-34FC99E28CF4}">
          <x14:formula1>
            <xm:f>'2026 COB breakdown_Kris'!$A$5:$A$103</xm:f>
          </x14:formula1>
          <xm:sqref>A3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F8202-A3AE-4C99-85C8-E2A19362237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193</v>
      </c>
      <c r="B3" s="58" t="s">
        <v>158</v>
      </c>
      <c r="C3" s="59">
        <f>VLOOKUP($A3,COBTABLE,15, FALSE)</f>
        <v>7348.39</v>
      </c>
      <c r="D3" s="59">
        <f>VLOOKUP($A3,COBTABLE,16, FALSE)</f>
        <v>96.75</v>
      </c>
      <c r="E3" s="59">
        <f>VLOOKUP($A3,COBTABLE,17, FALSE)</f>
        <v>688.7</v>
      </c>
      <c r="F3" s="59">
        <f>VLOOKUP($A3,COBTABLE,18, FALSE)</f>
        <v>0</v>
      </c>
      <c r="G3" s="59">
        <f>VLOOKUP($A3,COBTABLE,19, FALSE)</f>
        <v>998.01</v>
      </c>
      <c r="H3" s="59">
        <f>VLOOKUP($A3,COBTABLE,20, FALSE)</f>
        <v>439.22</v>
      </c>
      <c r="I3" s="59">
        <f>VLOOKUP($A3,COBTABLE,21, FALSE)</f>
        <v>5655.41</v>
      </c>
      <c r="J3" s="59">
        <f>VLOOKUP($A3,COBTABLE,22, FALSE)</f>
        <v>332.49</v>
      </c>
      <c r="K3" s="59">
        <f>VLOOKUP($A3,COBTABLE,23, FALSE)</f>
        <v>312.01</v>
      </c>
      <c r="L3" s="59">
        <f>VLOOKUP($A3,COBTABLE,24, FALSE)</f>
        <v>2036.51</v>
      </c>
      <c r="M3" s="59">
        <f>VLOOKUP($A3,COBTABLE,25, FALSE)</f>
        <v>1909.9100000000035</v>
      </c>
      <c r="N3" s="60">
        <f>VLOOKUP($A3, countrygrant,2,FALSE)</f>
        <v>456818.18</v>
      </c>
      <c r="O3" s="92">
        <f>SUM(C3:N3)</f>
        <v>476635.58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7348.39</v>
      </c>
      <c r="D5" s="62">
        <f t="shared" ref="D5:O5" si="1">SUM(D3:D4)</f>
        <v>96.75</v>
      </c>
      <c r="E5" s="62">
        <f t="shared" si="1"/>
        <v>688.7</v>
      </c>
      <c r="F5" s="62">
        <f t="shared" si="1"/>
        <v>0</v>
      </c>
      <c r="G5" s="62">
        <f t="shared" si="1"/>
        <v>998.01</v>
      </c>
      <c r="H5" s="62">
        <f t="shared" si="1"/>
        <v>439.22</v>
      </c>
      <c r="I5" s="62">
        <f t="shared" si="1"/>
        <v>5655.41</v>
      </c>
      <c r="J5" s="62">
        <f t="shared" si="1"/>
        <v>332.49</v>
      </c>
      <c r="K5" s="62">
        <f t="shared" si="1"/>
        <v>312.01</v>
      </c>
      <c r="L5" s="62">
        <f t="shared" si="1"/>
        <v>2036.51</v>
      </c>
      <c r="M5" s="62">
        <f t="shared" si="1"/>
        <v>1909.9100000000035</v>
      </c>
      <c r="N5" s="62">
        <f t="shared" si="1"/>
        <v>456818.18</v>
      </c>
      <c r="O5" s="62">
        <f t="shared" si="1"/>
        <v>476635.58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VLOOKUP(H28,starratio3,4,FALSE)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7348.39</v>
      </c>
      <c r="L32" s="34"/>
      <c r="M32" s="34"/>
      <c r="N32" s="34">
        <f>ROUND($C$3*P32,2)</f>
        <v>7348.39</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7348.39</v>
      </c>
      <c r="L36" s="34">
        <f>SUM(L32:L35)</f>
        <v>0</v>
      </c>
      <c r="M36" s="34">
        <f>SUM(M32:M35)</f>
        <v>0</v>
      </c>
      <c r="N36" s="34">
        <f>SUM(N32:N35)</f>
        <v>7348.39</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7348.39</v>
      </c>
      <c r="L37" s="34">
        <f t="shared" si="11"/>
        <v>0</v>
      </c>
      <c r="M37" s="34">
        <f t="shared" si="11"/>
        <v>0</v>
      </c>
      <c r="N37" s="34">
        <f t="shared" si="11"/>
        <v>7348.39</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7348.39</v>
      </c>
      <c r="L44" s="34">
        <f>L37+L43</f>
        <v>0</v>
      </c>
      <c r="M44" s="34">
        <f>M37+M43</f>
        <v>0</v>
      </c>
      <c r="N44" s="34">
        <f>N37+N43</f>
        <v>7348.39</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2036.51</v>
      </c>
      <c r="L47" s="34"/>
      <c r="M47" s="34"/>
      <c r="N47" s="34">
        <f>ROUND($L$3*P47,2)</f>
        <v>2036.51</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1909.9100000000035</v>
      </c>
      <c r="L48" s="34"/>
      <c r="M48" s="34"/>
      <c r="N48" s="34">
        <f>M3-SUM(N10,N21,N35)</f>
        <v>1909.9100000000035</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3946.4200000000037</v>
      </c>
      <c r="L49" s="34">
        <f>SUM(L45:L48)</f>
        <v>0</v>
      </c>
      <c r="M49" s="34">
        <f>SUM(M45:M48)</f>
        <v>0</v>
      </c>
      <c r="N49" s="34">
        <f>SUM(N45:N48)</f>
        <v>3946.4200000000037</v>
      </c>
      <c r="O49" s="8"/>
      <c r="P49" s="9"/>
    </row>
    <row r="50" spans="1:36" ht="21.95" customHeight="1" x14ac:dyDescent="0.2">
      <c r="A50" s="262"/>
      <c r="B50" s="261" t="s">
        <v>60</v>
      </c>
      <c r="C50" s="261"/>
      <c r="D50" s="261"/>
      <c r="E50" s="261"/>
      <c r="F50" s="261"/>
      <c r="G50" s="261"/>
      <c r="H50" s="261"/>
      <c r="I50" s="261"/>
      <c r="J50" s="34">
        <f>J49</f>
        <v>0</v>
      </c>
      <c r="K50" s="34">
        <f t="shared" ref="K50:N50" si="15">K49</f>
        <v>3946.4200000000037</v>
      </c>
      <c r="L50" s="34">
        <f t="shared" si="15"/>
        <v>0</v>
      </c>
      <c r="M50" s="34">
        <f t="shared" si="15"/>
        <v>0</v>
      </c>
      <c r="N50" s="34">
        <f t="shared" si="15"/>
        <v>3946.4200000000037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3946.4200000000037</v>
      </c>
      <c r="L57" s="34">
        <f>L50+L56</f>
        <v>0</v>
      </c>
      <c r="M57" s="34">
        <f>M50+M56</f>
        <v>0</v>
      </c>
      <c r="N57" s="34">
        <f>N50+N56</f>
        <v>3946.4200000000037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96.75</v>
      </c>
      <c r="L59" s="34"/>
      <c r="M59" s="34"/>
      <c r="N59" s="34">
        <f>D3</f>
        <v>96.75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688.7</v>
      </c>
      <c r="L60" s="34"/>
      <c r="M60" s="34"/>
      <c r="N60" s="34">
        <f>E3</f>
        <v>688.7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998.01</v>
      </c>
      <c r="L61" s="34"/>
      <c r="M61" s="34"/>
      <c r="N61" s="34">
        <f>G3-SUM(N9,N20,N33,N46)</f>
        <v>998.01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439.22</v>
      </c>
      <c r="L62" s="34"/>
      <c r="M62" s="34"/>
      <c r="N62" s="34">
        <f>H3</f>
        <v>439.22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5655.41</v>
      </c>
      <c r="L63" s="34"/>
      <c r="M63" s="34"/>
      <c r="N63" s="34">
        <f>I3</f>
        <v>5655.41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332.49</v>
      </c>
      <c r="L64" s="34"/>
      <c r="M64" s="34"/>
      <c r="N64" s="34">
        <f>J3</f>
        <v>332.49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312.01</v>
      </c>
      <c r="L66" s="34"/>
      <c r="M66" s="34"/>
      <c r="N66" s="34">
        <f>K3</f>
        <v>312.01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8522.59</v>
      </c>
      <c r="L68" s="34">
        <f>SUM(L58:L67)</f>
        <v>0</v>
      </c>
      <c r="M68" s="34">
        <f>SUM(M58:M67)</f>
        <v>0</v>
      </c>
      <c r="N68" s="34">
        <f>SUM(N58:N67)</f>
        <v>8522.59</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8522.59</v>
      </c>
      <c r="L69" s="34">
        <f t="shared" si="20"/>
        <v>0</v>
      </c>
      <c r="M69" s="34">
        <f t="shared" si="20"/>
        <v>0</v>
      </c>
      <c r="N69" s="34">
        <f t="shared" si="20"/>
        <v>8522.59</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8522.59</v>
      </c>
      <c r="L82" s="34">
        <f>L69+L81</f>
        <v>0</v>
      </c>
      <c r="M82" s="34">
        <f>M69+M81</f>
        <v>0</v>
      </c>
      <c r="N82" s="34">
        <f>N69+N81</f>
        <v>8522.59</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202544.67200000002</v>
      </c>
      <c r="L83" s="35">
        <f>L18+L31+L44+L57+L82</f>
        <v>159886.36299999998</v>
      </c>
      <c r="M83" s="35">
        <f>M18+M31+M44+M57+M82</f>
        <v>68522.726999999999</v>
      </c>
      <c r="N83" s="38">
        <f>N18+N31+N44+N57+N82</f>
        <v>476635.58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BB246CA-A7EA-4D22-8496-A8A67DFD1F9F}">
          <x14:formula1>
            <xm:f>'2026 COB breakdown_Kris'!$A$5:$A$103</xm:f>
          </x14:formula1>
          <xm:sqref>A3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6481D-B773-4601-B6C1-88AD25D4F0B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194</v>
      </c>
      <c r="B3" s="58" t="s">
        <v>158</v>
      </c>
      <c r="C3" s="59">
        <f>VLOOKUP($A3,COBTABLE,15, FALSE)</f>
        <v>5962.44</v>
      </c>
      <c r="D3" s="59">
        <f>VLOOKUP($A3,COBTABLE,16, FALSE)</f>
        <v>78.510000000000005</v>
      </c>
      <c r="E3" s="59">
        <f>VLOOKUP($A3,COBTABLE,17, FALSE)</f>
        <v>558.79999999999995</v>
      </c>
      <c r="F3" s="59">
        <f>VLOOKUP($A3,COBTABLE,18, FALSE)</f>
        <v>0</v>
      </c>
      <c r="G3" s="59">
        <f>VLOOKUP($A3,COBTABLE,19, FALSE)</f>
        <v>809.78</v>
      </c>
      <c r="H3" s="59">
        <f>VLOOKUP($A3,COBTABLE,20, FALSE)</f>
        <v>356.38</v>
      </c>
      <c r="I3" s="59">
        <f>VLOOKUP($A3,COBTABLE,21, FALSE)</f>
        <v>4588.76</v>
      </c>
      <c r="J3" s="59">
        <f>VLOOKUP($A3,COBTABLE,22, FALSE)</f>
        <v>269.77999999999997</v>
      </c>
      <c r="K3" s="59">
        <f>VLOOKUP($A3,COBTABLE,23, FALSE)</f>
        <v>253.16</v>
      </c>
      <c r="L3" s="59">
        <f>VLOOKUP($A3,COBTABLE,24, FALSE)</f>
        <v>1652.41</v>
      </c>
      <c r="M3" s="59">
        <f>VLOOKUP($A3,COBTABLE,25, FALSE)</f>
        <v>1549.6899999999987</v>
      </c>
      <c r="N3" s="60">
        <f>VLOOKUP($A3, countrygrant,2,FALSE)</f>
        <v>456818.18</v>
      </c>
      <c r="O3" s="92">
        <f>SUM(C3:N3)</f>
        <v>472897.89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4372.46</v>
      </c>
      <c r="D4" s="59">
        <f>VLOOKUP($A3,COBTABLE,28, FALSE)</f>
        <v>57.57</v>
      </c>
      <c r="E4" s="59">
        <f>VLOOKUP($A3,COBTABLE,29, FALSE)</f>
        <v>409.79</v>
      </c>
      <c r="F4" s="59">
        <f>VLOOKUP($A3,COBTABLE,30, FALSE)</f>
        <v>0</v>
      </c>
      <c r="G4" s="59">
        <f>VLOOKUP($A3,COBTABLE,31, FALSE)</f>
        <v>593.83000000000004</v>
      </c>
      <c r="H4" s="59">
        <f>VLOOKUP($A3,COBTABLE,32, FALSE)</f>
        <v>261.35000000000002</v>
      </c>
      <c r="I4" s="59">
        <f>VLOOKUP($A3,COBTABLE,33, FALSE)</f>
        <v>3365.09</v>
      </c>
      <c r="J4" s="59">
        <f>VLOOKUP($A3,COBTABLE,34, FALSE)</f>
        <v>197.84</v>
      </c>
      <c r="K4" s="59">
        <f>VLOOKUP($A3,COBTABLE,35, FALSE)</f>
        <v>185.65</v>
      </c>
      <c r="L4" s="59">
        <f>VLOOKUP($A3,COBTABLE,36, FALSE)</f>
        <v>1211.77</v>
      </c>
      <c r="M4" s="59">
        <f>VLOOKUP($A3,COBTABLE,37, FALSE)</f>
        <v>1136.4400000000005</v>
      </c>
      <c r="N4" s="60">
        <f>VLOOKUP($A3, countrygrant,3,FALSE)</f>
        <v>335000</v>
      </c>
      <c r="O4" s="92">
        <f t="shared" ref="O4" si="0">SUM(C4:N4)</f>
        <v>346791.79</v>
      </c>
      <c r="P4" s="28"/>
      <c r="Q4" s="28"/>
      <c r="R4" s="28"/>
      <c r="S4" s="28"/>
      <c r="T4" s="28"/>
      <c r="U4" s="28"/>
      <c r="V4" s="28"/>
      <c r="W4" s="28"/>
      <c r="X4" s="28"/>
      <c r="Y4" s="28"/>
      <c r="Z4" s="28"/>
      <c r="AA4" s="28"/>
      <c r="AB4" s="28"/>
      <c r="AC4" s="28"/>
    </row>
    <row r="5" spans="1:36" s="53" customFormat="1" ht="12" customHeight="1" x14ac:dyDescent="0.25">
      <c r="A5" s="278"/>
      <c r="B5" s="61" t="s">
        <v>156</v>
      </c>
      <c r="C5" s="62">
        <f>SUM(C3:C4)</f>
        <v>10334.9</v>
      </c>
      <c r="D5" s="62">
        <f t="shared" ref="D5:O5" si="1">SUM(D3:D4)</f>
        <v>136.08000000000001</v>
      </c>
      <c r="E5" s="62">
        <f t="shared" si="1"/>
        <v>968.58999999999992</v>
      </c>
      <c r="F5" s="62">
        <f t="shared" si="1"/>
        <v>0</v>
      </c>
      <c r="G5" s="62">
        <f t="shared" si="1"/>
        <v>1403.6100000000001</v>
      </c>
      <c r="H5" s="62">
        <f t="shared" si="1"/>
        <v>617.73</v>
      </c>
      <c r="I5" s="62">
        <f t="shared" si="1"/>
        <v>7953.85</v>
      </c>
      <c r="J5" s="62">
        <f t="shared" si="1"/>
        <v>467.62</v>
      </c>
      <c r="K5" s="62">
        <f t="shared" si="1"/>
        <v>438.81</v>
      </c>
      <c r="L5" s="62">
        <f t="shared" si="1"/>
        <v>2864.1800000000003</v>
      </c>
      <c r="M5" s="62">
        <f t="shared" si="1"/>
        <v>2686.1299999999992</v>
      </c>
      <c r="N5" s="62">
        <f t="shared" si="1"/>
        <v>791818.17999999993</v>
      </c>
      <c r="O5" s="62">
        <f t="shared" si="1"/>
        <v>819689.67999999993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33500</v>
      </c>
      <c r="K28" s="34">
        <f>$N28*0.4</f>
        <v>134000</v>
      </c>
      <c r="L28" s="34">
        <f>$N28*0.35</f>
        <v>117249.99999999999</v>
      </c>
      <c r="M28" s="34">
        <f>$N28*0.15</f>
        <v>50250</v>
      </c>
      <c r="N28" s="34">
        <f>N4</f>
        <v>335000</v>
      </c>
      <c r="O28" s="8"/>
      <c r="P28" s="9">
        <f>VLOOKUP(H28,starratio3,4,FALSE)</f>
        <v>0</v>
      </c>
    </row>
    <row r="29" spans="1:36" ht="21.95" customHeight="1" x14ac:dyDescent="0.2">
      <c r="A29" s="262"/>
      <c r="B29" s="262"/>
      <c r="C29" s="263" t="s">
        <v>31</v>
      </c>
      <c r="D29" s="263"/>
      <c r="E29" s="263"/>
      <c r="F29" s="263"/>
      <c r="G29" s="263"/>
      <c r="H29" s="263"/>
      <c r="I29" s="263"/>
      <c r="J29" s="34">
        <f>SUM(J25:J28)</f>
        <v>33500</v>
      </c>
      <c r="K29" s="34">
        <f>SUM(K25:K28)</f>
        <v>134000</v>
      </c>
      <c r="L29" s="34">
        <f>SUM(L25:L28)</f>
        <v>117249.99999999999</v>
      </c>
      <c r="M29" s="34">
        <f>SUM(M25:M28)</f>
        <v>50250</v>
      </c>
      <c r="N29" s="34">
        <f>SUM(N25:N28)</f>
        <v>335000</v>
      </c>
      <c r="O29" s="8"/>
      <c r="P29" s="9"/>
    </row>
    <row r="30" spans="1:36" ht="21.95" customHeight="1" x14ac:dyDescent="0.2">
      <c r="A30" s="262"/>
      <c r="B30" s="263" t="s">
        <v>44</v>
      </c>
      <c r="C30" s="263"/>
      <c r="D30" s="263"/>
      <c r="E30" s="263"/>
      <c r="F30" s="263"/>
      <c r="G30" s="263"/>
      <c r="H30" s="263"/>
      <c r="I30" s="263"/>
      <c r="J30" s="34">
        <f>J29</f>
        <v>33500</v>
      </c>
      <c r="K30" s="34">
        <f t="shared" ref="K30:N30" si="9">K29</f>
        <v>134000</v>
      </c>
      <c r="L30" s="34">
        <f t="shared" si="9"/>
        <v>117249.99999999999</v>
      </c>
      <c r="M30" s="34">
        <f t="shared" si="9"/>
        <v>50250</v>
      </c>
      <c r="N30" s="34">
        <f t="shared" si="9"/>
        <v>335000</v>
      </c>
      <c r="O30" s="8"/>
      <c r="Q30" s="10"/>
      <c r="Z30" s="11"/>
      <c r="AC30" s="12"/>
      <c r="AD30" s="13"/>
    </row>
    <row r="31" spans="1:36" ht="21.95" customHeight="1" x14ac:dyDescent="0.2">
      <c r="A31" s="261" t="s">
        <v>45</v>
      </c>
      <c r="B31" s="261"/>
      <c r="C31" s="261"/>
      <c r="D31" s="261"/>
      <c r="E31" s="261"/>
      <c r="F31" s="261"/>
      <c r="G31" s="261"/>
      <c r="H31" s="261"/>
      <c r="I31" s="261"/>
      <c r="J31" s="34">
        <f>J24+J30</f>
        <v>79181.817999999999</v>
      </c>
      <c r="K31" s="34">
        <f>K24+K30</f>
        <v>316727.272</v>
      </c>
      <c r="L31" s="34">
        <f>L24+L30</f>
        <v>277136.36299999995</v>
      </c>
      <c r="M31" s="34">
        <f>M24+M30</f>
        <v>118772.727</v>
      </c>
      <c r="N31" s="34">
        <f>N24+N30</f>
        <v>791818.17999999993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5962.44</v>
      </c>
      <c r="L32" s="34"/>
      <c r="M32" s="34"/>
      <c r="N32" s="34">
        <f>ROUND($C$3*P32,2)</f>
        <v>5962.44</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5962.44</v>
      </c>
      <c r="L36" s="34">
        <f>SUM(L32:L35)</f>
        <v>0</v>
      </c>
      <c r="M36" s="34">
        <f>SUM(M32:M35)</f>
        <v>0</v>
      </c>
      <c r="N36" s="34">
        <f>SUM(N32:N35)</f>
        <v>5962.44</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5962.44</v>
      </c>
      <c r="L37" s="34">
        <f t="shared" si="11"/>
        <v>0</v>
      </c>
      <c r="M37" s="34">
        <f t="shared" si="11"/>
        <v>0</v>
      </c>
      <c r="N37" s="34">
        <f t="shared" si="11"/>
        <v>5962.44</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4372.46</v>
      </c>
      <c r="L38" s="34"/>
      <c r="M38" s="34"/>
      <c r="N38" s="34">
        <f>ROUND($C$4*P38,2)</f>
        <v>4372.46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4372.46</v>
      </c>
      <c r="L42" s="34">
        <f>SUM(L38:L41)</f>
        <v>0</v>
      </c>
      <c r="M42" s="34">
        <f>SUM(M38:M41)</f>
        <v>0</v>
      </c>
      <c r="N42" s="34">
        <f>SUM(N38:N41)</f>
        <v>4372.46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4372.46</v>
      </c>
      <c r="L43" s="34">
        <f t="shared" si="13"/>
        <v>0</v>
      </c>
      <c r="M43" s="34">
        <f t="shared" si="13"/>
        <v>0</v>
      </c>
      <c r="N43" s="34">
        <f t="shared" si="13"/>
        <v>4372.46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10334.9</v>
      </c>
      <c r="L44" s="34">
        <f>L37+L43</f>
        <v>0</v>
      </c>
      <c r="M44" s="34">
        <f>M37+M43</f>
        <v>0</v>
      </c>
      <c r="N44" s="34">
        <f>N37+N43</f>
        <v>10334.9</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1652.41</v>
      </c>
      <c r="L47" s="34"/>
      <c r="M47" s="34"/>
      <c r="N47" s="34">
        <f>ROUND($L$3*P47,2)</f>
        <v>1652.41</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1549.6899999999987</v>
      </c>
      <c r="L48" s="34"/>
      <c r="M48" s="34"/>
      <c r="N48" s="34">
        <f>M3-SUM(N10,N21,N35)</f>
        <v>1549.6899999999987</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3202.0999999999985</v>
      </c>
      <c r="L49" s="34">
        <f>SUM(L45:L48)</f>
        <v>0</v>
      </c>
      <c r="M49" s="34">
        <f>SUM(M45:M48)</f>
        <v>0</v>
      </c>
      <c r="N49" s="34">
        <f>SUM(N45:N48)</f>
        <v>3202.0999999999985</v>
      </c>
      <c r="O49" s="8"/>
      <c r="P49" s="9"/>
    </row>
    <row r="50" spans="1:36" ht="21.95" customHeight="1" x14ac:dyDescent="0.2">
      <c r="A50" s="262"/>
      <c r="B50" s="261" t="s">
        <v>60</v>
      </c>
      <c r="C50" s="261"/>
      <c r="D50" s="261"/>
      <c r="E50" s="261"/>
      <c r="F50" s="261"/>
      <c r="G50" s="261"/>
      <c r="H50" s="261"/>
      <c r="I50" s="261"/>
      <c r="J50" s="34">
        <f>J49</f>
        <v>0</v>
      </c>
      <c r="K50" s="34">
        <f t="shared" ref="K50:N50" si="15">K49</f>
        <v>3202.0999999999985</v>
      </c>
      <c r="L50" s="34">
        <f t="shared" si="15"/>
        <v>0</v>
      </c>
      <c r="M50" s="34">
        <f t="shared" si="15"/>
        <v>0</v>
      </c>
      <c r="N50" s="34">
        <f t="shared" si="15"/>
        <v>3202.0999999999985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1211.77</v>
      </c>
      <c r="L53" s="34"/>
      <c r="M53" s="34"/>
      <c r="N53" s="34">
        <f>ROUND($L$4*P53,2)</f>
        <v>1211.77</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1136.4400000000005</v>
      </c>
      <c r="L54" s="34"/>
      <c r="M54" s="34"/>
      <c r="N54" s="34">
        <f>M4-SUM(N15,N27,N41)</f>
        <v>1136.4400000000005</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2348.2100000000005</v>
      </c>
      <c r="L55" s="34">
        <f>SUM(L51:L54)</f>
        <v>0</v>
      </c>
      <c r="M55" s="34">
        <f>SUM(M51:M54)</f>
        <v>0</v>
      </c>
      <c r="N55" s="34">
        <f>SUM(N51:N54)</f>
        <v>2348.2100000000005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2348.2100000000005</v>
      </c>
      <c r="L56" s="34">
        <f t="shared" si="17"/>
        <v>0</v>
      </c>
      <c r="M56" s="34">
        <f t="shared" si="17"/>
        <v>0</v>
      </c>
      <c r="N56" s="34">
        <f t="shared" si="17"/>
        <v>2348.2100000000005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5550.3099999999995</v>
      </c>
      <c r="L57" s="34">
        <f>L50+L56</f>
        <v>0</v>
      </c>
      <c r="M57" s="34">
        <f>M50+M56</f>
        <v>0</v>
      </c>
      <c r="N57" s="34">
        <f>N50+N56</f>
        <v>5550.3099999999995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78.510000000000005</v>
      </c>
      <c r="L59" s="34"/>
      <c r="M59" s="34"/>
      <c r="N59" s="34">
        <f>D3</f>
        <v>78.510000000000005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558.79999999999995</v>
      </c>
      <c r="L60" s="34"/>
      <c r="M60" s="34"/>
      <c r="N60" s="34">
        <f>E3</f>
        <v>558.79999999999995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809.78</v>
      </c>
      <c r="L61" s="34"/>
      <c r="M61" s="34"/>
      <c r="N61" s="34">
        <f>G3-SUM(N9,N20,N33,N46)</f>
        <v>809.78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356.38</v>
      </c>
      <c r="L62" s="34"/>
      <c r="M62" s="34"/>
      <c r="N62" s="34">
        <f>H3</f>
        <v>356.38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4588.76</v>
      </c>
      <c r="L63" s="34"/>
      <c r="M63" s="34"/>
      <c r="N63" s="34">
        <f>I3</f>
        <v>4588.76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269.77999999999997</v>
      </c>
      <c r="L64" s="34"/>
      <c r="M64" s="34"/>
      <c r="N64" s="34">
        <f>J3</f>
        <v>269.77999999999997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253.16</v>
      </c>
      <c r="L66" s="34"/>
      <c r="M66" s="34"/>
      <c r="N66" s="34">
        <f>K3</f>
        <v>253.16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6915.1699999999992</v>
      </c>
      <c r="L68" s="34">
        <f>SUM(L58:L67)</f>
        <v>0</v>
      </c>
      <c r="M68" s="34">
        <f>SUM(M58:M67)</f>
        <v>0</v>
      </c>
      <c r="N68" s="34">
        <f>SUM(N58:N67)</f>
        <v>6915.1699999999992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6915.1699999999992</v>
      </c>
      <c r="L69" s="34">
        <f t="shared" si="20"/>
        <v>0</v>
      </c>
      <c r="M69" s="34">
        <f t="shared" si="20"/>
        <v>0</v>
      </c>
      <c r="N69" s="34">
        <f t="shared" si="20"/>
        <v>6915.1699999999992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57.57</v>
      </c>
      <c r="L71" s="34"/>
      <c r="M71" s="34"/>
      <c r="N71" s="34">
        <f>D4</f>
        <v>57.57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409.79</v>
      </c>
      <c r="L72" s="34"/>
      <c r="M72" s="34"/>
      <c r="N72" s="34">
        <f>E4</f>
        <v>409.79</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593.83000000000004</v>
      </c>
      <c r="L73" s="34"/>
      <c r="M73" s="34"/>
      <c r="N73" s="34">
        <f>G4-SUM(N14,N26,N39,N52)</f>
        <v>593.83000000000004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261.35000000000002</v>
      </c>
      <c r="L74" s="34"/>
      <c r="M74" s="34"/>
      <c r="N74" s="34">
        <f>H4</f>
        <v>261.35000000000002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3365.09</v>
      </c>
      <c r="L75" s="34"/>
      <c r="M75" s="34"/>
      <c r="N75" s="34">
        <f>I4</f>
        <v>3365.09</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197.84</v>
      </c>
      <c r="L76" s="34"/>
      <c r="M76" s="34"/>
      <c r="N76" s="34">
        <f>J4</f>
        <v>197.84</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185.65</v>
      </c>
      <c r="L78" s="34"/>
      <c r="M78" s="34"/>
      <c r="N78" s="34">
        <f>K4</f>
        <v>185.65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5071.12</v>
      </c>
      <c r="L80" s="34">
        <f>SUM(L70:L79)</f>
        <v>0</v>
      </c>
      <c r="M80" s="34">
        <f>SUM(M70:M79)</f>
        <v>0</v>
      </c>
      <c r="N80" s="34">
        <f>SUM(N70:N79)</f>
        <v>5071.12</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5071.12</v>
      </c>
      <c r="L81" s="34">
        <f t="shared" si="23"/>
        <v>0</v>
      </c>
      <c r="M81" s="34">
        <f t="shared" si="23"/>
        <v>0</v>
      </c>
      <c r="N81" s="34">
        <f t="shared" si="23"/>
        <v>5071.12</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11986.289999999999</v>
      </c>
      <c r="L82" s="34">
        <f>L69+L81</f>
        <v>0</v>
      </c>
      <c r="M82" s="34">
        <f>M69+M81</f>
        <v>0</v>
      </c>
      <c r="N82" s="34">
        <f>N69+N81</f>
        <v>11986.289999999999</v>
      </c>
      <c r="O82" s="8"/>
      <c r="R82" s="14"/>
      <c r="Z82" s="15"/>
      <c r="AJ82" s="16"/>
    </row>
    <row r="83" spans="1:36" s="31" customFormat="1" ht="21.95" customHeight="1" x14ac:dyDescent="0.2">
      <c r="A83" s="275" t="s">
        <v>82</v>
      </c>
      <c r="B83" s="275"/>
      <c r="C83" s="275"/>
      <c r="D83" s="275"/>
      <c r="E83" s="275"/>
      <c r="F83" s="275"/>
      <c r="G83" s="275"/>
      <c r="H83" s="275"/>
      <c r="I83" s="275"/>
      <c r="J83" s="35">
        <f>J18+J31+J44+J57+J82</f>
        <v>79181.817999999999</v>
      </c>
      <c r="K83" s="35">
        <f>K18+K31+K44+K57+K82</f>
        <v>344598.772</v>
      </c>
      <c r="L83" s="35">
        <f>L18+L31+L44+L57+L82</f>
        <v>277136.36299999995</v>
      </c>
      <c r="M83" s="35">
        <f>M18+M31+M44+M57+M82</f>
        <v>118772.727</v>
      </c>
      <c r="N83" s="38">
        <f>N18+N31+N44+N57+N82</f>
        <v>819689.68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A2E062-1AC6-4EF6-AB35-760110A10E03}">
          <x14:formula1>
            <xm:f>'2026 COB breakdown_Kris'!$A$5:$A$103</xm:f>
          </x14:formula1>
          <xm:sqref>A3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CCF2-F3D0-4212-98B7-E619D8E10B71}">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195</v>
      </c>
      <c r="B3" s="58" t="s">
        <v>158</v>
      </c>
      <c r="C3" s="59">
        <f>VLOOKUP($A3,COBTABLE,15, FALSE)</f>
        <v>5025.97</v>
      </c>
      <c r="D3" s="59">
        <f>VLOOKUP($A3,COBTABLE,16, FALSE)</f>
        <v>66.180000000000007</v>
      </c>
      <c r="E3" s="59">
        <f>VLOOKUP($A3,COBTABLE,17, FALSE)</f>
        <v>471.04</v>
      </c>
      <c r="F3" s="59">
        <f>VLOOKUP($A3,COBTABLE,18, FALSE)</f>
        <v>0</v>
      </c>
      <c r="G3" s="59">
        <f>VLOOKUP($A3,COBTABLE,19, FALSE)</f>
        <v>682.59</v>
      </c>
      <c r="H3" s="59">
        <f>VLOOKUP($A3,COBTABLE,20, FALSE)</f>
        <v>300.41000000000003</v>
      </c>
      <c r="I3" s="59">
        <f>VLOOKUP($A3,COBTABLE,21, FALSE)</f>
        <v>3868.05</v>
      </c>
      <c r="J3" s="59">
        <f>VLOOKUP($A3,COBTABLE,22, FALSE)</f>
        <v>227.41</v>
      </c>
      <c r="K3" s="59">
        <f>VLOOKUP($A3,COBTABLE,23, FALSE)</f>
        <v>213.4</v>
      </c>
      <c r="L3" s="59">
        <f>VLOOKUP($A3,COBTABLE,24, FALSE)</f>
        <v>1392.88</v>
      </c>
      <c r="M3" s="59">
        <f>VLOOKUP($A3,COBTABLE,25, FALSE)</f>
        <v>1306.2899999999991</v>
      </c>
      <c r="N3" s="60">
        <f>VLOOKUP($A3, countrygrant,2,FALSE)</f>
        <v>456818.18</v>
      </c>
      <c r="O3" s="92">
        <f>SUM(C3:N3)</f>
        <v>470372.39999999997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3317.14</v>
      </c>
      <c r="D4" s="59">
        <f>VLOOKUP($A3,COBTABLE,28, FALSE)</f>
        <v>43.68</v>
      </c>
      <c r="E4" s="59">
        <f>VLOOKUP($A3,COBTABLE,29, FALSE)</f>
        <v>310.88</v>
      </c>
      <c r="F4" s="59">
        <f>VLOOKUP($A3,COBTABLE,30, FALSE)</f>
        <v>0</v>
      </c>
      <c r="G4" s="59">
        <f>VLOOKUP($A3,COBTABLE,31, FALSE)</f>
        <v>450.51</v>
      </c>
      <c r="H4" s="59">
        <f>VLOOKUP($A3,COBTABLE,32, FALSE)</f>
        <v>198.27</v>
      </c>
      <c r="I4" s="59">
        <f>VLOOKUP($A3,COBTABLE,33, FALSE)</f>
        <v>2552.91</v>
      </c>
      <c r="J4" s="59">
        <f>VLOOKUP($A3,COBTABLE,34, FALSE)</f>
        <v>150.09</v>
      </c>
      <c r="K4" s="59">
        <f>VLOOKUP($A3,COBTABLE,35, FALSE)</f>
        <v>140.84</v>
      </c>
      <c r="L4" s="59">
        <f>VLOOKUP($A3,COBTABLE,36, FALSE)</f>
        <v>919.3</v>
      </c>
      <c r="M4" s="59">
        <f>VLOOKUP($A3,COBTABLE,37, FALSE)</f>
        <v>862.15999999999985</v>
      </c>
      <c r="N4" s="60">
        <f>VLOOKUP($A3, countrygrant,3,FALSE)</f>
        <v>301500</v>
      </c>
      <c r="O4" s="92">
        <f t="shared" ref="O4" si="0">SUM(C4:N4)</f>
        <v>310445.78000000003</v>
      </c>
      <c r="P4" s="28"/>
      <c r="Q4" s="28"/>
      <c r="R4" s="28"/>
      <c r="S4" s="28"/>
      <c r="T4" s="28"/>
      <c r="U4" s="28"/>
      <c r="V4" s="28"/>
      <c r="W4" s="28"/>
      <c r="X4" s="28"/>
      <c r="Y4" s="28"/>
      <c r="Z4" s="28"/>
      <c r="AA4" s="28"/>
      <c r="AB4" s="28"/>
      <c r="AC4" s="28"/>
    </row>
    <row r="5" spans="1:36" s="53" customFormat="1" ht="12" customHeight="1" x14ac:dyDescent="0.25">
      <c r="A5" s="278"/>
      <c r="B5" s="61" t="s">
        <v>156</v>
      </c>
      <c r="C5" s="62">
        <f>SUM(C3:C4)</f>
        <v>8343.11</v>
      </c>
      <c r="D5" s="62">
        <f t="shared" ref="D5:O5" si="1">SUM(D3:D4)</f>
        <v>109.86000000000001</v>
      </c>
      <c r="E5" s="62">
        <f t="shared" si="1"/>
        <v>781.92000000000007</v>
      </c>
      <c r="F5" s="62">
        <f t="shared" si="1"/>
        <v>0</v>
      </c>
      <c r="G5" s="62">
        <f t="shared" si="1"/>
        <v>1133.0999999999999</v>
      </c>
      <c r="H5" s="62">
        <f t="shared" si="1"/>
        <v>498.68000000000006</v>
      </c>
      <c r="I5" s="62">
        <f t="shared" si="1"/>
        <v>6420.96</v>
      </c>
      <c r="J5" s="62">
        <f t="shared" si="1"/>
        <v>377.5</v>
      </c>
      <c r="K5" s="62">
        <f t="shared" si="1"/>
        <v>354.24</v>
      </c>
      <c r="L5" s="62">
        <f t="shared" si="1"/>
        <v>2312.1800000000003</v>
      </c>
      <c r="M5" s="62">
        <f t="shared" si="1"/>
        <v>2168.4499999999989</v>
      </c>
      <c r="N5" s="62">
        <f t="shared" si="1"/>
        <v>758318.17999999993</v>
      </c>
      <c r="O5" s="62">
        <f t="shared" si="1"/>
        <v>780818.17999999993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30150</v>
      </c>
      <c r="K28" s="34">
        <f>$N28*0.4</f>
        <v>120600</v>
      </c>
      <c r="L28" s="34">
        <f>$N28*0.35</f>
        <v>105525</v>
      </c>
      <c r="M28" s="34">
        <f>$N28*0.15</f>
        <v>45225</v>
      </c>
      <c r="N28" s="34">
        <f>N4</f>
        <v>301500</v>
      </c>
      <c r="O28" s="8"/>
      <c r="P28" s="9">
        <f>VLOOKUP(H28,starratio3,4,FALSE)</f>
        <v>0</v>
      </c>
    </row>
    <row r="29" spans="1:36" ht="21.95" customHeight="1" x14ac:dyDescent="0.2">
      <c r="A29" s="262"/>
      <c r="B29" s="262"/>
      <c r="C29" s="263" t="s">
        <v>31</v>
      </c>
      <c r="D29" s="263"/>
      <c r="E29" s="263"/>
      <c r="F29" s="263"/>
      <c r="G29" s="263"/>
      <c r="H29" s="263"/>
      <c r="I29" s="263"/>
      <c r="J29" s="34">
        <f>SUM(J25:J28)</f>
        <v>30150</v>
      </c>
      <c r="K29" s="34">
        <f>SUM(K25:K28)</f>
        <v>120600</v>
      </c>
      <c r="L29" s="34">
        <f>SUM(L25:L28)</f>
        <v>105525</v>
      </c>
      <c r="M29" s="34">
        <f>SUM(M25:M28)</f>
        <v>45225</v>
      </c>
      <c r="N29" s="34">
        <f>SUM(N25:N28)</f>
        <v>301500</v>
      </c>
      <c r="O29" s="8"/>
      <c r="P29" s="9"/>
    </row>
    <row r="30" spans="1:36" ht="21.95" customHeight="1" x14ac:dyDescent="0.2">
      <c r="A30" s="262"/>
      <c r="B30" s="263" t="s">
        <v>44</v>
      </c>
      <c r="C30" s="263"/>
      <c r="D30" s="263"/>
      <c r="E30" s="263"/>
      <c r="F30" s="263"/>
      <c r="G30" s="263"/>
      <c r="H30" s="263"/>
      <c r="I30" s="263"/>
      <c r="J30" s="34">
        <f>J29</f>
        <v>30150</v>
      </c>
      <c r="K30" s="34">
        <f t="shared" ref="K30:N30" si="9">K29</f>
        <v>120600</v>
      </c>
      <c r="L30" s="34">
        <f t="shared" si="9"/>
        <v>105525</v>
      </c>
      <c r="M30" s="34">
        <f t="shared" si="9"/>
        <v>45225</v>
      </c>
      <c r="N30" s="34">
        <f t="shared" si="9"/>
        <v>301500</v>
      </c>
      <c r="O30" s="8"/>
      <c r="Q30" s="10"/>
      <c r="Z30" s="11"/>
      <c r="AC30" s="12"/>
      <c r="AD30" s="13"/>
    </row>
    <row r="31" spans="1:36" ht="21.95" customHeight="1" x14ac:dyDescent="0.2">
      <c r="A31" s="261" t="s">
        <v>45</v>
      </c>
      <c r="B31" s="261"/>
      <c r="C31" s="261"/>
      <c r="D31" s="261"/>
      <c r="E31" s="261"/>
      <c r="F31" s="261"/>
      <c r="G31" s="261"/>
      <c r="H31" s="261"/>
      <c r="I31" s="261"/>
      <c r="J31" s="34">
        <f>J24+J30</f>
        <v>75831.817999999999</v>
      </c>
      <c r="K31" s="34">
        <f>K24+K30</f>
        <v>303327.272</v>
      </c>
      <c r="L31" s="34">
        <f>L24+L30</f>
        <v>265411.36300000001</v>
      </c>
      <c r="M31" s="34">
        <f>M24+M30</f>
        <v>113747.727</v>
      </c>
      <c r="N31" s="34">
        <f>N24+N30</f>
        <v>758318.17999999993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5025.97</v>
      </c>
      <c r="L32" s="34"/>
      <c r="M32" s="34"/>
      <c r="N32" s="34">
        <f>ROUND($C$3*P32,2)</f>
        <v>5025.97</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5025.97</v>
      </c>
      <c r="L36" s="34">
        <f>SUM(L32:L35)</f>
        <v>0</v>
      </c>
      <c r="M36" s="34">
        <f>SUM(M32:M35)</f>
        <v>0</v>
      </c>
      <c r="N36" s="34">
        <f>SUM(N32:N35)</f>
        <v>5025.97</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5025.97</v>
      </c>
      <c r="L37" s="34">
        <f t="shared" si="11"/>
        <v>0</v>
      </c>
      <c r="M37" s="34">
        <f t="shared" si="11"/>
        <v>0</v>
      </c>
      <c r="N37" s="34">
        <f t="shared" si="11"/>
        <v>5025.97</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3317.14</v>
      </c>
      <c r="L38" s="34"/>
      <c r="M38" s="34"/>
      <c r="N38" s="34">
        <f>ROUND($C$4*P38,2)</f>
        <v>3317.14</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3317.14</v>
      </c>
      <c r="L42" s="34">
        <f>SUM(L38:L41)</f>
        <v>0</v>
      </c>
      <c r="M42" s="34">
        <f>SUM(M38:M41)</f>
        <v>0</v>
      </c>
      <c r="N42" s="34">
        <f>SUM(N38:N41)</f>
        <v>3317.14</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3317.14</v>
      </c>
      <c r="L43" s="34">
        <f t="shared" si="13"/>
        <v>0</v>
      </c>
      <c r="M43" s="34">
        <f t="shared" si="13"/>
        <v>0</v>
      </c>
      <c r="N43" s="34">
        <f t="shared" si="13"/>
        <v>3317.14</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8343.11</v>
      </c>
      <c r="L44" s="34">
        <f>L37+L43</f>
        <v>0</v>
      </c>
      <c r="M44" s="34">
        <f>M37+M43</f>
        <v>0</v>
      </c>
      <c r="N44" s="34">
        <f>N37+N43</f>
        <v>8343.11</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1392.88</v>
      </c>
      <c r="L47" s="34"/>
      <c r="M47" s="34"/>
      <c r="N47" s="34">
        <f>ROUND($L$3*P47,2)</f>
        <v>1392.88</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1306.2899999999991</v>
      </c>
      <c r="L48" s="34"/>
      <c r="M48" s="34"/>
      <c r="N48" s="34">
        <f>M3-SUM(N10,N21,N35)</f>
        <v>1306.2899999999991</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2699.1699999999992</v>
      </c>
      <c r="L49" s="34">
        <f>SUM(L45:L48)</f>
        <v>0</v>
      </c>
      <c r="M49" s="34">
        <f>SUM(M45:M48)</f>
        <v>0</v>
      </c>
      <c r="N49" s="34">
        <f>SUM(N45:N48)</f>
        <v>2699.1699999999992</v>
      </c>
      <c r="O49" s="8"/>
      <c r="P49" s="9"/>
    </row>
    <row r="50" spans="1:36" ht="21.95" customHeight="1" x14ac:dyDescent="0.2">
      <c r="A50" s="262"/>
      <c r="B50" s="261" t="s">
        <v>60</v>
      </c>
      <c r="C50" s="261"/>
      <c r="D50" s="261"/>
      <c r="E50" s="261"/>
      <c r="F50" s="261"/>
      <c r="G50" s="261"/>
      <c r="H50" s="261"/>
      <c r="I50" s="261"/>
      <c r="J50" s="34">
        <f>J49</f>
        <v>0</v>
      </c>
      <c r="K50" s="34">
        <f t="shared" ref="K50:N50" si="15">K49</f>
        <v>2699.1699999999992</v>
      </c>
      <c r="L50" s="34">
        <f t="shared" si="15"/>
        <v>0</v>
      </c>
      <c r="M50" s="34">
        <f t="shared" si="15"/>
        <v>0</v>
      </c>
      <c r="N50" s="34">
        <f t="shared" si="15"/>
        <v>2699.1699999999992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919.3</v>
      </c>
      <c r="L53" s="34"/>
      <c r="M53" s="34"/>
      <c r="N53" s="34">
        <f>ROUND($L$4*P53,2)</f>
        <v>919.3</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862.15999999999985</v>
      </c>
      <c r="L54" s="34"/>
      <c r="M54" s="34"/>
      <c r="N54" s="34">
        <f>M4-SUM(N15,N27,N41)</f>
        <v>862.15999999999985</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1781.4599999999998</v>
      </c>
      <c r="L55" s="34">
        <f>SUM(L51:L54)</f>
        <v>0</v>
      </c>
      <c r="M55" s="34">
        <f>SUM(M51:M54)</f>
        <v>0</v>
      </c>
      <c r="N55" s="34">
        <f>SUM(N51:N54)</f>
        <v>1781.4599999999998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1781.4599999999998</v>
      </c>
      <c r="L56" s="34">
        <f t="shared" si="17"/>
        <v>0</v>
      </c>
      <c r="M56" s="34">
        <f t="shared" si="17"/>
        <v>0</v>
      </c>
      <c r="N56" s="34">
        <f t="shared" si="17"/>
        <v>1781.4599999999998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4480.6299999999992</v>
      </c>
      <c r="L57" s="34">
        <f>L50+L56</f>
        <v>0</v>
      </c>
      <c r="M57" s="34">
        <f>M50+M56</f>
        <v>0</v>
      </c>
      <c r="N57" s="34">
        <f>N50+N56</f>
        <v>4480.6299999999992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66.180000000000007</v>
      </c>
      <c r="L59" s="34"/>
      <c r="M59" s="34"/>
      <c r="N59" s="34">
        <f>D3</f>
        <v>66.180000000000007</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471.04</v>
      </c>
      <c r="L60" s="34"/>
      <c r="M60" s="34"/>
      <c r="N60" s="34">
        <f>E3</f>
        <v>471.04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682.59</v>
      </c>
      <c r="L61" s="34"/>
      <c r="M61" s="34"/>
      <c r="N61" s="34">
        <f>G3-SUM(N9,N20,N33,N46)</f>
        <v>682.59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300.41000000000003</v>
      </c>
      <c r="L62" s="34"/>
      <c r="M62" s="34"/>
      <c r="N62" s="34">
        <f>H3</f>
        <v>300.41000000000003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3868.05</v>
      </c>
      <c r="L63" s="34"/>
      <c r="M63" s="34"/>
      <c r="N63" s="34">
        <f>I3</f>
        <v>3868.05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227.41</v>
      </c>
      <c r="L64" s="34"/>
      <c r="M64" s="34"/>
      <c r="N64" s="34">
        <f>J3</f>
        <v>227.41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213.4</v>
      </c>
      <c r="L66" s="34"/>
      <c r="M66" s="34"/>
      <c r="N66" s="34">
        <f>K3</f>
        <v>213.4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5829.08</v>
      </c>
      <c r="L68" s="34">
        <f>SUM(L58:L67)</f>
        <v>0</v>
      </c>
      <c r="M68" s="34">
        <f>SUM(M58:M67)</f>
        <v>0</v>
      </c>
      <c r="N68" s="34">
        <f>SUM(N58:N67)</f>
        <v>5829.08</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5829.08</v>
      </c>
      <c r="L69" s="34">
        <f t="shared" si="20"/>
        <v>0</v>
      </c>
      <c r="M69" s="34">
        <f t="shared" si="20"/>
        <v>0</v>
      </c>
      <c r="N69" s="34">
        <f t="shared" si="20"/>
        <v>5829.08</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43.68</v>
      </c>
      <c r="L71" s="34"/>
      <c r="M71" s="34"/>
      <c r="N71" s="34">
        <f>D4</f>
        <v>43.68</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310.88</v>
      </c>
      <c r="L72" s="34"/>
      <c r="M72" s="34"/>
      <c r="N72" s="34">
        <f>E4</f>
        <v>310.88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450.51</v>
      </c>
      <c r="L73" s="34"/>
      <c r="M73" s="34"/>
      <c r="N73" s="34">
        <f>G4-SUM(N14,N26,N39,N52)</f>
        <v>450.51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198.27</v>
      </c>
      <c r="L74" s="34"/>
      <c r="M74" s="34"/>
      <c r="N74" s="34">
        <f>H4</f>
        <v>198.27</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2552.91</v>
      </c>
      <c r="L75" s="34"/>
      <c r="M75" s="34"/>
      <c r="N75" s="34">
        <f>I4</f>
        <v>2552.91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150.09</v>
      </c>
      <c r="L76" s="34"/>
      <c r="M76" s="34"/>
      <c r="N76" s="34">
        <f>J4</f>
        <v>150.09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140.84</v>
      </c>
      <c r="L78" s="34"/>
      <c r="M78" s="34"/>
      <c r="N78" s="34">
        <f>K4</f>
        <v>140.84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3847.1800000000003</v>
      </c>
      <c r="L80" s="34">
        <f>SUM(L70:L79)</f>
        <v>0</v>
      </c>
      <c r="M80" s="34">
        <f>SUM(M70:M79)</f>
        <v>0</v>
      </c>
      <c r="N80" s="34">
        <f>SUM(N70:N79)</f>
        <v>3847.1800000000003</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3847.1800000000003</v>
      </c>
      <c r="L81" s="34">
        <f t="shared" si="23"/>
        <v>0</v>
      </c>
      <c r="M81" s="34">
        <f t="shared" si="23"/>
        <v>0</v>
      </c>
      <c r="N81" s="34">
        <f t="shared" si="23"/>
        <v>3847.1800000000003</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9676.26</v>
      </c>
      <c r="L82" s="34">
        <f>L69+L81</f>
        <v>0</v>
      </c>
      <c r="M82" s="34">
        <f>M69+M81</f>
        <v>0</v>
      </c>
      <c r="N82" s="34">
        <f>N69+N81</f>
        <v>9676.26</v>
      </c>
      <c r="O82" s="8"/>
      <c r="R82" s="14"/>
      <c r="Z82" s="15"/>
      <c r="AJ82" s="16"/>
    </row>
    <row r="83" spans="1:36" s="31" customFormat="1" ht="21.95" customHeight="1" x14ac:dyDescent="0.2">
      <c r="A83" s="275" t="s">
        <v>82</v>
      </c>
      <c r="B83" s="275"/>
      <c r="C83" s="275"/>
      <c r="D83" s="275"/>
      <c r="E83" s="275"/>
      <c r="F83" s="275"/>
      <c r="G83" s="275"/>
      <c r="H83" s="275"/>
      <c r="I83" s="275"/>
      <c r="J83" s="35">
        <f>J18+J31+J44+J57+J82</f>
        <v>75831.817999999999</v>
      </c>
      <c r="K83" s="35">
        <f>K18+K31+K44+K57+K82</f>
        <v>325827.272</v>
      </c>
      <c r="L83" s="35">
        <f>L18+L31+L44+L57+L82</f>
        <v>265411.36300000001</v>
      </c>
      <c r="M83" s="35">
        <f>M18+M31+M44+M57+M82</f>
        <v>113747.727</v>
      </c>
      <c r="N83" s="38">
        <f>N18+N31+N44+N57+N82</f>
        <v>780818.17999999993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2DD724C-D445-4790-BD47-FD7D6F7C0225}">
          <x14:formula1>
            <xm:f>'2026 COB breakdown_Kris'!$A$5:$A$103</xm:f>
          </x14:formula1>
          <xm:sqref>A3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8F617-3926-4E16-BDC4-2C1DA6F472C8}">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196</v>
      </c>
      <c r="B3" s="58" t="s">
        <v>158</v>
      </c>
      <c r="C3" s="59">
        <f>VLOOKUP($A3,COBTABLE,15, FALSE)</f>
        <v>1793.54</v>
      </c>
      <c r="D3" s="59">
        <f>VLOOKUP($A3,COBTABLE,16, FALSE)</f>
        <v>23.62</v>
      </c>
      <c r="E3" s="59">
        <f>VLOOKUP($A3,COBTABLE,17, FALSE)</f>
        <v>168.09</v>
      </c>
      <c r="F3" s="59">
        <f>VLOOKUP($A3,COBTABLE,18, FALSE)</f>
        <v>0</v>
      </c>
      <c r="G3" s="59">
        <f>VLOOKUP($A3,COBTABLE,19, FALSE)</f>
        <v>243.59</v>
      </c>
      <c r="H3" s="59">
        <f>VLOOKUP($A3,COBTABLE,20, FALSE)</f>
        <v>107.2</v>
      </c>
      <c r="I3" s="59">
        <f>VLOOKUP($A3,COBTABLE,21, FALSE)</f>
        <v>1380.33</v>
      </c>
      <c r="J3" s="59">
        <f>VLOOKUP($A3,COBTABLE,22, FALSE)</f>
        <v>81.150000000000006</v>
      </c>
      <c r="K3" s="59">
        <f>VLOOKUP($A3,COBTABLE,23, FALSE)</f>
        <v>76.150000000000006</v>
      </c>
      <c r="L3" s="59">
        <f>VLOOKUP($A3,COBTABLE,24, FALSE)</f>
        <v>497.06</v>
      </c>
      <c r="M3" s="59">
        <f>VLOOKUP($A3,COBTABLE,25, FALSE)</f>
        <v>466.16000000000076</v>
      </c>
      <c r="N3" s="60">
        <f>VLOOKUP($A3, countrygrant,2,FALSE)</f>
        <v>456818.18</v>
      </c>
      <c r="O3" s="92">
        <f>SUM(C3:N3)</f>
        <v>461655.07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2630.53</v>
      </c>
      <c r="D4" s="59">
        <f>VLOOKUP($A3,COBTABLE,28, FALSE)</f>
        <v>34.64</v>
      </c>
      <c r="E4" s="59">
        <f>VLOOKUP($A3,COBTABLE,29, FALSE)</f>
        <v>246.53</v>
      </c>
      <c r="F4" s="59">
        <f>VLOOKUP($A3,COBTABLE,30, FALSE)</f>
        <v>0</v>
      </c>
      <c r="G4" s="59">
        <f>VLOOKUP($A3,COBTABLE,31, FALSE)</f>
        <v>357.26</v>
      </c>
      <c r="H4" s="59">
        <f>VLOOKUP($A3,COBTABLE,32, FALSE)</f>
        <v>157.22999999999999</v>
      </c>
      <c r="I4" s="59">
        <f>VLOOKUP($A3,COBTABLE,33, FALSE)</f>
        <v>2024.49</v>
      </c>
      <c r="J4" s="59">
        <f>VLOOKUP($A3,COBTABLE,34, FALSE)</f>
        <v>119.02</v>
      </c>
      <c r="K4" s="59">
        <f>VLOOKUP($A3,COBTABLE,35, FALSE)</f>
        <v>111.69</v>
      </c>
      <c r="L4" s="59">
        <f>VLOOKUP($A3,COBTABLE,36, FALSE)</f>
        <v>729.02</v>
      </c>
      <c r="M4" s="59">
        <f>VLOOKUP($A3,COBTABLE,37, FALSE)</f>
        <v>683.69999999999982</v>
      </c>
      <c r="N4" s="60">
        <f>VLOOKUP($A3, countrygrant,3,FALSE)</f>
        <v>670000</v>
      </c>
      <c r="O4" s="92">
        <f t="shared" ref="O4" si="0">SUM(C4:N4)</f>
        <v>677094.11</v>
      </c>
      <c r="P4" s="28"/>
      <c r="Q4" s="28"/>
      <c r="R4" s="28"/>
      <c r="S4" s="28"/>
      <c r="T4" s="28"/>
      <c r="U4" s="28"/>
      <c r="V4" s="28"/>
      <c r="W4" s="28"/>
      <c r="X4" s="28"/>
      <c r="Y4" s="28"/>
      <c r="Z4" s="28"/>
      <c r="AA4" s="28"/>
      <c r="AB4" s="28"/>
      <c r="AC4" s="28"/>
    </row>
    <row r="5" spans="1:36" s="53" customFormat="1" ht="12" customHeight="1" x14ac:dyDescent="0.25">
      <c r="A5" s="278"/>
      <c r="B5" s="61" t="s">
        <v>156</v>
      </c>
      <c r="C5" s="62">
        <f>SUM(C3:C4)</f>
        <v>4424.07</v>
      </c>
      <c r="D5" s="62">
        <f t="shared" ref="D5:O5" si="1">SUM(D3:D4)</f>
        <v>58.260000000000005</v>
      </c>
      <c r="E5" s="62">
        <f t="shared" si="1"/>
        <v>414.62</v>
      </c>
      <c r="F5" s="62">
        <f t="shared" si="1"/>
        <v>0</v>
      </c>
      <c r="G5" s="62">
        <f t="shared" si="1"/>
        <v>600.85</v>
      </c>
      <c r="H5" s="62">
        <f t="shared" si="1"/>
        <v>264.43</v>
      </c>
      <c r="I5" s="62">
        <f t="shared" si="1"/>
        <v>3404.8199999999997</v>
      </c>
      <c r="J5" s="62">
        <f t="shared" si="1"/>
        <v>200.17000000000002</v>
      </c>
      <c r="K5" s="62">
        <f t="shared" si="1"/>
        <v>187.84</v>
      </c>
      <c r="L5" s="62">
        <f t="shared" si="1"/>
        <v>1226.08</v>
      </c>
      <c r="M5" s="62">
        <f t="shared" si="1"/>
        <v>1149.8600000000006</v>
      </c>
      <c r="N5" s="62">
        <f t="shared" si="1"/>
        <v>1126818.18</v>
      </c>
      <c r="O5" s="62">
        <f t="shared" si="1"/>
        <v>1138749.18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VLOOKUP(H28,starratio3,4,FALSE)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1793.54</v>
      </c>
      <c r="L32" s="34"/>
      <c r="M32" s="34"/>
      <c r="N32" s="34">
        <f>ROUND($C$3*P32,2)</f>
        <v>1793.54</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1793.54</v>
      </c>
      <c r="L36" s="34">
        <f>SUM(L32:L35)</f>
        <v>0</v>
      </c>
      <c r="M36" s="34">
        <f>SUM(M32:M35)</f>
        <v>0</v>
      </c>
      <c r="N36" s="34">
        <f>SUM(N32:N35)</f>
        <v>1793.54</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1793.54</v>
      </c>
      <c r="L37" s="34">
        <f t="shared" si="11"/>
        <v>0</v>
      </c>
      <c r="M37" s="34">
        <f t="shared" si="11"/>
        <v>0</v>
      </c>
      <c r="N37" s="34">
        <f t="shared" si="11"/>
        <v>1793.54</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2630.53</v>
      </c>
      <c r="L38" s="34"/>
      <c r="M38" s="34"/>
      <c r="N38" s="34">
        <f>ROUND($C$4*P38,2)</f>
        <v>2630.53</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2630.53</v>
      </c>
      <c r="L42" s="34">
        <f>SUM(L38:L41)</f>
        <v>0</v>
      </c>
      <c r="M42" s="34">
        <f>SUM(M38:M41)</f>
        <v>0</v>
      </c>
      <c r="N42" s="34">
        <f>SUM(N38:N41)</f>
        <v>2630.53</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2630.53</v>
      </c>
      <c r="L43" s="34">
        <f t="shared" si="13"/>
        <v>0</v>
      </c>
      <c r="M43" s="34">
        <f t="shared" si="13"/>
        <v>0</v>
      </c>
      <c r="N43" s="34">
        <f t="shared" si="13"/>
        <v>2630.53</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4424.07</v>
      </c>
      <c r="L44" s="34">
        <f>L37+L43</f>
        <v>0</v>
      </c>
      <c r="M44" s="34">
        <f>M37+M43</f>
        <v>0</v>
      </c>
      <c r="N44" s="34">
        <f>N37+N43</f>
        <v>4424.07</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497.06</v>
      </c>
      <c r="L47" s="34"/>
      <c r="M47" s="34"/>
      <c r="N47" s="34">
        <f>ROUND($L$3*P47,2)</f>
        <v>497.06</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466.16000000000076</v>
      </c>
      <c r="L48" s="34"/>
      <c r="M48" s="34"/>
      <c r="N48" s="34">
        <f>M3-SUM(N10,N21,N35)</f>
        <v>466.16000000000076</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963.22000000000071</v>
      </c>
      <c r="L49" s="34">
        <f>SUM(L45:L48)</f>
        <v>0</v>
      </c>
      <c r="M49" s="34">
        <f>SUM(M45:M48)</f>
        <v>0</v>
      </c>
      <c r="N49" s="34">
        <f>SUM(N45:N48)</f>
        <v>963.22000000000071</v>
      </c>
      <c r="O49" s="8"/>
      <c r="P49" s="9"/>
    </row>
    <row r="50" spans="1:36" ht="21.95" customHeight="1" x14ac:dyDescent="0.2">
      <c r="A50" s="262"/>
      <c r="B50" s="261" t="s">
        <v>60</v>
      </c>
      <c r="C50" s="261"/>
      <c r="D50" s="261"/>
      <c r="E50" s="261"/>
      <c r="F50" s="261"/>
      <c r="G50" s="261"/>
      <c r="H50" s="261"/>
      <c r="I50" s="261"/>
      <c r="J50" s="34">
        <f>J49</f>
        <v>0</v>
      </c>
      <c r="K50" s="34">
        <f t="shared" ref="K50:N50" si="15">K49</f>
        <v>963.22000000000071</v>
      </c>
      <c r="L50" s="34">
        <f t="shared" si="15"/>
        <v>0</v>
      </c>
      <c r="M50" s="34">
        <f t="shared" si="15"/>
        <v>0</v>
      </c>
      <c r="N50" s="34">
        <f t="shared" si="15"/>
        <v>963.22000000000071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729.02</v>
      </c>
      <c r="L53" s="34"/>
      <c r="M53" s="34"/>
      <c r="N53" s="34">
        <f>ROUND($L$4*P53,2)</f>
        <v>729.02</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683.69999999999982</v>
      </c>
      <c r="L54" s="34"/>
      <c r="M54" s="34"/>
      <c r="N54" s="34">
        <f>M4-SUM(N15,N27,N41)</f>
        <v>683.69999999999982</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1412.7199999999998</v>
      </c>
      <c r="L55" s="34">
        <f>SUM(L51:L54)</f>
        <v>0</v>
      </c>
      <c r="M55" s="34">
        <f>SUM(M51:M54)</f>
        <v>0</v>
      </c>
      <c r="N55" s="34">
        <f>SUM(N51:N54)</f>
        <v>1412.7199999999998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1412.7199999999998</v>
      </c>
      <c r="L56" s="34">
        <f t="shared" si="17"/>
        <v>0</v>
      </c>
      <c r="M56" s="34">
        <f t="shared" si="17"/>
        <v>0</v>
      </c>
      <c r="N56" s="34">
        <f t="shared" si="17"/>
        <v>1412.7199999999998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2375.9400000000005</v>
      </c>
      <c r="L57" s="34">
        <f>L50+L56</f>
        <v>0</v>
      </c>
      <c r="M57" s="34">
        <f>M50+M56</f>
        <v>0</v>
      </c>
      <c r="N57" s="34">
        <f>N50+N56</f>
        <v>2375.9400000000005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23.62</v>
      </c>
      <c r="L59" s="34"/>
      <c r="M59" s="34"/>
      <c r="N59" s="34">
        <f>D3</f>
        <v>23.62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168.09</v>
      </c>
      <c r="L60" s="34"/>
      <c r="M60" s="34"/>
      <c r="N60" s="34">
        <f>E3</f>
        <v>168.09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243.59</v>
      </c>
      <c r="L61" s="34"/>
      <c r="M61" s="34"/>
      <c r="N61" s="34">
        <f>G3-SUM(N9,N20,N33,N46)</f>
        <v>243.59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107.2</v>
      </c>
      <c r="L62" s="34"/>
      <c r="M62" s="34"/>
      <c r="N62" s="34">
        <f>H3</f>
        <v>107.2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1380.33</v>
      </c>
      <c r="L63" s="34"/>
      <c r="M63" s="34"/>
      <c r="N63" s="34">
        <f>I3</f>
        <v>1380.33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81.150000000000006</v>
      </c>
      <c r="L64" s="34"/>
      <c r="M64" s="34"/>
      <c r="N64" s="34">
        <f>J3</f>
        <v>81.150000000000006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76.150000000000006</v>
      </c>
      <c r="L66" s="34"/>
      <c r="M66" s="34"/>
      <c r="N66" s="34">
        <f>K3</f>
        <v>76.150000000000006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2080.13</v>
      </c>
      <c r="L68" s="34">
        <f>SUM(L58:L67)</f>
        <v>0</v>
      </c>
      <c r="M68" s="34">
        <f>SUM(M58:M67)</f>
        <v>0</v>
      </c>
      <c r="N68" s="34">
        <f>SUM(N58:N67)</f>
        <v>2080.13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2080.13</v>
      </c>
      <c r="L69" s="34">
        <f t="shared" si="20"/>
        <v>0</v>
      </c>
      <c r="M69" s="34">
        <f t="shared" si="20"/>
        <v>0</v>
      </c>
      <c r="N69" s="34">
        <f t="shared" si="20"/>
        <v>2080.13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34.64</v>
      </c>
      <c r="L71" s="34"/>
      <c r="M71" s="34"/>
      <c r="N71" s="34">
        <f>D4</f>
        <v>34.64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246.53</v>
      </c>
      <c r="L72" s="34"/>
      <c r="M72" s="34"/>
      <c r="N72" s="34">
        <f>E4</f>
        <v>246.53</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357.26</v>
      </c>
      <c r="L73" s="34"/>
      <c r="M73" s="34"/>
      <c r="N73" s="34">
        <f>G4-SUM(N14,N26,N39,N52)</f>
        <v>357.26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157.22999999999999</v>
      </c>
      <c r="L74" s="34"/>
      <c r="M74" s="34"/>
      <c r="N74" s="34">
        <f>H4</f>
        <v>157.22999999999999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2024.49</v>
      </c>
      <c r="L75" s="34"/>
      <c r="M75" s="34"/>
      <c r="N75" s="34">
        <f>I4</f>
        <v>2024.49</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119.02</v>
      </c>
      <c r="L76" s="34"/>
      <c r="M76" s="34"/>
      <c r="N76" s="34">
        <f>J4</f>
        <v>119.02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111.69</v>
      </c>
      <c r="L78" s="34"/>
      <c r="M78" s="34"/>
      <c r="N78" s="34">
        <f>K4</f>
        <v>111.69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3050.86</v>
      </c>
      <c r="L80" s="34">
        <f>SUM(L70:L79)</f>
        <v>0</v>
      </c>
      <c r="M80" s="34">
        <f>SUM(M70:M79)</f>
        <v>0</v>
      </c>
      <c r="N80" s="34">
        <f>SUM(N70:N79)</f>
        <v>3050.86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3050.86</v>
      </c>
      <c r="L81" s="34">
        <f t="shared" si="23"/>
        <v>0</v>
      </c>
      <c r="M81" s="34">
        <f t="shared" si="23"/>
        <v>0</v>
      </c>
      <c r="N81" s="34">
        <f t="shared" si="23"/>
        <v>3050.86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5130.99</v>
      </c>
      <c r="L82" s="34">
        <f>L69+L81</f>
        <v>0</v>
      </c>
      <c r="M82" s="34">
        <f>M69+M81</f>
        <v>0</v>
      </c>
      <c r="N82" s="34">
        <f>N69+N81</f>
        <v>5130.99</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462658.272</v>
      </c>
      <c r="L83" s="35">
        <f>L18+L31+L44+L57+L82</f>
        <v>394386.36299999995</v>
      </c>
      <c r="M83" s="35">
        <f>M18+M31+M44+M57+M82</f>
        <v>169022.72700000001</v>
      </c>
      <c r="N83" s="38">
        <f>N18+N31+N44+N57+N82</f>
        <v>1138749.18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78F117B-5ED0-41B9-B20B-575A6635AC25}">
          <x14:formula1>
            <xm:f>'2026 COB breakdown_Kris'!$A$5:$A$103</xm:f>
          </x14:formula1>
          <xm:sqref>A3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466C4-B6BC-4A9F-981C-FCF863B3EF16}">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197</v>
      </c>
      <c r="B3" s="58" t="s">
        <v>158</v>
      </c>
      <c r="C3" s="59">
        <f>VLOOKUP($A3,COBTABLE,15, FALSE)</f>
        <v>3749.12</v>
      </c>
      <c r="D3" s="59">
        <f>VLOOKUP($A3,COBTABLE,16, FALSE)</f>
        <v>49.36</v>
      </c>
      <c r="E3" s="59">
        <f>VLOOKUP($A3,COBTABLE,17, FALSE)</f>
        <v>351.37</v>
      </c>
      <c r="F3" s="59">
        <f>VLOOKUP($A3,COBTABLE,18, FALSE)</f>
        <v>0</v>
      </c>
      <c r="G3" s="59">
        <f>VLOOKUP($A3,COBTABLE,19, FALSE)</f>
        <v>509.18</v>
      </c>
      <c r="H3" s="59">
        <f>VLOOKUP($A3,COBTABLE,20, FALSE)</f>
        <v>224.09</v>
      </c>
      <c r="I3" s="59">
        <f>VLOOKUP($A3,COBTABLE,21, FALSE)</f>
        <v>2885.37</v>
      </c>
      <c r="J3" s="59">
        <f>VLOOKUP($A3,COBTABLE,22, FALSE)</f>
        <v>169.63</v>
      </c>
      <c r="K3" s="59">
        <f>VLOOKUP($A3,COBTABLE,23, FALSE)</f>
        <v>159.19</v>
      </c>
      <c r="L3" s="59">
        <f>VLOOKUP($A3,COBTABLE,24, FALSE)</f>
        <v>1039.02</v>
      </c>
      <c r="M3" s="59">
        <f>VLOOKUP($A3,COBTABLE,25, FALSE)</f>
        <v>974.43000000000029</v>
      </c>
      <c r="N3" s="60">
        <f>VLOOKUP($A3, countrygrant,2,FALSE)</f>
        <v>456818.18</v>
      </c>
      <c r="O3" s="92">
        <f>SUM(C3:N3)</f>
        <v>466928.94</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989.77</v>
      </c>
      <c r="D4" s="59">
        <f>VLOOKUP($A3,COBTABLE,28, FALSE)</f>
        <v>13.03</v>
      </c>
      <c r="E4" s="59">
        <f>VLOOKUP($A3,COBTABLE,29, FALSE)</f>
        <v>92.76</v>
      </c>
      <c r="F4" s="59">
        <f>VLOOKUP($A3,COBTABLE,30, FALSE)</f>
        <v>0</v>
      </c>
      <c r="G4" s="59">
        <f>VLOOKUP($A3,COBTABLE,31, FALSE)</f>
        <v>134.41999999999999</v>
      </c>
      <c r="H4" s="59">
        <f>VLOOKUP($A3,COBTABLE,32, FALSE)</f>
        <v>59.16</v>
      </c>
      <c r="I4" s="59">
        <f>VLOOKUP($A3,COBTABLE,33, FALSE)</f>
        <v>761.74</v>
      </c>
      <c r="J4" s="59">
        <f>VLOOKUP($A3,COBTABLE,34, FALSE)</f>
        <v>44.78</v>
      </c>
      <c r="K4" s="59">
        <f>VLOOKUP($A3,COBTABLE,35, FALSE)</f>
        <v>42.02</v>
      </c>
      <c r="L4" s="59">
        <f>VLOOKUP($A3,COBTABLE,36, FALSE)</f>
        <v>274.3</v>
      </c>
      <c r="M4" s="59">
        <f>VLOOKUP($A3,COBTABLE,37, FALSE)</f>
        <v>257.25999999999931</v>
      </c>
      <c r="N4" s="60">
        <f>VLOOKUP($A3, countrygrant,3,FALSE)</f>
        <v>120600</v>
      </c>
      <c r="O4" s="92">
        <f t="shared" ref="O4" si="0">SUM(C4:N4)</f>
        <v>123269.24</v>
      </c>
      <c r="P4" s="28"/>
      <c r="Q4" s="28"/>
      <c r="R4" s="28"/>
      <c r="S4" s="28"/>
      <c r="T4" s="28"/>
      <c r="U4" s="28"/>
      <c r="V4" s="28"/>
      <c r="W4" s="28"/>
      <c r="X4" s="28"/>
      <c r="Y4" s="28"/>
      <c r="Z4" s="28"/>
      <c r="AA4" s="28"/>
      <c r="AB4" s="28"/>
      <c r="AC4" s="28"/>
    </row>
    <row r="5" spans="1:36" s="53" customFormat="1" ht="12" customHeight="1" x14ac:dyDescent="0.25">
      <c r="A5" s="278"/>
      <c r="B5" s="61" t="s">
        <v>156</v>
      </c>
      <c r="C5" s="62">
        <f>SUM(C3:C4)</f>
        <v>4738.8899999999994</v>
      </c>
      <c r="D5" s="62">
        <f t="shared" ref="D5:O5" si="1">SUM(D3:D4)</f>
        <v>62.39</v>
      </c>
      <c r="E5" s="62">
        <f t="shared" si="1"/>
        <v>444.13</v>
      </c>
      <c r="F5" s="62">
        <f t="shared" si="1"/>
        <v>0</v>
      </c>
      <c r="G5" s="62">
        <f t="shared" si="1"/>
        <v>643.6</v>
      </c>
      <c r="H5" s="62">
        <f t="shared" si="1"/>
        <v>283.25</v>
      </c>
      <c r="I5" s="62">
        <f t="shared" si="1"/>
        <v>3647.1099999999997</v>
      </c>
      <c r="J5" s="62">
        <f t="shared" si="1"/>
        <v>214.41</v>
      </c>
      <c r="K5" s="62">
        <f t="shared" si="1"/>
        <v>201.21</v>
      </c>
      <c r="L5" s="62">
        <f t="shared" si="1"/>
        <v>1313.32</v>
      </c>
      <c r="M5" s="62">
        <f t="shared" si="1"/>
        <v>1231.6899999999996</v>
      </c>
      <c r="N5" s="62">
        <f t="shared" si="1"/>
        <v>577418.17999999993</v>
      </c>
      <c r="O5" s="62">
        <f t="shared" si="1"/>
        <v>590198.18000000005</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12060</v>
      </c>
      <c r="K28" s="34">
        <f>$N28*0.4</f>
        <v>48240</v>
      </c>
      <c r="L28" s="34">
        <f>$N28*0.35</f>
        <v>42210</v>
      </c>
      <c r="M28" s="34">
        <f>$N28*0.15</f>
        <v>18090</v>
      </c>
      <c r="N28" s="34">
        <f>N4</f>
        <v>120600</v>
      </c>
      <c r="O28" s="8"/>
      <c r="P28" s="9">
        <f>VLOOKUP(H28,starratio3,4,FALSE)</f>
        <v>0</v>
      </c>
    </row>
    <row r="29" spans="1:36" ht="21.95" customHeight="1" x14ac:dyDescent="0.2">
      <c r="A29" s="262"/>
      <c r="B29" s="262"/>
      <c r="C29" s="263" t="s">
        <v>31</v>
      </c>
      <c r="D29" s="263"/>
      <c r="E29" s="263"/>
      <c r="F29" s="263"/>
      <c r="G29" s="263"/>
      <c r="H29" s="263"/>
      <c r="I29" s="263"/>
      <c r="J29" s="34">
        <f>SUM(J25:J28)</f>
        <v>12060</v>
      </c>
      <c r="K29" s="34">
        <f>SUM(K25:K28)</f>
        <v>48240</v>
      </c>
      <c r="L29" s="34">
        <f>SUM(L25:L28)</f>
        <v>42210</v>
      </c>
      <c r="M29" s="34">
        <f>SUM(M25:M28)</f>
        <v>18090</v>
      </c>
      <c r="N29" s="34">
        <f>SUM(N25:N28)</f>
        <v>120600</v>
      </c>
      <c r="O29" s="8"/>
      <c r="P29" s="9"/>
    </row>
    <row r="30" spans="1:36" ht="21.95" customHeight="1" x14ac:dyDescent="0.2">
      <c r="A30" s="262"/>
      <c r="B30" s="263" t="s">
        <v>44</v>
      </c>
      <c r="C30" s="263"/>
      <c r="D30" s="263"/>
      <c r="E30" s="263"/>
      <c r="F30" s="263"/>
      <c r="G30" s="263"/>
      <c r="H30" s="263"/>
      <c r="I30" s="263"/>
      <c r="J30" s="34">
        <f>J29</f>
        <v>12060</v>
      </c>
      <c r="K30" s="34">
        <f t="shared" ref="K30:N30" si="9">K29</f>
        <v>48240</v>
      </c>
      <c r="L30" s="34">
        <f t="shared" si="9"/>
        <v>42210</v>
      </c>
      <c r="M30" s="34">
        <f t="shared" si="9"/>
        <v>18090</v>
      </c>
      <c r="N30" s="34">
        <f t="shared" si="9"/>
        <v>120600</v>
      </c>
      <c r="O30" s="8"/>
      <c r="Q30" s="10"/>
      <c r="Z30" s="11"/>
      <c r="AC30" s="12"/>
      <c r="AD30" s="13"/>
    </row>
    <row r="31" spans="1:36" ht="21.95" customHeight="1" x14ac:dyDescent="0.2">
      <c r="A31" s="261" t="s">
        <v>45</v>
      </c>
      <c r="B31" s="261"/>
      <c r="C31" s="261"/>
      <c r="D31" s="261"/>
      <c r="E31" s="261"/>
      <c r="F31" s="261"/>
      <c r="G31" s="261"/>
      <c r="H31" s="261"/>
      <c r="I31" s="261"/>
      <c r="J31" s="34">
        <f>J24+J30</f>
        <v>57741.817999999999</v>
      </c>
      <c r="K31" s="34">
        <f>K24+K30</f>
        <v>230967.272</v>
      </c>
      <c r="L31" s="34">
        <f>L24+L30</f>
        <v>202096.36299999998</v>
      </c>
      <c r="M31" s="34">
        <f>M24+M30</f>
        <v>86612.726999999999</v>
      </c>
      <c r="N31" s="34">
        <f>N24+N30</f>
        <v>577418.17999999993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3749.12</v>
      </c>
      <c r="L32" s="34"/>
      <c r="M32" s="34"/>
      <c r="N32" s="34">
        <f>ROUND($C$3*P32,2)</f>
        <v>3749.12</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3749.12</v>
      </c>
      <c r="L36" s="34">
        <f>SUM(L32:L35)</f>
        <v>0</v>
      </c>
      <c r="M36" s="34">
        <f>SUM(M32:M35)</f>
        <v>0</v>
      </c>
      <c r="N36" s="34">
        <f>SUM(N32:N35)</f>
        <v>3749.12</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3749.12</v>
      </c>
      <c r="L37" s="34">
        <f t="shared" si="11"/>
        <v>0</v>
      </c>
      <c r="M37" s="34">
        <f t="shared" si="11"/>
        <v>0</v>
      </c>
      <c r="N37" s="34">
        <f t="shared" si="11"/>
        <v>3749.12</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989.77</v>
      </c>
      <c r="L38" s="34"/>
      <c r="M38" s="34"/>
      <c r="N38" s="34">
        <f>ROUND($C$4*P38,2)</f>
        <v>989.77</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989.77</v>
      </c>
      <c r="L42" s="34">
        <f>SUM(L38:L41)</f>
        <v>0</v>
      </c>
      <c r="M42" s="34">
        <f>SUM(M38:M41)</f>
        <v>0</v>
      </c>
      <c r="N42" s="34">
        <f>SUM(N38:N41)</f>
        <v>989.77</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989.77</v>
      </c>
      <c r="L43" s="34">
        <f t="shared" si="13"/>
        <v>0</v>
      </c>
      <c r="M43" s="34">
        <f t="shared" si="13"/>
        <v>0</v>
      </c>
      <c r="N43" s="34">
        <f t="shared" si="13"/>
        <v>989.77</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4738.8899999999994</v>
      </c>
      <c r="L44" s="34">
        <f>L37+L43</f>
        <v>0</v>
      </c>
      <c r="M44" s="34">
        <f>M37+M43</f>
        <v>0</v>
      </c>
      <c r="N44" s="34">
        <f>N37+N43</f>
        <v>4738.8899999999994</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1039.02</v>
      </c>
      <c r="L47" s="34"/>
      <c r="M47" s="34"/>
      <c r="N47" s="34">
        <f>ROUND($L$3*P47,2)</f>
        <v>1039.02</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974.43000000000029</v>
      </c>
      <c r="L48" s="34"/>
      <c r="M48" s="34"/>
      <c r="N48" s="34">
        <f>M3-SUM(N10,N21,N35)</f>
        <v>974.43000000000029</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2013.4500000000003</v>
      </c>
      <c r="L49" s="34">
        <f>SUM(L45:L48)</f>
        <v>0</v>
      </c>
      <c r="M49" s="34">
        <f>SUM(M45:M48)</f>
        <v>0</v>
      </c>
      <c r="N49" s="34">
        <f>SUM(N45:N48)</f>
        <v>2013.4500000000003</v>
      </c>
      <c r="O49" s="8"/>
      <c r="P49" s="9"/>
    </row>
    <row r="50" spans="1:36" ht="21.95" customHeight="1" x14ac:dyDescent="0.2">
      <c r="A50" s="262"/>
      <c r="B50" s="261" t="s">
        <v>60</v>
      </c>
      <c r="C50" s="261"/>
      <c r="D50" s="261"/>
      <c r="E50" s="261"/>
      <c r="F50" s="261"/>
      <c r="G50" s="261"/>
      <c r="H50" s="261"/>
      <c r="I50" s="261"/>
      <c r="J50" s="34">
        <f>J49</f>
        <v>0</v>
      </c>
      <c r="K50" s="34">
        <f t="shared" ref="K50:N50" si="15">K49</f>
        <v>2013.4500000000003</v>
      </c>
      <c r="L50" s="34">
        <f t="shared" si="15"/>
        <v>0</v>
      </c>
      <c r="M50" s="34">
        <f t="shared" si="15"/>
        <v>0</v>
      </c>
      <c r="N50" s="34">
        <f t="shared" si="15"/>
        <v>2013.4500000000003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274.3</v>
      </c>
      <c r="L53" s="34"/>
      <c r="M53" s="34"/>
      <c r="N53" s="34">
        <f>ROUND($L$4*P53,2)</f>
        <v>274.3</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257.25999999999931</v>
      </c>
      <c r="L54" s="34"/>
      <c r="M54" s="34"/>
      <c r="N54" s="34">
        <f>M4-SUM(N15,N27,N41)</f>
        <v>257.25999999999931</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531.55999999999926</v>
      </c>
      <c r="L55" s="34">
        <f>SUM(L51:L54)</f>
        <v>0</v>
      </c>
      <c r="M55" s="34">
        <f>SUM(M51:M54)</f>
        <v>0</v>
      </c>
      <c r="N55" s="34">
        <f>SUM(N51:N54)</f>
        <v>531.55999999999926</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531.55999999999926</v>
      </c>
      <c r="L56" s="34">
        <f t="shared" si="17"/>
        <v>0</v>
      </c>
      <c r="M56" s="34">
        <f t="shared" si="17"/>
        <v>0</v>
      </c>
      <c r="N56" s="34">
        <f t="shared" si="17"/>
        <v>531.55999999999926</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2545.0099999999993</v>
      </c>
      <c r="L57" s="34">
        <f>L50+L56</f>
        <v>0</v>
      </c>
      <c r="M57" s="34">
        <f>M50+M56</f>
        <v>0</v>
      </c>
      <c r="N57" s="34">
        <f>N50+N56</f>
        <v>2545.0099999999993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49.36</v>
      </c>
      <c r="L59" s="34"/>
      <c r="M59" s="34"/>
      <c r="N59" s="34">
        <f>D3</f>
        <v>49.36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351.37</v>
      </c>
      <c r="L60" s="34"/>
      <c r="M60" s="34"/>
      <c r="N60" s="34">
        <f>E3</f>
        <v>351.37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509.18</v>
      </c>
      <c r="L61" s="34"/>
      <c r="M61" s="34"/>
      <c r="N61" s="34">
        <f>G3-SUM(N9,N20,N33,N46)</f>
        <v>509.18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224.09</v>
      </c>
      <c r="L62" s="34"/>
      <c r="M62" s="34"/>
      <c r="N62" s="34">
        <f>H3</f>
        <v>224.09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2885.37</v>
      </c>
      <c r="L63" s="34"/>
      <c r="M63" s="34"/>
      <c r="N63" s="34">
        <f>I3</f>
        <v>2885.37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169.63</v>
      </c>
      <c r="L64" s="34"/>
      <c r="M64" s="34"/>
      <c r="N64" s="34">
        <f>J3</f>
        <v>169.63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159.19</v>
      </c>
      <c r="L66" s="34"/>
      <c r="M66" s="34"/>
      <c r="N66" s="34">
        <f>K3</f>
        <v>159.19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4348.1899999999996</v>
      </c>
      <c r="L68" s="34">
        <f>SUM(L58:L67)</f>
        <v>0</v>
      </c>
      <c r="M68" s="34">
        <f>SUM(M58:M67)</f>
        <v>0</v>
      </c>
      <c r="N68" s="34">
        <f>SUM(N58:N67)</f>
        <v>4348.1899999999996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4348.1899999999996</v>
      </c>
      <c r="L69" s="34">
        <f t="shared" si="20"/>
        <v>0</v>
      </c>
      <c r="M69" s="34">
        <f t="shared" si="20"/>
        <v>0</v>
      </c>
      <c r="N69" s="34">
        <f t="shared" si="20"/>
        <v>4348.1899999999996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13.03</v>
      </c>
      <c r="L71" s="34"/>
      <c r="M71" s="34"/>
      <c r="N71" s="34">
        <f>D4</f>
        <v>13.03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92.76</v>
      </c>
      <c r="L72" s="34"/>
      <c r="M72" s="34"/>
      <c r="N72" s="34">
        <f>E4</f>
        <v>92.76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134.41999999999999</v>
      </c>
      <c r="L73" s="34"/>
      <c r="M73" s="34"/>
      <c r="N73" s="34">
        <f>G4-SUM(N14,N26,N39,N52)</f>
        <v>134.41999999999999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59.16</v>
      </c>
      <c r="L74" s="34"/>
      <c r="M74" s="34"/>
      <c r="N74" s="34">
        <f>H4</f>
        <v>59.16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761.74</v>
      </c>
      <c r="L75" s="34"/>
      <c r="M75" s="34"/>
      <c r="N75" s="34">
        <f>I4</f>
        <v>761.74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44.78</v>
      </c>
      <c r="L76" s="34"/>
      <c r="M76" s="34"/>
      <c r="N76" s="34">
        <f>J4</f>
        <v>44.78</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42.02</v>
      </c>
      <c r="L78" s="34"/>
      <c r="M78" s="34"/>
      <c r="N78" s="34">
        <f>K4</f>
        <v>42.02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1147.9100000000001</v>
      </c>
      <c r="L80" s="34">
        <f>SUM(L70:L79)</f>
        <v>0</v>
      </c>
      <c r="M80" s="34">
        <f>SUM(M70:M79)</f>
        <v>0</v>
      </c>
      <c r="N80" s="34">
        <f>SUM(N70:N79)</f>
        <v>1147.9100000000001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1147.9100000000001</v>
      </c>
      <c r="L81" s="34">
        <f t="shared" si="23"/>
        <v>0</v>
      </c>
      <c r="M81" s="34">
        <f t="shared" si="23"/>
        <v>0</v>
      </c>
      <c r="N81" s="34">
        <f t="shared" si="23"/>
        <v>1147.9100000000001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5496.0999999999995</v>
      </c>
      <c r="L82" s="34">
        <f>L69+L81</f>
        <v>0</v>
      </c>
      <c r="M82" s="34">
        <f>M69+M81</f>
        <v>0</v>
      </c>
      <c r="N82" s="34">
        <f>N69+N81</f>
        <v>5496.0999999999995</v>
      </c>
      <c r="O82" s="8"/>
      <c r="R82" s="14"/>
      <c r="Z82" s="15"/>
      <c r="AJ82" s="16"/>
    </row>
    <row r="83" spans="1:36" s="31" customFormat="1" ht="21.95" customHeight="1" x14ac:dyDescent="0.2">
      <c r="A83" s="275" t="s">
        <v>82</v>
      </c>
      <c r="B83" s="275"/>
      <c r="C83" s="275"/>
      <c r="D83" s="275"/>
      <c r="E83" s="275"/>
      <c r="F83" s="275"/>
      <c r="G83" s="275"/>
      <c r="H83" s="275"/>
      <c r="I83" s="275"/>
      <c r="J83" s="35">
        <f>J18+J31+J44+J57+J82</f>
        <v>57741.817999999999</v>
      </c>
      <c r="K83" s="35">
        <f>K18+K31+K44+K57+K82</f>
        <v>243747.27200000003</v>
      </c>
      <c r="L83" s="35">
        <f>L18+L31+L44+L57+L82</f>
        <v>202096.36299999998</v>
      </c>
      <c r="M83" s="35">
        <f>M18+M31+M44+M57+M82</f>
        <v>86612.726999999999</v>
      </c>
      <c r="N83" s="38">
        <f>N18+N31+N44+N57+N82</f>
        <v>590198.17999999993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7362F81-3C44-4293-8D26-061A408284E4}">
          <x14:formula1>
            <xm:f>'2026 COB breakdown_Kris'!$A$5:$A$103</xm:f>
          </x14:formula1>
          <xm:sqref>A3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9702-55C3-4D5B-AAC4-EC1F797728E4}">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198</v>
      </c>
      <c r="B3" s="58" t="s">
        <v>158</v>
      </c>
      <c r="C3" s="59">
        <f>VLOOKUP($A3,COBTABLE,15, FALSE)</f>
        <v>10266.15</v>
      </c>
      <c r="D3" s="59">
        <f>VLOOKUP($A3,COBTABLE,16, FALSE)</f>
        <v>135.16999999999999</v>
      </c>
      <c r="E3" s="59">
        <f>VLOOKUP($A3,COBTABLE,17, FALSE)</f>
        <v>962.15</v>
      </c>
      <c r="F3" s="59">
        <f>VLOOKUP($A3,COBTABLE,18, FALSE)</f>
        <v>0</v>
      </c>
      <c r="G3" s="59">
        <f>VLOOKUP($A3,COBTABLE,19, FALSE)</f>
        <v>1394.28</v>
      </c>
      <c r="H3" s="59">
        <f>VLOOKUP($A3,COBTABLE,20, FALSE)</f>
        <v>613.62</v>
      </c>
      <c r="I3" s="59">
        <f>VLOOKUP($A3,COBTABLE,21, FALSE)</f>
        <v>7900.94</v>
      </c>
      <c r="J3" s="59">
        <f>VLOOKUP($A3,COBTABLE,22, FALSE)</f>
        <v>464.5</v>
      </c>
      <c r="K3" s="59">
        <f>VLOOKUP($A3,COBTABLE,23, FALSE)</f>
        <v>435.89</v>
      </c>
      <c r="L3" s="59">
        <f>VLOOKUP($A3,COBTABLE,24, FALSE)</f>
        <v>2845.13</v>
      </c>
      <c r="M3" s="59">
        <f>VLOOKUP($A3,COBTABLE,25, FALSE)</f>
        <v>2668.2699999999968</v>
      </c>
      <c r="N3" s="60">
        <f>VLOOKUP($A3, countrygrant,2,FALSE)</f>
        <v>456818.18</v>
      </c>
      <c r="O3" s="92">
        <f>SUM(C3:N3)</f>
        <v>484504.27999999997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10266.15</v>
      </c>
      <c r="D5" s="62">
        <f t="shared" ref="D5:O5" si="1">SUM(D3:D4)</f>
        <v>135.16999999999999</v>
      </c>
      <c r="E5" s="62">
        <f t="shared" si="1"/>
        <v>962.15</v>
      </c>
      <c r="F5" s="62">
        <f t="shared" si="1"/>
        <v>0</v>
      </c>
      <c r="G5" s="62">
        <f t="shared" si="1"/>
        <v>1394.28</v>
      </c>
      <c r="H5" s="62">
        <f t="shared" si="1"/>
        <v>613.62</v>
      </c>
      <c r="I5" s="62">
        <f t="shared" si="1"/>
        <v>7900.94</v>
      </c>
      <c r="J5" s="62">
        <f t="shared" si="1"/>
        <v>464.5</v>
      </c>
      <c r="K5" s="62">
        <f t="shared" si="1"/>
        <v>435.89</v>
      </c>
      <c r="L5" s="62">
        <f t="shared" si="1"/>
        <v>2845.13</v>
      </c>
      <c r="M5" s="62">
        <f t="shared" si="1"/>
        <v>2668.2699999999968</v>
      </c>
      <c r="N5" s="62">
        <f t="shared" si="1"/>
        <v>456818.18</v>
      </c>
      <c r="O5" s="62">
        <f t="shared" si="1"/>
        <v>484504.27999999997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VLOOKUP(H28,starratio3,4,FALSE)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10266.15</v>
      </c>
      <c r="L32" s="34"/>
      <c r="M32" s="34"/>
      <c r="N32" s="34">
        <f>ROUND($C$3*P32,2)</f>
        <v>10266.15</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10266.15</v>
      </c>
      <c r="L36" s="34">
        <f>SUM(L32:L35)</f>
        <v>0</v>
      </c>
      <c r="M36" s="34">
        <f>SUM(M32:M35)</f>
        <v>0</v>
      </c>
      <c r="N36" s="34">
        <f>SUM(N32:N35)</f>
        <v>10266.15</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10266.15</v>
      </c>
      <c r="L37" s="34">
        <f t="shared" si="11"/>
        <v>0</v>
      </c>
      <c r="M37" s="34">
        <f t="shared" si="11"/>
        <v>0</v>
      </c>
      <c r="N37" s="34">
        <f t="shared" si="11"/>
        <v>10266.15</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10266.15</v>
      </c>
      <c r="L44" s="34">
        <f>L37+L43</f>
        <v>0</v>
      </c>
      <c r="M44" s="34">
        <f>M37+M43</f>
        <v>0</v>
      </c>
      <c r="N44" s="34">
        <f>N37+N43</f>
        <v>10266.15</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2845.13</v>
      </c>
      <c r="L47" s="34"/>
      <c r="M47" s="34"/>
      <c r="N47" s="34">
        <f>ROUND($L$3*P47,2)</f>
        <v>2845.13</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2668.2699999999968</v>
      </c>
      <c r="L48" s="34"/>
      <c r="M48" s="34"/>
      <c r="N48" s="34">
        <f>M3-SUM(N10,N21,N35)</f>
        <v>2668.2699999999968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5513.3999999999969</v>
      </c>
      <c r="L49" s="34">
        <f>SUM(L45:L48)</f>
        <v>0</v>
      </c>
      <c r="M49" s="34">
        <f>SUM(M45:M48)</f>
        <v>0</v>
      </c>
      <c r="N49" s="34">
        <f>SUM(N45:N48)</f>
        <v>5513.3999999999969</v>
      </c>
      <c r="O49" s="8"/>
      <c r="P49" s="9"/>
    </row>
    <row r="50" spans="1:36" ht="21.95" customHeight="1" x14ac:dyDescent="0.2">
      <c r="A50" s="262"/>
      <c r="B50" s="261" t="s">
        <v>60</v>
      </c>
      <c r="C50" s="261"/>
      <c r="D50" s="261"/>
      <c r="E50" s="261"/>
      <c r="F50" s="261"/>
      <c r="G50" s="261"/>
      <c r="H50" s="261"/>
      <c r="I50" s="261"/>
      <c r="J50" s="34">
        <f>J49</f>
        <v>0</v>
      </c>
      <c r="K50" s="34">
        <f t="shared" ref="K50:N50" si="15">K49</f>
        <v>5513.3999999999969</v>
      </c>
      <c r="L50" s="34">
        <f t="shared" si="15"/>
        <v>0</v>
      </c>
      <c r="M50" s="34">
        <f t="shared" si="15"/>
        <v>0</v>
      </c>
      <c r="N50" s="34">
        <f t="shared" si="15"/>
        <v>5513.3999999999969</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5513.3999999999969</v>
      </c>
      <c r="L57" s="34">
        <f>L50+L56</f>
        <v>0</v>
      </c>
      <c r="M57" s="34">
        <f>M50+M56</f>
        <v>0</v>
      </c>
      <c r="N57" s="34">
        <f>N50+N56</f>
        <v>5513.3999999999969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135.16999999999999</v>
      </c>
      <c r="L59" s="34"/>
      <c r="M59" s="34"/>
      <c r="N59" s="34">
        <f>D3</f>
        <v>135.16999999999999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962.15</v>
      </c>
      <c r="L60" s="34"/>
      <c r="M60" s="34"/>
      <c r="N60" s="34">
        <f>E3</f>
        <v>962.15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1394.28</v>
      </c>
      <c r="L61" s="34"/>
      <c r="M61" s="34"/>
      <c r="N61" s="34">
        <f>G3-SUM(N9,N20,N33,N46)</f>
        <v>1394.28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613.62</v>
      </c>
      <c r="L62" s="34"/>
      <c r="M62" s="34"/>
      <c r="N62" s="34">
        <f>H3</f>
        <v>613.62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7900.94</v>
      </c>
      <c r="L63" s="34"/>
      <c r="M63" s="34"/>
      <c r="N63" s="34">
        <f>I3</f>
        <v>7900.94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464.5</v>
      </c>
      <c r="L64" s="34"/>
      <c r="M64" s="34"/>
      <c r="N64" s="34">
        <f>J3</f>
        <v>464.5</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435.89</v>
      </c>
      <c r="L66" s="34"/>
      <c r="M66" s="34"/>
      <c r="N66" s="34">
        <f>K3</f>
        <v>435.89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11906.55</v>
      </c>
      <c r="L68" s="34">
        <f>SUM(L58:L67)</f>
        <v>0</v>
      </c>
      <c r="M68" s="34">
        <f>SUM(M58:M67)</f>
        <v>0</v>
      </c>
      <c r="N68" s="34">
        <f>SUM(N58:N67)</f>
        <v>11906.55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11906.55</v>
      </c>
      <c r="L69" s="34">
        <f t="shared" si="20"/>
        <v>0</v>
      </c>
      <c r="M69" s="34">
        <f t="shared" si="20"/>
        <v>0</v>
      </c>
      <c r="N69" s="34">
        <f t="shared" si="20"/>
        <v>11906.55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11906.55</v>
      </c>
      <c r="L82" s="34">
        <f>L69+L81</f>
        <v>0</v>
      </c>
      <c r="M82" s="34">
        <f>M69+M81</f>
        <v>0</v>
      </c>
      <c r="N82" s="34">
        <f>N69+N81</f>
        <v>11906.55</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210413.37199999997</v>
      </c>
      <c r="L83" s="35">
        <f>L18+L31+L44+L57+L82</f>
        <v>159886.36299999998</v>
      </c>
      <c r="M83" s="35">
        <f>M18+M31+M44+M57+M82</f>
        <v>68522.726999999999</v>
      </c>
      <c r="N83" s="38">
        <f>N18+N31+N44+N57+N82</f>
        <v>484504.28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B21C978-E005-40ED-998B-102BD81202F7}">
          <x14:formula1>
            <xm:f>'2026 COB breakdown_Kris'!$A$5:$A$103</xm:f>
          </x14:formula1>
          <xm:sqref>A3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1C8BF-C5E2-4541-967A-85D8E00C28CE}">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199</v>
      </c>
      <c r="B3" s="58" t="s">
        <v>158</v>
      </c>
      <c r="C3" s="59">
        <f>VLOOKUP($A3,COBTABLE,15, FALSE)</f>
        <v>3480.73</v>
      </c>
      <c r="D3" s="59">
        <f>VLOOKUP($A3,COBTABLE,16, FALSE)</f>
        <v>45.83</v>
      </c>
      <c r="E3" s="59">
        <f>VLOOKUP($A3,COBTABLE,17, FALSE)</f>
        <v>326.22000000000003</v>
      </c>
      <c r="F3" s="59">
        <f>VLOOKUP($A3,COBTABLE,18, FALSE)</f>
        <v>0</v>
      </c>
      <c r="G3" s="59">
        <f>VLOOKUP($A3,COBTABLE,19, FALSE)</f>
        <v>472.73</v>
      </c>
      <c r="H3" s="59">
        <f>VLOOKUP($A3,COBTABLE,20, FALSE)</f>
        <v>208.05</v>
      </c>
      <c r="I3" s="59">
        <f>VLOOKUP($A3,COBTABLE,21, FALSE)</f>
        <v>2678.81</v>
      </c>
      <c r="J3" s="59">
        <f>VLOOKUP($A3,COBTABLE,22, FALSE)</f>
        <v>157.49</v>
      </c>
      <c r="K3" s="59">
        <f>VLOOKUP($A3,COBTABLE,23, FALSE)</f>
        <v>147.79</v>
      </c>
      <c r="L3" s="59">
        <f>VLOOKUP($A3,COBTABLE,24, FALSE)</f>
        <v>964.64</v>
      </c>
      <c r="M3" s="59">
        <f>VLOOKUP($A3,COBTABLE,25, FALSE)</f>
        <v>904.67000000000007</v>
      </c>
      <c r="N3" s="60">
        <f>VLOOKUP($A3, countrygrant,2,FALSE)</f>
        <v>456818.18</v>
      </c>
      <c r="O3" s="92">
        <f>SUM(C3:N3)</f>
        <v>466205.14</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4084.06</v>
      </c>
      <c r="D4" s="59">
        <f>VLOOKUP($A3,COBTABLE,28, FALSE)</f>
        <v>53.78</v>
      </c>
      <c r="E4" s="59">
        <f>VLOOKUP($A3,COBTABLE,29, FALSE)</f>
        <v>382.76</v>
      </c>
      <c r="F4" s="59">
        <f>VLOOKUP($A3,COBTABLE,30, FALSE)</f>
        <v>0</v>
      </c>
      <c r="G4" s="59">
        <f>VLOOKUP($A3,COBTABLE,31, FALSE)</f>
        <v>554.66999999999996</v>
      </c>
      <c r="H4" s="59">
        <f>VLOOKUP($A3,COBTABLE,32, FALSE)</f>
        <v>244.11</v>
      </c>
      <c r="I4" s="59">
        <f>VLOOKUP($A3,COBTABLE,33, FALSE)</f>
        <v>3143.14</v>
      </c>
      <c r="J4" s="59">
        <f>VLOOKUP($A3,COBTABLE,34, FALSE)</f>
        <v>184.79</v>
      </c>
      <c r="K4" s="59">
        <f>VLOOKUP($A3,COBTABLE,35, FALSE)</f>
        <v>173.4</v>
      </c>
      <c r="L4" s="59">
        <f>VLOOKUP($A3,COBTABLE,36, FALSE)</f>
        <v>1131.8499999999999</v>
      </c>
      <c r="M4" s="59">
        <f>VLOOKUP($A3,COBTABLE,37, FALSE)</f>
        <v>1061.4699999999993</v>
      </c>
      <c r="N4" s="60">
        <f>VLOOKUP($A3, countrygrant,3,FALSE)</f>
        <v>536000</v>
      </c>
      <c r="O4" s="92">
        <f t="shared" ref="O4" si="0">SUM(C4:N4)</f>
        <v>547014.03</v>
      </c>
      <c r="P4" s="28"/>
      <c r="Q4" s="28"/>
      <c r="R4" s="28"/>
      <c r="S4" s="28"/>
      <c r="T4" s="28"/>
      <c r="U4" s="28"/>
      <c r="V4" s="28"/>
      <c r="W4" s="28"/>
      <c r="X4" s="28"/>
      <c r="Y4" s="28"/>
      <c r="Z4" s="28"/>
      <c r="AA4" s="28"/>
      <c r="AB4" s="28"/>
      <c r="AC4" s="28"/>
    </row>
    <row r="5" spans="1:36" s="53" customFormat="1" ht="12" customHeight="1" x14ac:dyDescent="0.25">
      <c r="A5" s="278"/>
      <c r="B5" s="61" t="s">
        <v>156</v>
      </c>
      <c r="C5" s="62">
        <f>SUM(C3:C4)</f>
        <v>7564.79</v>
      </c>
      <c r="D5" s="62">
        <f t="shared" ref="D5:O5" si="1">SUM(D3:D4)</f>
        <v>99.61</v>
      </c>
      <c r="E5" s="62">
        <f t="shared" si="1"/>
        <v>708.98</v>
      </c>
      <c r="F5" s="62">
        <f t="shared" si="1"/>
        <v>0</v>
      </c>
      <c r="G5" s="62">
        <f t="shared" si="1"/>
        <v>1027.4000000000001</v>
      </c>
      <c r="H5" s="62">
        <f t="shared" si="1"/>
        <v>452.16</v>
      </c>
      <c r="I5" s="62">
        <f t="shared" si="1"/>
        <v>5821.95</v>
      </c>
      <c r="J5" s="62">
        <f t="shared" si="1"/>
        <v>342.28</v>
      </c>
      <c r="K5" s="62">
        <f t="shared" si="1"/>
        <v>321.19</v>
      </c>
      <c r="L5" s="62">
        <f t="shared" si="1"/>
        <v>2096.4899999999998</v>
      </c>
      <c r="M5" s="62">
        <f t="shared" si="1"/>
        <v>1966.1399999999994</v>
      </c>
      <c r="N5" s="62">
        <f t="shared" si="1"/>
        <v>992818.17999999993</v>
      </c>
      <c r="O5" s="62">
        <f t="shared" si="1"/>
        <v>1013219.17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VLOOKUP(H28,starratio3,4,FALSE)</f>
        <v>0</v>
      </c>
    </row>
    <row r="29" spans="1:36" ht="21.95" customHeight="1" x14ac:dyDescent="0.2">
      <c r="A29" s="262"/>
      <c r="B29" s="262"/>
      <c r="C29" s="263" t="s">
        <v>31</v>
      </c>
      <c r="D29" s="263"/>
      <c r="E29" s="263"/>
      <c r="F29" s="263"/>
      <c r="G29" s="263"/>
      <c r="H29" s="263"/>
      <c r="I29" s="263"/>
      <c r="J29" s="34">
        <f>SUM(J25:J28)</f>
        <v>53600</v>
      </c>
      <c r="K29" s="34">
        <f>SUM(K25:K28)</f>
        <v>214400</v>
      </c>
      <c r="L29" s="34">
        <f>SUM(L25:L28)</f>
        <v>187600</v>
      </c>
      <c r="M29" s="34">
        <f>SUM(M25:M28)</f>
        <v>80400</v>
      </c>
      <c r="N29" s="34">
        <f>SUM(N25:N28)</f>
        <v>536000</v>
      </c>
      <c r="O29" s="8"/>
      <c r="P29" s="9"/>
    </row>
    <row r="30" spans="1:36" ht="21.95" customHeight="1" x14ac:dyDescent="0.2">
      <c r="A30" s="262"/>
      <c r="B30" s="263" t="s">
        <v>44</v>
      </c>
      <c r="C30" s="263"/>
      <c r="D30" s="263"/>
      <c r="E30" s="263"/>
      <c r="F30" s="263"/>
      <c r="G30" s="263"/>
      <c r="H30" s="263"/>
      <c r="I30" s="263"/>
      <c r="J30" s="34">
        <f>J29</f>
        <v>53600</v>
      </c>
      <c r="K30" s="34">
        <f t="shared" ref="K30:N30" si="9">K29</f>
        <v>214400</v>
      </c>
      <c r="L30" s="34">
        <f t="shared" si="9"/>
        <v>187600</v>
      </c>
      <c r="M30" s="34">
        <f t="shared" si="9"/>
        <v>80400</v>
      </c>
      <c r="N30" s="34">
        <f t="shared" si="9"/>
        <v>536000</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397127.272</v>
      </c>
      <c r="L31" s="34">
        <f>L24+L30</f>
        <v>347486.36300000001</v>
      </c>
      <c r="M31" s="34">
        <f>M24+M30</f>
        <v>148922.72700000001</v>
      </c>
      <c r="N31" s="34">
        <f>N24+N30</f>
        <v>992818.17999999993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3480.73</v>
      </c>
      <c r="L32" s="34"/>
      <c r="M32" s="34"/>
      <c r="N32" s="34">
        <f>ROUND($C$3*P32,2)</f>
        <v>3480.73</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3480.73</v>
      </c>
      <c r="L36" s="34">
        <f>SUM(L32:L35)</f>
        <v>0</v>
      </c>
      <c r="M36" s="34">
        <f>SUM(M32:M35)</f>
        <v>0</v>
      </c>
      <c r="N36" s="34">
        <f>SUM(N32:N35)</f>
        <v>3480.73</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3480.73</v>
      </c>
      <c r="L37" s="34">
        <f t="shared" si="11"/>
        <v>0</v>
      </c>
      <c r="M37" s="34">
        <f t="shared" si="11"/>
        <v>0</v>
      </c>
      <c r="N37" s="34">
        <f t="shared" si="11"/>
        <v>3480.73</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4084.06</v>
      </c>
      <c r="L38" s="34"/>
      <c r="M38" s="34"/>
      <c r="N38" s="34">
        <f>ROUND($C$4*P38,2)</f>
        <v>4084.06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4084.06</v>
      </c>
      <c r="L42" s="34">
        <f>SUM(L38:L41)</f>
        <v>0</v>
      </c>
      <c r="M42" s="34">
        <f>SUM(M38:M41)</f>
        <v>0</v>
      </c>
      <c r="N42" s="34">
        <f>SUM(N38:N41)</f>
        <v>4084.06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4084.06</v>
      </c>
      <c r="L43" s="34">
        <f t="shared" si="13"/>
        <v>0</v>
      </c>
      <c r="M43" s="34">
        <f t="shared" si="13"/>
        <v>0</v>
      </c>
      <c r="N43" s="34">
        <f t="shared" si="13"/>
        <v>4084.06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7564.79</v>
      </c>
      <c r="L44" s="34">
        <f>L37+L43</f>
        <v>0</v>
      </c>
      <c r="M44" s="34">
        <f>M37+M43</f>
        <v>0</v>
      </c>
      <c r="N44" s="34">
        <f>N37+N43</f>
        <v>7564.79</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964.64</v>
      </c>
      <c r="L47" s="34"/>
      <c r="M47" s="34"/>
      <c r="N47" s="34">
        <f>ROUND($L$3*P47,2)</f>
        <v>964.64</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904.67000000000007</v>
      </c>
      <c r="L48" s="34"/>
      <c r="M48" s="34"/>
      <c r="N48" s="34">
        <f>M3-SUM(N10,N21,N35)</f>
        <v>904.67000000000007</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1869.31</v>
      </c>
      <c r="L49" s="34">
        <f>SUM(L45:L48)</f>
        <v>0</v>
      </c>
      <c r="M49" s="34">
        <f>SUM(M45:M48)</f>
        <v>0</v>
      </c>
      <c r="N49" s="34">
        <f>SUM(N45:N48)</f>
        <v>1869.31</v>
      </c>
      <c r="O49" s="8"/>
      <c r="P49" s="9"/>
    </row>
    <row r="50" spans="1:36" ht="21.95" customHeight="1" x14ac:dyDescent="0.2">
      <c r="A50" s="262"/>
      <c r="B50" s="261" t="s">
        <v>60</v>
      </c>
      <c r="C50" s="261"/>
      <c r="D50" s="261"/>
      <c r="E50" s="261"/>
      <c r="F50" s="261"/>
      <c r="G50" s="261"/>
      <c r="H50" s="261"/>
      <c r="I50" s="261"/>
      <c r="J50" s="34">
        <f>J49</f>
        <v>0</v>
      </c>
      <c r="K50" s="34">
        <f t="shared" ref="K50:N50" si="15">K49</f>
        <v>1869.31</v>
      </c>
      <c r="L50" s="34">
        <f t="shared" si="15"/>
        <v>0</v>
      </c>
      <c r="M50" s="34">
        <f t="shared" si="15"/>
        <v>0</v>
      </c>
      <c r="N50" s="34">
        <f t="shared" si="15"/>
        <v>1869.31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1131.8499999999999</v>
      </c>
      <c r="L53" s="34"/>
      <c r="M53" s="34"/>
      <c r="N53" s="34">
        <f>ROUND($L$4*P53,2)</f>
        <v>1131.8499999999999</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1061.4699999999993</v>
      </c>
      <c r="L54" s="34"/>
      <c r="M54" s="34"/>
      <c r="N54" s="34">
        <f>M4-SUM(N15,N27,N41)</f>
        <v>1061.4699999999993</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2193.3199999999993</v>
      </c>
      <c r="L55" s="34">
        <f>SUM(L51:L54)</f>
        <v>0</v>
      </c>
      <c r="M55" s="34">
        <f>SUM(M51:M54)</f>
        <v>0</v>
      </c>
      <c r="N55" s="34">
        <f>SUM(N51:N54)</f>
        <v>2193.3199999999993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2193.3199999999993</v>
      </c>
      <c r="L56" s="34">
        <f t="shared" si="17"/>
        <v>0</v>
      </c>
      <c r="M56" s="34">
        <f t="shared" si="17"/>
        <v>0</v>
      </c>
      <c r="N56" s="34">
        <f t="shared" si="17"/>
        <v>2193.3199999999993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4062.6299999999992</v>
      </c>
      <c r="L57" s="34">
        <f>L50+L56</f>
        <v>0</v>
      </c>
      <c r="M57" s="34">
        <f>M50+M56</f>
        <v>0</v>
      </c>
      <c r="N57" s="34">
        <f>N50+N56</f>
        <v>4062.6299999999992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45.83</v>
      </c>
      <c r="L59" s="34"/>
      <c r="M59" s="34"/>
      <c r="N59" s="34">
        <f>D3</f>
        <v>45.83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326.22000000000003</v>
      </c>
      <c r="L60" s="34"/>
      <c r="M60" s="34"/>
      <c r="N60" s="34">
        <f>E3</f>
        <v>326.22000000000003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472.73</v>
      </c>
      <c r="L61" s="34"/>
      <c r="M61" s="34"/>
      <c r="N61" s="34">
        <f>G3-SUM(N9,N20,N33,N46)</f>
        <v>472.73</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208.05</v>
      </c>
      <c r="L62" s="34"/>
      <c r="M62" s="34"/>
      <c r="N62" s="34">
        <f>H3</f>
        <v>208.05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2678.81</v>
      </c>
      <c r="L63" s="34"/>
      <c r="M63" s="34"/>
      <c r="N63" s="34">
        <f>I3</f>
        <v>2678.81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157.49</v>
      </c>
      <c r="L64" s="34"/>
      <c r="M64" s="34"/>
      <c r="N64" s="34">
        <f>J3</f>
        <v>157.49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147.79</v>
      </c>
      <c r="L66" s="34"/>
      <c r="M66" s="34"/>
      <c r="N66" s="34">
        <f>K3</f>
        <v>147.79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4036.92</v>
      </c>
      <c r="L68" s="34">
        <f>SUM(L58:L67)</f>
        <v>0</v>
      </c>
      <c r="M68" s="34">
        <f>SUM(M58:M67)</f>
        <v>0</v>
      </c>
      <c r="N68" s="34">
        <f>SUM(N58:N67)</f>
        <v>4036.92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4036.92</v>
      </c>
      <c r="L69" s="34">
        <f t="shared" si="20"/>
        <v>0</v>
      </c>
      <c r="M69" s="34">
        <f t="shared" si="20"/>
        <v>0</v>
      </c>
      <c r="N69" s="34">
        <f t="shared" si="20"/>
        <v>4036.92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53.78</v>
      </c>
      <c r="L71" s="34"/>
      <c r="M71" s="34"/>
      <c r="N71" s="34">
        <f>D4</f>
        <v>53.78</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382.76</v>
      </c>
      <c r="L72" s="34"/>
      <c r="M72" s="34"/>
      <c r="N72" s="34">
        <f>E4</f>
        <v>382.76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554.66999999999996</v>
      </c>
      <c r="L73" s="34"/>
      <c r="M73" s="34"/>
      <c r="N73" s="34">
        <f>G4-SUM(N14,N26,N39,N52)</f>
        <v>554.66999999999996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244.11</v>
      </c>
      <c r="L74" s="34"/>
      <c r="M74" s="34"/>
      <c r="N74" s="34">
        <f>H4</f>
        <v>244.11</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3143.14</v>
      </c>
      <c r="L75" s="34"/>
      <c r="M75" s="34"/>
      <c r="N75" s="34">
        <f>I4</f>
        <v>3143.14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184.79</v>
      </c>
      <c r="L76" s="34"/>
      <c r="M76" s="34"/>
      <c r="N76" s="34">
        <f>J4</f>
        <v>184.79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173.4</v>
      </c>
      <c r="L78" s="34"/>
      <c r="M78" s="34"/>
      <c r="N78" s="34">
        <f>K4</f>
        <v>173.4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4736.6499999999996</v>
      </c>
      <c r="L80" s="34">
        <f>SUM(L70:L79)</f>
        <v>0</v>
      </c>
      <c r="M80" s="34">
        <f>SUM(M70:M79)</f>
        <v>0</v>
      </c>
      <c r="N80" s="34">
        <f>SUM(N70:N79)</f>
        <v>4736.6499999999996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4736.6499999999996</v>
      </c>
      <c r="L81" s="34">
        <f t="shared" si="23"/>
        <v>0</v>
      </c>
      <c r="M81" s="34">
        <f t="shared" si="23"/>
        <v>0</v>
      </c>
      <c r="N81" s="34">
        <f t="shared" si="23"/>
        <v>4736.6499999999996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8773.57</v>
      </c>
      <c r="L82" s="34">
        <f>L69+L81</f>
        <v>0</v>
      </c>
      <c r="M82" s="34">
        <f>M69+M81</f>
        <v>0</v>
      </c>
      <c r="N82" s="34">
        <f>N69+N81</f>
        <v>8773.57</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417528.26199999999</v>
      </c>
      <c r="L83" s="35">
        <f>L18+L31+L44+L57+L82</f>
        <v>347486.36300000001</v>
      </c>
      <c r="M83" s="35">
        <f>M18+M31+M44+M57+M82</f>
        <v>148922.72700000001</v>
      </c>
      <c r="N83" s="38">
        <f>N18+N31+N44+N57+N82</f>
        <v>1013219.1699999999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EBD4217-9B19-491D-9ED8-E0567FA2DD57}">
          <x14:formula1>
            <xm:f>'2026 COB breakdown_Kris'!$A$5:$A$103</xm:f>
          </x14:formula1>
          <xm:sqref>A3</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129EF-9BEE-4907-A02B-5793B8D2C0E9}">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200</v>
      </c>
      <c r="B3" s="58" t="s">
        <v>158</v>
      </c>
      <c r="C3" s="59">
        <f>VLOOKUP($A3,COBTABLE,15, FALSE)</f>
        <v>13126.5</v>
      </c>
      <c r="D3" s="59">
        <f>VLOOKUP($A3,COBTABLE,16, FALSE)</f>
        <v>172.83</v>
      </c>
      <c r="E3" s="59">
        <f>VLOOKUP($A3,COBTABLE,17, FALSE)</f>
        <v>1230.22</v>
      </c>
      <c r="F3" s="59">
        <f>VLOOKUP($A3,COBTABLE,18, FALSE)</f>
        <v>0</v>
      </c>
      <c r="G3" s="59">
        <f>VLOOKUP($A3,COBTABLE,19, FALSE)</f>
        <v>1782.75</v>
      </c>
      <c r="H3" s="59">
        <f>VLOOKUP($A3,COBTABLE,20, FALSE)</f>
        <v>784.59</v>
      </c>
      <c r="I3" s="59">
        <f>VLOOKUP($A3,COBTABLE,21, FALSE)</f>
        <v>10102.299999999999</v>
      </c>
      <c r="J3" s="59">
        <f>VLOOKUP($A3,COBTABLE,22, FALSE)</f>
        <v>593.91999999999996</v>
      </c>
      <c r="K3" s="59">
        <f>VLOOKUP($A3,COBTABLE,23, FALSE)</f>
        <v>557.34</v>
      </c>
      <c r="L3" s="59">
        <f>VLOOKUP($A3,COBTABLE,24, FALSE)</f>
        <v>3637.84</v>
      </c>
      <c r="M3" s="59">
        <f>VLOOKUP($A3,COBTABLE,25, FALSE)</f>
        <v>3411.7100000000028</v>
      </c>
      <c r="N3" s="60">
        <f>VLOOKUP($A3, countrygrant,2,FALSE)</f>
        <v>456818.18</v>
      </c>
      <c r="O3" s="92">
        <f>SUM(C3:N3)</f>
        <v>492218.18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13126.5</v>
      </c>
      <c r="D5" s="62">
        <f t="shared" ref="D5:O5" si="1">SUM(D3:D4)</f>
        <v>172.83</v>
      </c>
      <c r="E5" s="62">
        <f t="shared" si="1"/>
        <v>1230.22</v>
      </c>
      <c r="F5" s="62">
        <f t="shared" si="1"/>
        <v>0</v>
      </c>
      <c r="G5" s="62">
        <f t="shared" si="1"/>
        <v>1782.75</v>
      </c>
      <c r="H5" s="62">
        <f t="shared" si="1"/>
        <v>784.59</v>
      </c>
      <c r="I5" s="62">
        <f t="shared" si="1"/>
        <v>10102.299999999999</v>
      </c>
      <c r="J5" s="62">
        <f t="shared" si="1"/>
        <v>593.91999999999996</v>
      </c>
      <c r="K5" s="62">
        <f t="shared" si="1"/>
        <v>557.34</v>
      </c>
      <c r="L5" s="62">
        <f t="shared" si="1"/>
        <v>3637.84</v>
      </c>
      <c r="M5" s="62">
        <f t="shared" si="1"/>
        <v>3411.7100000000028</v>
      </c>
      <c r="N5" s="62">
        <f t="shared" si="1"/>
        <v>456818.18</v>
      </c>
      <c r="O5" s="62">
        <f t="shared" si="1"/>
        <v>492218.18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VLOOKUP(H28,starratio3,4,FALSE)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13126.5</v>
      </c>
      <c r="L32" s="34"/>
      <c r="M32" s="34"/>
      <c r="N32" s="34">
        <f>ROUND($C$3*P32,2)</f>
        <v>13126.5</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13126.5</v>
      </c>
      <c r="L36" s="34">
        <f>SUM(L32:L35)</f>
        <v>0</v>
      </c>
      <c r="M36" s="34">
        <f>SUM(M32:M35)</f>
        <v>0</v>
      </c>
      <c r="N36" s="34">
        <f>SUM(N32:N35)</f>
        <v>13126.5</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13126.5</v>
      </c>
      <c r="L37" s="34">
        <f t="shared" si="11"/>
        <v>0</v>
      </c>
      <c r="M37" s="34">
        <f t="shared" si="11"/>
        <v>0</v>
      </c>
      <c r="N37" s="34">
        <f t="shared" si="11"/>
        <v>13126.5</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13126.5</v>
      </c>
      <c r="L44" s="34">
        <f>L37+L43</f>
        <v>0</v>
      </c>
      <c r="M44" s="34">
        <f>M37+M43</f>
        <v>0</v>
      </c>
      <c r="N44" s="34">
        <f>N37+N43</f>
        <v>13126.5</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3637.84</v>
      </c>
      <c r="L47" s="34"/>
      <c r="M47" s="34"/>
      <c r="N47" s="34">
        <f>ROUND($L$3*P47,2)</f>
        <v>3637.84</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3411.7100000000028</v>
      </c>
      <c r="L48" s="34"/>
      <c r="M48" s="34"/>
      <c r="N48" s="34">
        <f>M3-SUM(N10,N21,N35)</f>
        <v>3411.7100000000028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7049.5500000000029</v>
      </c>
      <c r="L49" s="34">
        <f>SUM(L45:L48)</f>
        <v>0</v>
      </c>
      <c r="M49" s="34">
        <f>SUM(M45:M48)</f>
        <v>0</v>
      </c>
      <c r="N49" s="34">
        <f>SUM(N45:N48)</f>
        <v>7049.5500000000029</v>
      </c>
      <c r="O49" s="8"/>
      <c r="P49" s="9"/>
    </row>
    <row r="50" spans="1:36" ht="21.95" customHeight="1" x14ac:dyDescent="0.2">
      <c r="A50" s="262"/>
      <c r="B50" s="261" t="s">
        <v>60</v>
      </c>
      <c r="C50" s="261"/>
      <c r="D50" s="261"/>
      <c r="E50" s="261"/>
      <c r="F50" s="261"/>
      <c r="G50" s="261"/>
      <c r="H50" s="261"/>
      <c r="I50" s="261"/>
      <c r="J50" s="34">
        <f>J49</f>
        <v>0</v>
      </c>
      <c r="K50" s="34">
        <f t="shared" ref="K50:N50" si="15">K49</f>
        <v>7049.5500000000029</v>
      </c>
      <c r="L50" s="34">
        <f t="shared" si="15"/>
        <v>0</v>
      </c>
      <c r="M50" s="34">
        <f t="shared" si="15"/>
        <v>0</v>
      </c>
      <c r="N50" s="34">
        <f t="shared" si="15"/>
        <v>7049.5500000000029</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7049.5500000000029</v>
      </c>
      <c r="L57" s="34">
        <f>L50+L56</f>
        <v>0</v>
      </c>
      <c r="M57" s="34">
        <f>M50+M56</f>
        <v>0</v>
      </c>
      <c r="N57" s="34">
        <f>N50+N56</f>
        <v>7049.5500000000029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172.83</v>
      </c>
      <c r="L59" s="34"/>
      <c r="M59" s="34"/>
      <c r="N59" s="34">
        <f>D3</f>
        <v>172.83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1230.22</v>
      </c>
      <c r="L60" s="34"/>
      <c r="M60" s="34"/>
      <c r="N60" s="34">
        <f>E3</f>
        <v>1230.22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1782.75</v>
      </c>
      <c r="L61" s="34"/>
      <c r="M61" s="34"/>
      <c r="N61" s="34">
        <f>G3-SUM(N9,N20,N33,N46)</f>
        <v>1782.75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784.59</v>
      </c>
      <c r="L62" s="34"/>
      <c r="M62" s="34"/>
      <c r="N62" s="34">
        <f>H3</f>
        <v>784.59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10102.299999999999</v>
      </c>
      <c r="L63" s="34"/>
      <c r="M63" s="34"/>
      <c r="N63" s="34">
        <f>I3</f>
        <v>10102.299999999999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593.91999999999996</v>
      </c>
      <c r="L64" s="34"/>
      <c r="M64" s="34"/>
      <c r="N64" s="34">
        <f>J3</f>
        <v>593.91999999999996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557.34</v>
      </c>
      <c r="L66" s="34"/>
      <c r="M66" s="34"/>
      <c r="N66" s="34">
        <f>K3</f>
        <v>557.34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15223.949999999999</v>
      </c>
      <c r="L68" s="34">
        <f>SUM(L58:L67)</f>
        <v>0</v>
      </c>
      <c r="M68" s="34">
        <f>SUM(M58:M67)</f>
        <v>0</v>
      </c>
      <c r="N68" s="34">
        <f>SUM(N58:N67)</f>
        <v>15223.949999999999</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15223.949999999999</v>
      </c>
      <c r="L69" s="34">
        <f t="shared" si="20"/>
        <v>0</v>
      </c>
      <c r="M69" s="34">
        <f t="shared" si="20"/>
        <v>0</v>
      </c>
      <c r="N69" s="34">
        <f t="shared" si="20"/>
        <v>15223.949999999999</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15223.949999999999</v>
      </c>
      <c r="L82" s="34">
        <f>L69+L81</f>
        <v>0</v>
      </c>
      <c r="M82" s="34">
        <f>M69+M81</f>
        <v>0</v>
      </c>
      <c r="N82" s="34">
        <f>N69+N81</f>
        <v>15223.949999999999</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218127.272</v>
      </c>
      <c r="L83" s="35">
        <f>L18+L31+L44+L57+L82</f>
        <v>159886.36299999998</v>
      </c>
      <c r="M83" s="35">
        <f>M18+M31+M44+M57+M82</f>
        <v>68522.726999999999</v>
      </c>
      <c r="N83" s="38">
        <f>N18+N31+N44+N57+N82</f>
        <v>492218.18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62A0AA2-FD78-40FE-93B1-A6D5DCB0DEAE}">
          <x14:formula1>
            <xm:f>'2026 COB breakdown_Kris'!$A$5:$A$103</xm:f>
          </x14:formula1>
          <xm:sqref>A3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2A9AE-068D-43A5-9ED0-F71362FECFB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201</v>
      </c>
      <c r="B3" s="58" t="s">
        <v>158</v>
      </c>
      <c r="C3" s="59">
        <f>VLOOKUP($A3,COBTABLE,15, FALSE)</f>
        <v>10141.280000000001</v>
      </c>
      <c r="D3" s="59">
        <f>VLOOKUP($A3,COBTABLE,16, FALSE)</f>
        <v>133.53</v>
      </c>
      <c r="E3" s="59">
        <f>VLOOKUP($A3,COBTABLE,17, FALSE)</f>
        <v>950.45</v>
      </c>
      <c r="F3" s="59">
        <f>VLOOKUP($A3,COBTABLE,18, FALSE)</f>
        <v>0</v>
      </c>
      <c r="G3" s="59">
        <f>VLOOKUP($A3,COBTABLE,19, FALSE)</f>
        <v>1377.32</v>
      </c>
      <c r="H3" s="59">
        <f>VLOOKUP($A3,COBTABLE,20, FALSE)</f>
        <v>606.16</v>
      </c>
      <c r="I3" s="59">
        <f>VLOOKUP($A3,COBTABLE,21, FALSE)</f>
        <v>7804.84</v>
      </c>
      <c r="J3" s="59">
        <f>VLOOKUP($A3,COBTABLE,22, FALSE)</f>
        <v>458.85</v>
      </c>
      <c r="K3" s="59">
        <f>VLOOKUP($A3,COBTABLE,23, FALSE)</f>
        <v>430.59</v>
      </c>
      <c r="L3" s="59">
        <f>VLOOKUP($A3,COBTABLE,24, FALSE)</f>
        <v>2810.52</v>
      </c>
      <c r="M3" s="59">
        <f>VLOOKUP($A3,COBTABLE,25, FALSE)</f>
        <v>2635.7999999999993</v>
      </c>
      <c r="N3" s="60">
        <f>VLOOKUP($A3, countrygrant,2,FALSE)</f>
        <v>456818.18</v>
      </c>
      <c r="O3" s="92">
        <f>SUM(C3:N3)</f>
        <v>484167.52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9.52</v>
      </c>
      <c r="D4" s="59">
        <f>VLOOKUP($A3,COBTABLE,28, FALSE)</f>
        <v>0.13</v>
      </c>
      <c r="E4" s="59">
        <f>VLOOKUP($A3,COBTABLE,29, FALSE)</f>
        <v>0.89</v>
      </c>
      <c r="F4" s="59">
        <f>VLOOKUP($A3,COBTABLE,30, FALSE)</f>
        <v>0</v>
      </c>
      <c r="G4" s="59">
        <f>VLOOKUP($A3,COBTABLE,31, FALSE)</f>
        <v>1.29</v>
      </c>
      <c r="H4" s="59">
        <f>VLOOKUP($A3,COBTABLE,32, FALSE)</f>
        <v>0.56999999999999995</v>
      </c>
      <c r="I4" s="59">
        <f>VLOOKUP($A3,COBTABLE,33, FALSE)</f>
        <v>7.33</v>
      </c>
      <c r="J4" s="59">
        <f>VLOOKUP($A3,COBTABLE,34, FALSE)</f>
        <v>0.43</v>
      </c>
      <c r="K4" s="59">
        <f>VLOOKUP($A3,COBTABLE,35, FALSE)</f>
        <v>0.4</v>
      </c>
      <c r="L4" s="59">
        <f>VLOOKUP($A3,COBTABLE,36, FALSE)</f>
        <v>2.64</v>
      </c>
      <c r="M4" s="59">
        <f>VLOOKUP($A3,COBTABLE,37, FALSE)</f>
        <v>2.4699999999999989</v>
      </c>
      <c r="N4" s="60">
        <f>VLOOKUP($A3, countrygrant,3,FALSE)</f>
        <v>428.8</v>
      </c>
      <c r="O4" s="92">
        <f t="shared" ref="O4" si="0">SUM(C4:N4)</f>
        <v>454.47</v>
      </c>
      <c r="P4" s="28"/>
      <c r="Q4" s="28"/>
      <c r="R4" s="28"/>
      <c r="S4" s="28"/>
      <c r="T4" s="28"/>
      <c r="U4" s="28"/>
      <c r="V4" s="28"/>
      <c r="W4" s="28"/>
      <c r="X4" s="28"/>
      <c r="Y4" s="28"/>
      <c r="Z4" s="28"/>
      <c r="AA4" s="28"/>
      <c r="AB4" s="28"/>
      <c r="AC4" s="28"/>
    </row>
    <row r="5" spans="1:36" s="53" customFormat="1" ht="12" customHeight="1" x14ac:dyDescent="0.25">
      <c r="A5" s="278"/>
      <c r="B5" s="61" t="s">
        <v>156</v>
      </c>
      <c r="C5" s="62">
        <f>SUM(C3:C4)</f>
        <v>10150.800000000001</v>
      </c>
      <c r="D5" s="62">
        <f t="shared" ref="D5:O5" si="1">SUM(D3:D4)</f>
        <v>133.66</v>
      </c>
      <c r="E5" s="62">
        <f t="shared" si="1"/>
        <v>951.34</v>
      </c>
      <c r="F5" s="62">
        <f t="shared" si="1"/>
        <v>0</v>
      </c>
      <c r="G5" s="62">
        <f t="shared" si="1"/>
        <v>1378.61</v>
      </c>
      <c r="H5" s="62">
        <f t="shared" si="1"/>
        <v>606.73</v>
      </c>
      <c r="I5" s="62">
        <f t="shared" si="1"/>
        <v>7812.17</v>
      </c>
      <c r="J5" s="62">
        <f t="shared" si="1"/>
        <v>459.28000000000003</v>
      </c>
      <c r="K5" s="62">
        <f t="shared" si="1"/>
        <v>430.98999999999995</v>
      </c>
      <c r="L5" s="62">
        <f t="shared" si="1"/>
        <v>2813.16</v>
      </c>
      <c r="M5" s="62">
        <f t="shared" si="1"/>
        <v>2638.2699999999991</v>
      </c>
      <c r="N5" s="62">
        <f t="shared" si="1"/>
        <v>457246.98</v>
      </c>
      <c r="O5" s="62">
        <f t="shared" si="1"/>
        <v>484621.99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42.88</v>
      </c>
      <c r="K28" s="34">
        <f>$N28*0.4</f>
        <v>171.52</v>
      </c>
      <c r="L28" s="34">
        <f>$N28*0.35</f>
        <v>150.07999999999998</v>
      </c>
      <c r="M28" s="34">
        <f>$N28*0.15</f>
        <v>64.319999999999993</v>
      </c>
      <c r="N28" s="34">
        <f>N4</f>
        <v>428.8</v>
      </c>
      <c r="O28" s="8"/>
      <c r="P28" s="9">
        <f>VLOOKUP(H28,starratio3,4,FALSE)</f>
        <v>0</v>
      </c>
    </row>
    <row r="29" spans="1:36" ht="21.95" customHeight="1" x14ac:dyDescent="0.2">
      <c r="A29" s="262"/>
      <c r="B29" s="262"/>
      <c r="C29" s="263" t="s">
        <v>31</v>
      </c>
      <c r="D29" s="263"/>
      <c r="E29" s="263"/>
      <c r="F29" s="263"/>
      <c r="G29" s="263"/>
      <c r="H29" s="263"/>
      <c r="I29" s="263"/>
      <c r="J29" s="34">
        <f>SUM(J25:J28)</f>
        <v>42.88</v>
      </c>
      <c r="K29" s="34">
        <f>SUM(K25:K28)</f>
        <v>171.52</v>
      </c>
      <c r="L29" s="34">
        <f>SUM(L25:L28)</f>
        <v>150.07999999999998</v>
      </c>
      <c r="M29" s="34">
        <f>SUM(M25:M28)</f>
        <v>64.319999999999993</v>
      </c>
      <c r="N29" s="34">
        <f>SUM(N25:N28)</f>
        <v>428.8</v>
      </c>
      <c r="O29" s="8"/>
      <c r="P29" s="9"/>
    </row>
    <row r="30" spans="1:36" ht="21.95" customHeight="1" x14ac:dyDescent="0.2">
      <c r="A30" s="262"/>
      <c r="B30" s="263" t="s">
        <v>44</v>
      </c>
      <c r="C30" s="263"/>
      <c r="D30" s="263"/>
      <c r="E30" s="263"/>
      <c r="F30" s="263"/>
      <c r="G30" s="263"/>
      <c r="H30" s="263"/>
      <c r="I30" s="263"/>
      <c r="J30" s="34">
        <f>J29</f>
        <v>42.88</v>
      </c>
      <c r="K30" s="34">
        <f t="shared" ref="K30:N30" si="9">K29</f>
        <v>171.52</v>
      </c>
      <c r="L30" s="34">
        <f t="shared" si="9"/>
        <v>150.07999999999998</v>
      </c>
      <c r="M30" s="34">
        <f t="shared" si="9"/>
        <v>64.319999999999993</v>
      </c>
      <c r="N30" s="34">
        <f t="shared" si="9"/>
        <v>428.8</v>
      </c>
      <c r="O30" s="8"/>
      <c r="Q30" s="10"/>
      <c r="Z30" s="11"/>
      <c r="AC30" s="12"/>
      <c r="AD30" s="13"/>
    </row>
    <row r="31" spans="1:36" ht="21.95" customHeight="1" x14ac:dyDescent="0.2">
      <c r="A31" s="261" t="s">
        <v>45</v>
      </c>
      <c r="B31" s="261"/>
      <c r="C31" s="261"/>
      <c r="D31" s="261"/>
      <c r="E31" s="261"/>
      <c r="F31" s="261"/>
      <c r="G31" s="261"/>
      <c r="H31" s="261"/>
      <c r="I31" s="261"/>
      <c r="J31" s="34">
        <f>J24+J30</f>
        <v>45724.697999999997</v>
      </c>
      <c r="K31" s="34">
        <f>K24+K30</f>
        <v>182898.79199999999</v>
      </c>
      <c r="L31" s="34">
        <f>L24+L30</f>
        <v>160036.44299999997</v>
      </c>
      <c r="M31" s="34">
        <f>M24+M30</f>
        <v>68587.047000000006</v>
      </c>
      <c r="N31" s="34">
        <f>N24+N30</f>
        <v>457246.98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10141.280000000001</v>
      </c>
      <c r="L32" s="34"/>
      <c r="M32" s="34"/>
      <c r="N32" s="34">
        <f>ROUND($C$3*P32,2)</f>
        <v>10141.280000000001</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10141.280000000001</v>
      </c>
      <c r="L36" s="34">
        <f>SUM(L32:L35)</f>
        <v>0</v>
      </c>
      <c r="M36" s="34">
        <f>SUM(M32:M35)</f>
        <v>0</v>
      </c>
      <c r="N36" s="34">
        <f>SUM(N32:N35)</f>
        <v>10141.280000000001</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10141.280000000001</v>
      </c>
      <c r="L37" s="34">
        <f t="shared" si="11"/>
        <v>0</v>
      </c>
      <c r="M37" s="34">
        <f t="shared" si="11"/>
        <v>0</v>
      </c>
      <c r="N37" s="34">
        <f t="shared" si="11"/>
        <v>10141.280000000001</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9.52</v>
      </c>
      <c r="L38" s="34"/>
      <c r="M38" s="34"/>
      <c r="N38" s="34">
        <f>ROUND($C$4*P38,2)</f>
        <v>9.52</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9.52</v>
      </c>
      <c r="L42" s="34">
        <f>SUM(L38:L41)</f>
        <v>0</v>
      </c>
      <c r="M42" s="34">
        <f>SUM(M38:M41)</f>
        <v>0</v>
      </c>
      <c r="N42" s="34">
        <f>SUM(N38:N41)</f>
        <v>9.52</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9.52</v>
      </c>
      <c r="L43" s="34">
        <f t="shared" si="13"/>
        <v>0</v>
      </c>
      <c r="M43" s="34">
        <f t="shared" si="13"/>
        <v>0</v>
      </c>
      <c r="N43" s="34">
        <f t="shared" si="13"/>
        <v>9.52</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10150.800000000001</v>
      </c>
      <c r="L44" s="34">
        <f>L37+L43</f>
        <v>0</v>
      </c>
      <c r="M44" s="34">
        <f>M37+M43</f>
        <v>0</v>
      </c>
      <c r="N44" s="34">
        <f>N37+N43</f>
        <v>10150.800000000001</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2810.52</v>
      </c>
      <c r="L47" s="34"/>
      <c r="M47" s="34"/>
      <c r="N47" s="34">
        <f>ROUND($L$3*P47,2)</f>
        <v>2810.52</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2635.7999999999993</v>
      </c>
      <c r="L48" s="34"/>
      <c r="M48" s="34"/>
      <c r="N48" s="34">
        <f>M3-SUM(N10,N21,N35)</f>
        <v>2635.7999999999993</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5446.32</v>
      </c>
      <c r="L49" s="34">
        <f>SUM(L45:L48)</f>
        <v>0</v>
      </c>
      <c r="M49" s="34">
        <f>SUM(M45:M48)</f>
        <v>0</v>
      </c>
      <c r="N49" s="34">
        <f>SUM(N45:N48)</f>
        <v>5446.32</v>
      </c>
      <c r="O49" s="8"/>
      <c r="P49" s="9"/>
    </row>
    <row r="50" spans="1:36" ht="21.95" customHeight="1" x14ac:dyDescent="0.2">
      <c r="A50" s="262"/>
      <c r="B50" s="261" t="s">
        <v>60</v>
      </c>
      <c r="C50" s="261"/>
      <c r="D50" s="261"/>
      <c r="E50" s="261"/>
      <c r="F50" s="261"/>
      <c r="G50" s="261"/>
      <c r="H50" s="261"/>
      <c r="I50" s="261"/>
      <c r="J50" s="34">
        <f>J49</f>
        <v>0</v>
      </c>
      <c r="K50" s="34">
        <f t="shared" ref="K50:N50" si="15">K49</f>
        <v>5446.32</v>
      </c>
      <c r="L50" s="34">
        <f t="shared" si="15"/>
        <v>0</v>
      </c>
      <c r="M50" s="34">
        <f t="shared" si="15"/>
        <v>0</v>
      </c>
      <c r="N50" s="34">
        <f t="shared" si="15"/>
        <v>5446.32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2.64</v>
      </c>
      <c r="L53" s="34"/>
      <c r="M53" s="34"/>
      <c r="N53" s="34">
        <f>ROUND($L$4*P53,2)</f>
        <v>2.64</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2.4699999999999989</v>
      </c>
      <c r="L54" s="34"/>
      <c r="M54" s="34"/>
      <c r="N54" s="34">
        <f>M4-SUM(N15,N27,N41)</f>
        <v>2.4699999999999989</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5.1099999999999994</v>
      </c>
      <c r="L55" s="34">
        <f>SUM(L51:L54)</f>
        <v>0</v>
      </c>
      <c r="M55" s="34">
        <f>SUM(M51:M54)</f>
        <v>0</v>
      </c>
      <c r="N55" s="34">
        <f>SUM(N51:N54)</f>
        <v>5.1099999999999994</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5.1099999999999994</v>
      </c>
      <c r="L56" s="34">
        <f t="shared" si="17"/>
        <v>0</v>
      </c>
      <c r="M56" s="34">
        <f t="shared" si="17"/>
        <v>0</v>
      </c>
      <c r="N56" s="34">
        <f t="shared" si="17"/>
        <v>5.1099999999999994</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5451.4299999999994</v>
      </c>
      <c r="L57" s="34">
        <f>L50+L56</f>
        <v>0</v>
      </c>
      <c r="M57" s="34">
        <f>M50+M56</f>
        <v>0</v>
      </c>
      <c r="N57" s="34">
        <f>N50+N56</f>
        <v>5451.4299999999994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133.53</v>
      </c>
      <c r="L59" s="34"/>
      <c r="M59" s="34"/>
      <c r="N59" s="34">
        <f>D3</f>
        <v>133.53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950.45</v>
      </c>
      <c r="L60" s="34"/>
      <c r="M60" s="34"/>
      <c r="N60" s="34">
        <f>E3</f>
        <v>950.45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1377.32</v>
      </c>
      <c r="L61" s="34"/>
      <c r="M61" s="34"/>
      <c r="N61" s="34">
        <f>G3-SUM(N9,N20,N33,N46)</f>
        <v>1377.32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606.16</v>
      </c>
      <c r="L62" s="34"/>
      <c r="M62" s="34"/>
      <c r="N62" s="34">
        <f>H3</f>
        <v>606.16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7804.84</v>
      </c>
      <c r="L63" s="34"/>
      <c r="M63" s="34"/>
      <c r="N63" s="34">
        <f>I3</f>
        <v>7804.84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458.85</v>
      </c>
      <c r="L64" s="34"/>
      <c r="M64" s="34"/>
      <c r="N64" s="34">
        <f>J3</f>
        <v>458.85</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430.59</v>
      </c>
      <c r="L66" s="34"/>
      <c r="M66" s="34"/>
      <c r="N66" s="34">
        <f>K3</f>
        <v>430.59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11761.74</v>
      </c>
      <c r="L68" s="34">
        <f>SUM(L58:L67)</f>
        <v>0</v>
      </c>
      <c r="M68" s="34">
        <f>SUM(M58:M67)</f>
        <v>0</v>
      </c>
      <c r="N68" s="34">
        <f>SUM(N58:N67)</f>
        <v>11761.74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11761.74</v>
      </c>
      <c r="L69" s="34">
        <f t="shared" si="20"/>
        <v>0</v>
      </c>
      <c r="M69" s="34">
        <f t="shared" si="20"/>
        <v>0</v>
      </c>
      <c r="N69" s="34">
        <f t="shared" si="20"/>
        <v>11761.74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0.13</v>
      </c>
      <c r="L71" s="34"/>
      <c r="M71" s="34"/>
      <c r="N71" s="34">
        <f>D4</f>
        <v>0.13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0.89</v>
      </c>
      <c r="L72" s="34"/>
      <c r="M72" s="34"/>
      <c r="N72" s="34">
        <f>E4</f>
        <v>0.89</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1.29</v>
      </c>
      <c r="L73" s="34"/>
      <c r="M73" s="34"/>
      <c r="N73" s="34">
        <f>G4-SUM(N14,N26,N39,N52)</f>
        <v>1.29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0.56999999999999995</v>
      </c>
      <c r="L74" s="34"/>
      <c r="M74" s="34"/>
      <c r="N74" s="34">
        <f>H4</f>
        <v>0.56999999999999995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7.33</v>
      </c>
      <c r="L75" s="34"/>
      <c r="M75" s="34"/>
      <c r="N75" s="34">
        <f>I4</f>
        <v>7.33</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0.43</v>
      </c>
      <c r="L76" s="34"/>
      <c r="M76" s="34"/>
      <c r="N76" s="34">
        <f>J4</f>
        <v>0.43</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0.4</v>
      </c>
      <c r="L78" s="34"/>
      <c r="M78" s="34"/>
      <c r="N78" s="34">
        <f>K4</f>
        <v>0.4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11.040000000000001</v>
      </c>
      <c r="L80" s="34">
        <f>SUM(L70:L79)</f>
        <v>0</v>
      </c>
      <c r="M80" s="34">
        <f>SUM(M70:M79)</f>
        <v>0</v>
      </c>
      <c r="N80" s="34">
        <f>SUM(N70:N79)</f>
        <v>11.040000000000001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11.040000000000001</v>
      </c>
      <c r="L81" s="34">
        <f t="shared" si="23"/>
        <v>0</v>
      </c>
      <c r="M81" s="34">
        <f t="shared" si="23"/>
        <v>0</v>
      </c>
      <c r="N81" s="34">
        <f t="shared" si="23"/>
        <v>11.040000000000001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11772.78</v>
      </c>
      <c r="L82" s="34">
        <f>L69+L81</f>
        <v>0</v>
      </c>
      <c r="M82" s="34">
        <f>M69+M81</f>
        <v>0</v>
      </c>
      <c r="N82" s="34">
        <f>N69+N81</f>
        <v>11772.78</v>
      </c>
      <c r="O82" s="8"/>
      <c r="R82" s="14"/>
      <c r="Z82" s="15"/>
      <c r="AJ82" s="16"/>
    </row>
    <row r="83" spans="1:36" s="31" customFormat="1" ht="21.95" customHeight="1" x14ac:dyDescent="0.2">
      <c r="A83" s="275" t="s">
        <v>82</v>
      </c>
      <c r="B83" s="275"/>
      <c r="C83" s="275"/>
      <c r="D83" s="275"/>
      <c r="E83" s="275"/>
      <c r="F83" s="275"/>
      <c r="G83" s="275"/>
      <c r="H83" s="275"/>
      <c r="I83" s="275"/>
      <c r="J83" s="35">
        <f>J18+J31+J44+J57+J82</f>
        <v>45724.697999999997</v>
      </c>
      <c r="K83" s="35">
        <f>K18+K31+K44+K57+K82</f>
        <v>210273.80199999997</v>
      </c>
      <c r="L83" s="35">
        <f>L18+L31+L44+L57+L82</f>
        <v>160036.44299999997</v>
      </c>
      <c r="M83" s="35">
        <f>M18+M31+M44+M57+M82</f>
        <v>68587.047000000006</v>
      </c>
      <c r="N83" s="38">
        <f>N18+N31+N44+N57+N82</f>
        <v>484621.99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4D81044-FF24-4349-9CBF-324AD64865AE}">
          <x14:formula1>
            <xm:f>'2026 COB breakdown_Kris'!$A$5:$A$103</xm:f>
          </x14:formula1>
          <xm:sqref>A3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B2BD-5AF1-4534-99F6-78F57A74A68E}">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202</v>
      </c>
      <c r="B3" s="58" t="s">
        <v>158</v>
      </c>
      <c r="C3" s="59">
        <f>VLOOKUP($A3,COBTABLE,15, FALSE)</f>
        <v>3433.64</v>
      </c>
      <c r="D3" s="59">
        <f>VLOOKUP($A3,COBTABLE,16, FALSE)</f>
        <v>45.21</v>
      </c>
      <c r="E3" s="59">
        <f>VLOOKUP($A3,COBTABLE,17, FALSE)</f>
        <v>321.8</v>
      </c>
      <c r="F3" s="59">
        <f>VLOOKUP($A3,COBTABLE,18, FALSE)</f>
        <v>0</v>
      </c>
      <c r="G3" s="59">
        <f>VLOOKUP($A3,COBTABLE,19, FALSE)</f>
        <v>466.33</v>
      </c>
      <c r="H3" s="59">
        <f>VLOOKUP($A3,COBTABLE,20, FALSE)</f>
        <v>205.23</v>
      </c>
      <c r="I3" s="59">
        <f>VLOOKUP($A3,COBTABLE,21, FALSE)</f>
        <v>2642.57</v>
      </c>
      <c r="J3" s="59">
        <f>VLOOKUP($A3,COBTABLE,22, FALSE)</f>
        <v>155.36000000000001</v>
      </c>
      <c r="K3" s="59">
        <f>VLOOKUP($A3,COBTABLE,23, FALSE)</f>
        <v>145.79</v>
      </c>
      <c r="L3" s="59">
        <f>VLOOKUP($A3,COBTABLE,24, FALSE)</f>
        <v>951.59</v>
      </c>
      <c r="M3" s="59">
        <f>VLOOKUP($A3,COBTABLE,25, FALSE)</f>
        <v>892.44999999999891</v>
      </c>
      <c r="N3" s="60">
        <f>VLOOKUP($A3, countrygrant,2,FALSE)</f>
        <v>456818.18</v>
      </c>
      <c r="O3" s="92">
        <f>SUM(C3:N3)</f>
        <v>466078.14999999997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4028.81</v>
      </c>
      <c r="D4" s="59">
        <f>VLOOKUP($A3,COBTABLE,28, FALSE)</f>
        <v>53.05</v>
      </c>
      <c r="E4" s="59">
        <f>VLOOKUP($A3,COBTABLE,29, FALSE)</f>
        <v>377.58</v>
      </c>
      <c r="F4" s="59">
        <f>VLOOKUP($A3,COBTABLE,30, FALSE)</f>
        <v>0</v>
      </c>
      <c r="G4" s="59">
        <f>VLOOKUP($A3,COBTABLE,31, FALSE)</f>
        <v>547.16</v>
      </c>
      <c r="H4" s="59">
        <f>VLOOKUP($A3,COBTABLE,32, FALSE)</f>
        <v>240.81</v>
      </c>
      <c r="I4" s="59">
        <f>VLOOKUP($A3,COBTABLE,33, FALSE)</f>
        <v>3100.62</v>
      </c>
      <c r="J4" s="59">
        <f>VLOOKUP($A3,COBTABLE,34, FALSE)</f>
        <v>182.29</v>
      </c>
      <c r="K4" s="59">
        <f>VLOOKUP($A3,COBTABLE,35, FALSE)</f>
        <v>171.06</v>
      </c>
      <c r="L4" s="59">
        <f>VLOOKUP($A3,COBTABLE,36, FALSE)</f>
        <v>1116.53</v>
      </c>
      <c r="M4" s="59">
        <f>VLOOKUP($A3,COBTABLE,37, FALSE)</f>
        <v>1047.119999999999</v>
      </c>
      <c r="N4" s="60">
        <f>VLOOKUP($A3, countrygrant,3,FALSE)</f>
        <v>536000</v>
      </c>
      <c r="O4" s="92">
        <f t="shared" ref="O4" si="0">SUM(C4:N4)</f>
        <v>546865.03</v>
      </c>
      <c r="P4" s="28"/>
      <c r="Q4" s="28"/>
      <c r="R4" s="28"/>
      <c r="S4" s="28"/>
      <c r="T4" s="28"/>
      <c r="U4" s="28"/>
      <c r="V4" s="28"/>
      <c r="W4" s="28"/>
      <c r="X4" s="28"/>
      <c r="Y4" s="28"/>
      <c r="Z4" s="28"/>
      <c r="AA4" s="28"/>
      <c r="AB4" s="28"/>
      <c r="AC4" s="28"/>
    </row>
    <row r="5" spans="1:36" s="53" customFormat="1" ht="12" customHeight="1" x14ac:dyDescent="0.25">
      <c r="A5" s="278"/>
      <c r="B5" s="61" t="s">
        <v>156</v>
      </c>
      <c r="C5" s="62">
        <f>SUM(C3:C4)</f>
        <v>7462.45</v>
      </c>
      <c r="D5" s="62">
        <f t="shared" ref="D5:O5" si="1">SUM(D3:D4)</f>
        <v>98.259999999999991</v>
      </c>
      <c r="E5" s="62">
        <f t="shared" si="1"/>
        <v>699.38</v>
      </c>
      <c r="F5" s="62">
        <f t="shared" si="1"/>
        <v>0</v>
      </c>
      <c r="G5" s="62">
        <f t="shared" si="1"/>
        <v>1013.49</v>
      </c>
      <c r="H5" s="62">
        <f t="shared" si="1"/>
        <v>446.03999999999996</v>
      </c>
      <c r="I5" s="62">
        <f t="shared" si="1"/>
        <v>5743.1900000000005</v>
      </c>
      <c r="J5" s="62">
        <f t="shared" si="1"/>
        <v>337.65</v>
      </c>
      <c r="K5" s="62">
        <f t="shared" si="1"/>
        <v>316.85000000000002</v>
      </c>
      <c r="L5" s="62">
        <f t="shared" si="1"/>
        <v>2068.12</v>
      </c>
      <c r="M5" s="62">
        <f t="shared" si="1"/>
        <v>1939.5699999999979</v>
      </c>
      <c r="N5" s="62">
        <f t="shared" si="1"/>
        <v>992818.17999999993</v>
      </c>
      <c r="O5" s="62">
        <f t="shared" si="1"/>
        <v>1012943.1799999999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VLOOKUP(H28,starratio3,4,FALSE)</f>
        <v>0</v>
      </c>
    </row>
    <row r="29" spans="1:36" ht="21.95" customHeight="1" x14ac:dyDescent="0.2">
      <c r="A29" s="262"/>
      <c r="B29" s="262"/>
      <c r="C29" s="263" t="s">
        <v>31</v>
      </c>
      <c r="D29" s="263"/>
      <c r="E29" s="263"/>
      <c r="F29" s="263"/>
      <c r="G29" s="263"/>
      <c r="H29" s="263"/>
      <c r="I29" s="263"/>
      <c r="J29" s="34">
        <f>SUM(J25:J28)</f>
        <v>53600</v>
      </c>
      <c r="K29" s="34">
        <f>SUM(K25:K28)</f>
        <v>214400</v>
      </c>
      <c r="L29" s="34">
        <f>SUM(L25:L28)</f>
        <v>187600</v>
      </c>
      <c r="M29" s="34">
        <f>SUM(M25:M28)</f>
        <v>80400</v>
      </c>
      <c r="N29" s="34">
        <f>SUM(N25:N28)</f>
        <v>536000</v>
      </c>
      <c r="O29" s="8"/>
      <c r="P29" s="9"/>
    </row>
    <row r="30" spans="1:36" ht="21.95" customHeight="1" x14ac:dyDescent="0.2">
      <c r="A30" s="262"/>
      <c r="B30" s="263" t="s">
        <v>44</v>
      </c>
      <c r="C30" s="263"/>
      <c r="D30" s="263"/>
      <c r="E30" s="263"/>
      <c r="F30" s="263"/>
      <c r="G30" s="263"/>
      <c r="H30" s="263"/>
      <c r="I30" s="263"/>
      <c r="J30" s="34">
        <f>J29</f>
        <v>53600</v>
      </c>
      <c r="K30" s="34">
        <f t="shared" ref="K30:N30" si="9">K29</f>
        <v>214400</v>
      </c>
      <c r="L30" s="34">
        <f t="shared" si="9"/>
        <v>187600</v>
      </c>
      <c r="M30" s="34">
        <f t="shared" si="9"/>
        <v>80400</v>
      </c>
      <c r="N30" s="34">
        <f t="shared" si="9"/>
        <v>536000</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397127.272</v>
      </c>
      <c r="L31" s="34">
        <f>L24+L30</f>
        <v>347486.36300000001</v>
      </c>
      <c r="M31" s="34">
        <f>M24+M30</f>
        <v>148922.72700000001</v>
      </c>
      <c r="N31" s="34">
        <f>N24+N30</f>
        <v>992818.17999999993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3433.64</v>
      </c>
      <c r="L32" s="34"/>
      <c r="M32" s="34"/>
      <c r="N32" s="34">
        <f>ROUND($C$3*P32,2)</f>
        <v>3433.64</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3433.64</v>
      </c>
      <c r="L36" s="34">
        <f>SUM(L32:L35)</f>
        <v>0</v>
      </c>
      <c r="M36" s="34">
        <f>SUM(M32:M35)</f>
        <v>0</v>
      </c>
      <c r="N36" s="34">
        <f>SUM(N32:N35)</f>
        <v>3433.64</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3433.64</v>
      </c>
      <c r="L37" s="34">
        <f t="shared" si="11"/>
        <v>0</v>
      </c>
      <c r="M37" s="34">
        <f t="shared" si="11"/>
        <v>0</v>
      </c>
      <c r="N37" s="34">
        <f t="shared" si="11"/>
        <v>3433.64</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4028.81</v>
      </c>
      <c r="L38" s="34"/>
      <c r="M38" s="34"/>
      <c r="N38" s="34">
        <f>ROUND($C$4*P38,2)</f>
        <v>4028.81</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4028.81</v>
      </c>
      <c r="L42" s="34">
        <f>SUM(L38:L41)</f>
        <v>0</v>
      </c>
      <c r="M42" s="34">
        <f>SUM(M38:M41)</f>
        <v>0</v>
      </c>
      <c r="N42" s="34">
        <f>SUM(N38:N41)</f>
        <v>4028.81</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4028.81</v>
      </c>
      <c r="L43" s="34">
        <f t="shared" si="13"/>
        <v>0</v>
      </c>
      <c r="M43" s="34">
        <f t="shared" si="13"/>
        <v>0</v>
      </c>
      <c r="N43" s="34">
        <f t="shared" si="13"/>
        <v>4028.81</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7462.45</v>
      </c>
      <c r="L44" s="34">
        <f>L37+L43</f>
        <v>0</v>
      </c>
      <c r="M44" s="34">
        <f>M37+M43</f>
        <v>0</v>
      </c>
      <c r="N44" s="34">
        <f>N37+N43</f>
        <v>7462.45</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951.59</v>
      </c>
      <c r="L47" s="34"/>
      <c r="M47" s="34"/>
      <c r="N47" s="34">
        <f>ROUND($L$3*P47,2)</f>
        <v>951.59</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892.44999999999891</v>
      </c>
      <c r="L48" s="34"/>
      <c r="M48" s="34"/>
      <c r="N48" s="34">
        <f>M3-SUM(N10,N21,N35)</f>
        <v>892.44999999999891</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1844.0399999999991</v>
      </c>
      <c r="L49" s="34">
        <f>SUM(L45:L48)</f>
        <v>0</v>
      </c>
      <c r="M49" s="34">
        <f>SUM(M45:M48)</f>
        <v>0</v>
      </c>
      <c r="N49" s="34">
        <f>SUM(N45:N48)</f>
        <v>1844.0399999999991</v>
      </c>
      <c r="O49" s="8"/>
      <c r="P49" s="9"/>
    </row>
    <row r="50" spans="1:36" ht="21.95" customHeight="1" x14ac:dyDescent="0.2">
      <c r="A50" s="262"/>
      <c r="B50" s="261" t="s">
        <v>60</v>
      </c>
      <c r="C50" s="261"/>
      <c r="D50" s="261"/>
      <c r="E50" s="261"/>
      <c r="F50" s="261"/>
      <c r="G50" s="261"/>
      <c r="H50" s="261"/>
      <c r="I50" s="261"/>
      <c r="J50" s="34">
        <f>J49</f>
        <v>0</v>
      </c>
      <c r="K50" s="34">
        <f t="shared" ref="K50:N50" si="15">K49</f>
        <v>1844.0399999999991</v>
      </c>
      <c r="L50" s="34">
        <f t="shared" si="15"/>
        <v>0</v>
      </c>
      <c r="M50" s="34">
        <f t="shared" si="15"/>
        <v>0</v>
      </c>
      <c r="N50" s="34">
        <f t="shared" si="15"/>
        <v>1844.0399999999991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1116.53</v>
      </c>
      <c r="L53" s="34"/>
      <c r="M53" s="34"/>
      <c r="N53" s="34">
        <f>ROUND($L$4*P53,2)</f>
        <v>1116.53</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1047.119999999999</v>
      </c>
      <c r="L54" s="34"/>
      <c r="M54" s="34"/>
      <c r="N54" s="34">
        <f>M4-SUM(N15,N27,N41)</f>
        <v>1047.119999999999</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2163.6499999999987</v>
      </c>
      <c r="L55" s="34">
        <f>SUM(L51:L54)</f>
        <v>0</v>
      </c>
      <c r="M55" s="34">
        <f>SUM(M51:M54)</f>
        <v>0</v>
      </c>
      <c r="N55" s="34">
        <f>SUM(N51:N54)</f>
        <v>2163.6499999999987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2163.6499999999987</v>
      </c>
      <c r="L56" s="34">
        <f t="shared" si="17"/>
        <v>0</v>
      </c>
      <c r="M56" s="34">
        <f t="shared" si="17"/>
        <v>0</v>
      </c>
      <c r="N56" s="34">
        <f t="shared" si="17"/>
        <v>2163.6499999999987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4007.6899999999978</v>
      </c>
      <c r="L57" s="34">
        <f>L50+L56</f>
        <v>0</v>
      </c>
      <c r="M57" s="34">
        <f>M50+M56</f>
        <v>0</v>
      </c>
      <c r="N57" s="34">
        <f>N50+N56</f>
        <v>4007.6899999999978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45.21</v>
      </c>
      <c r="L59" s="34"/>
      <c r="M59" s="34"/>
      <c r="N59" s="34">
        <f>D3</f>
        <v>45.21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321.8</v>
      </c>
      <c r="L60" s="34"/>
      <c r="M60" s="34"/>
      <c r="N60" s="34">
        <f>E3</f>
        <v>321.8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466.33</v>
      </c>
      <c r="L61" s="34"/>
      <c r="M61" s="34"/>
      <c r="N61" s="34">
        <f>G3-SUM(N9,N20,N33,N46)</f>
        <v>466.33</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205.23</v>
      </c>
      <c r="L62" s="34"/>
      <c r="M62" s="34"/>
      <c r="N62" s="34">
        <f>H3</f>
        <v>205.23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2642.57</v>
      </c>
      <c r="L63" s="34"/>
      <c r="M63" s="34"/>
      <c r="N63" s="34">
        <f>I3</f>
        <v>2642.57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155.36000000000001</v>
      </c>
      <c r="L64" s="34"/>
      <c r="M64" s="34"/>
      <c r="N64" s="34">
        <f>J3</f>
        <v>155.36000000000001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145.79</v>
      </c>
      <c r="L66" s="34"/>
      <c r="M66" s="34"/>
      <c r="N66" s="34">
        <f>K3</f>
        <v>145.79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3982.2900000000004</v>
      </c>
      <c r="L68" s="34">
        <f>SUM(L58:L67)</f>
        <v>0</v>
      </c>
      <c r="M68" s="34">
        <f>SUM(M58:M67)</f>
        <v>0</v>
      </c>
      <c r="N68" s="34">
        <f>SUM(N58:N67)</f>
        <v>3982.2900000000004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3982.2900000000004</v>
      </c>
      <c r="L69" s="34">
        <f t="shared" si="20"/>
        <v>0</v>
      </c>
      <c r="M69" s="34">
        <f t="shared" si="20"/>
        <v>0</v>
      </c>
      <c r="N69" s="34">
        <f t="shared" si="20"/>
        <v>3982.2900000000004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53.05</v>
      </c>
      <c r="L71" s="34"/>
      <c r="M71" s="34"/>
      <c r="N71" s="34">
        <f>D4</f>
        <v>53.05</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377.58</v>
      </c>
      <c r="L72" s="34"/>
      <c r="M72" s="34"/>
      <c r="N72" s="34">
        <f>E4</f>
        <v>377.58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547.16</v>
      </c>
      <c r="L73" s="34"/>
      <c r="M73" s="34"/>
      <c r="N73" s="34">
        <f>G4-SUM(N14,N26,N39,N52)</f>
        <v>547.16</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240.81</v>
      </c>
      <c r="L74" s="34"/>
      <c r="M74" s="34"/>
      <c r="N74" s="34">
        <f>H4</f>
        <v>240.81</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3100.62</v>
      </c>
      <c r="L75" s="34"/>
      <c r="M75" s="34"/>
      <c r="N75" s="34">
        <f>I4</f>
        <v>3100.62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182.29</v>
      </c>
      <c r="L76" s="34"/>
      <c r="M76" s="34"/>
      <c r="N76" s="34">
        <f>J4</f>
        <v>182.29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171.06</v>
      </c>
      <c r="L78" s="34"/>
      <c r="M78" s="34"/>
      <c r="N78" s="34">
        <f>K4</f>
        <v>171.06</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4672.57</v>
      </c>
      <c r="L80" s="34">
        <f>SUM(L70:L79)</f>
        <v>0</v>
      </c>
      <c r="M80" s="34">
        <f>SUM(M70:M79)</f>
        <v>0</v>
      </c>
      <c r="N80" s="34">
        <f>SUM(N70:N79)</f>
        <v>4672.57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4672.57</v>
      </c>
      <c r="L81" s="34">
        <f t="shared" si="23"/>
        <v>0</v>
      </c>
      <c r="M81" s="34">
        <f t="shared" si="23"/>
        <v>0</v>
      </c>
      <c r="N81" s="34">
        <f t="shared" si="23"/>
        <v>4672.57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8654.86</v>
      </c>
      <c r="L82" s="34">
        <f>L69+L81</f>
        <v>0</v>
      </c>
      <c r="M82" s="34">
        <f>M69+M81</f>
        <v>0</v>
      </c>
      <c r="N82" s="34">
        <f>N69+N81</f>
        <v>8654.86</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417252.272</v>
      </c>
      <c r="L83" s="35">
        <f>L18+L31+L44+L57+L82</f>
        <v>347486.36300000001</v>
      </c>
      <c r="M83" s="35">
        <f>M18+M31+M44+M57+M82</f>
        <v>148922.72700000001</v>
      </c>
      <c r="N83" s="38">
        <f>N18+N31+N44+N57+N82</f>
        <v>1012943.1799999998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462E06D-8BB8-4E3F-B2D1-FD585A2FB717}">
          <x14:formula1>
            <xm:f>'2026 COB breakdown_Kris'!$A$5:$A$103</xm:f>
          </x14:formula1>
          <xm:sqref>A3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C4BFF-0FAB-4DD7-97BA-B1057EAAD34E}">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203</v>
      </c>
      <c r="B3" s="58" t="s">
        <v>158</v>
      </c>
      <c r="C3" s="59">
        <f>VLOOKUP($A3,COBTABLE,15, FALSE)</f>
        <v>2603.37</v>
      </c>
      <c r="D3" s="59">
        <f>VLOOKUP($A3,COBTABLE,16, FALSE)</f>
        <v>34.28</v>
      </c>
      <c r="E3" s="59">
        <f>VLOOKUP($A3,COBTABLE,17, FALSE)</f>
        <v>243.99</v>
      </c>
      <c r="F3" s="59">
        <f>VLOOKUP($A3,COBTABLE,18, FALSE)</f>
        <v>0</v>
      </c>
      <c r="G3" s="59">
        <f>VLOOKUP($A3,COBTABLE,19, FALSE)</f>
        <v>353.57</v>
      </c>
      <c r="H3" s="59">
        <f>VLOOKUP($A3,COBTABLE,20, FALSE)</f>
        <v>155.61000000000001</v>
      </c>
      <c r="I3" s="59">
        <f>VLOOKUP($A3,COBTABLE,21, FALSE)</f>
        <v>2003.58</v>
      </c>
      <c r="J3" s="59">
        <f>VLOOKUP($A3,COBTABLE,22, FALSE)</f>
        <v>117.79</v>
      </c>
      <c r="K3" s="59">
        <f>VLOOKUP($A3,COBTABLE,23, FALSE)</f>
        <v>110.54</v>
      </c>
      <c r="L3" s="59">
        <f>VLOOKUP($A3,COBTABLE,24, FALSE)</f>
        <v>721.49</v>
      </c>
      <c r="M3" s="59">
        <f>VLOOKUP($A3,COBTABLE,25, FALSE)</f>
        <v>676.63000000000011</v>
      </c>
      <c r="N3" s="60">
        <f>VLOOKUP($A3, countrygrant,2,FALSE)</f>
        <v>456818.18</v>
      </c>
      <c r="O3" s="92">
        <f>SUM(C3:N3)</f>
        <v>463839.02999999997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3737.4</v>
      </c>
      <c r="D4" s="59">
        <f>VLOOKUP($A3,COBTABLE,28, FALSE)</f>
        <v>49.21</v>
      </c>
      <c r="E4" s="59">
        <f>VLOOKUP($A3,COBTABLE,29, FALSE)</f>
        <v>350.27</v>
      </c>
      <c r="F4" s="59">
        <f>VLOOKUP($A3,COBTABLE,30, FALSE)</f>
        <v>0</v>
      </c>
      <c r="G4" s="59">
        <f>VLOOKUP($A3,COBTABLE,31, FALSE)</f>
        <v>507.59</v>
      </c>
      <c r="H4" s="59">
        <f>VLOOKUP($A3,COBTABLE,32, FALSE)</f>
        <v>223.39</v>
      </c>
      <c r="I4" s="59">
        <f>VLOOKUP($A3,COBTABLE,33, FALSE)</f>
        <v>2876.35</v>
      </c>
      <c r="J4" s="59">
        <f>VLOOKUP($A3,COBTABLE,34, FALSE)</f>
        <v>169.1</v>
      </c>
      <c r="K4" s="59">
        <f>VLOOKUP($A3,COBTABLE,35, FALSE)</f>
        <v>158.69</v>
      </c>
      <c r="L4" s="59">
        <f>VLOOKUP($A3,COBTABLE,36, FALSE)</f>
        <v>1035.77</v>
      </c>
      <c r="M4" s="59">
        <f>VLOOKUP($A3,COBTABLE,37, FALSE)</f>
        <v>971.3799999999992</v>
      </c>
      <c r="N4" s="60">
        <f>VLOOKUP($A3, countrygrant,3,FALSE)</f>
        <v>655809.4</v>
      </c>
      <c r="O4" s="92">
        <f t="shared" ref="O4" si="0">SUM(C4:N4)</f>
        <v>665888.55000000005</v>
      </c>
      <c r="P4" s="28"/>
      <c r="Q4" s="28"/>
      <c r="R4" s="28"/>
      <c r="S4" s="28"/>
      <c r="T4" s="28"/>
      <c r="U4" s="28"/>
      <c r="V4" s="28"/>
      <c r="W4" s="28"/>
      <c r="X4" s="28"/>
      <c r="Y4" s="28"/>
      <c r="Z4" s="28"/>
      <c r="AA4" s="28"/>
      <c r="AB4" s="28"/>
      <c r="AC4" s="28"/>
    </row>
    <row r="5" spans="1:36" s="53" customFormat="1" ht="12" customHeight="1" x14ac:dyDescent="0.25">
      <c r="A5" s="278"/>
      <c r="B5" s="61" t="s">
        <v>156</v>
      </c>
      <c r="C5" s="62">
        <f>SUM(C3:C4)</f>
        <v>6340.77</v>
      </c>
      <c r="D5" s="62">
        <f t="shared" ref="D5:O5" si="1">SUM(D3:D4)</f>
        <v>83.490000000000009</v>
      </c>
      <c r="E5" s="62">
        <f t="shared" si="1"/>
        <v>594.26</v>
      </c>
      <c r="F5" s="62">
        <f t="shared" si="1"/>
        <v>0</v>
      </c>
      <c r="G5" s="62">
        <f t="shared" si="1"/>
        <v>861.16</v>
      </c>
      <c r="H5" s="62">
        <f t="shared" si="1"/>
        <v>379</v>
      </c>
      <c r="I5" s="62">
        <f t="shared" si="1"/>
        <v>4879.93</v>
      </c>
      <c r="J5" s="62">
        <f t="shared" si="1"/>
        <v>286.89</v>
      </c>
      <c r="K5" s="62">
        <f t="shared" si="1"/>
        <v>269.23</v>
      </c>
      <c r="L5" s="62">
        <f t="shared" si="1"/>
        <v>1757.26</v>
      </c>
      <c r="M5" s="62">
        <f t="shared" si="1"/>
        <v>1648.0099999999993</v>
      </c>
      <c r="N5" s="62">
        <f t="shared" si="1"/>
        <v>1112627.58</v>
      </c>
      <c r="O5" s="62">
        <f t="shared" si="1"/>
        <v>1129727.58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65580.94</v>
      </c>
      <c r="K28" s="34">
        <f>$N28*0.4</f>
        <v>262323.76</v>
      </c>
      <c r="L28" s="34">
        <f>$N28*0.35</f>
        <v>229533.28999999998</v>
      </c>
      <c r="M28" s="34">
        <f>$N28*0.15</f>
        <v>98371.41</v>
      </c>
      <c r="N28" s="34">
        <f>N4</f>
        <v>655809.4</v>
      </c>
      <c r="O28" s="8"/>
      <c r="P28" s="9">
        <f>VLOOKUP(H28,starratio3,4,FALSE)</f>
        <v>0</v>
      </c>
    </row>
    <row r="29" spans="1:36" ht="21.95" customHeight="1" x14ac:dyDescent="0.2">
      <c r="A29" s="262"/>
      <c r="B29" s="262"/>
      <c r="C29" s="263" t="s">
        <v>31</v>
      </c>
      <c r="D29" s="263"/>
      <c r="E29" s="263"/>
      <c r="F29" s="263"/>
      <c r="G29" s="263"/>
      <c r="H29" s="263"/>
      <c r="I29" s="263"/>
      <c r="J29" s="34">
        <f>SUM(J25:J28)</f>
        <v>65580.94</v>
      </c>
      <c r="K29" s="34">
        <f>SUM(K25:K28)</f>
        <v>262323.76</v>
      </c>
      <c r="L29" s="34">
        <f>SUM(L25:L28)</f>
        <v>229533.28999999998</v>
      </c>
      <c r="M29" s="34">
        <f>SUM(M25:M28)</f>
        <v>98371.41</v>
      </c>
      <c r="N29" s="34">
        <f>SUM(N25:N28)</f>
        <v>655809.4</v>
      </c>
      <c r="O29" s="8"/>
      <c r="P29" s="9"/>
    </row>
    <row r="30" spans="1:36" ht="21.95" customHeight="1" x14ac:dyDescent="0.2">
      <c r="A30" s="262"/>
      <c r="B30" s="263" t="s">
        <v>44</v>
      </c>
      <c r="C30" s="263"/>
      <c r="D30" s="263"/>
      <c r="E30" s="263"/>
      <c r="F30" s="263"/>
      <c r="G30" s="263"/>
      <c r="H30" s="263"/>
      <c r="I30" s="263"/>
      <c r="J30" s="34">
        <f>J29</f>
        <v>65580.94</v>
      </c>
      <c r="K30" s="34">
        <f t="shared" ref="K30:N30" si="9">K29</f>
        <v>262323.76</v>
      </c>
      <c r="L30" s="34">
        <f t="shared" si="9"/>
        <v>229533.28999999998</v>
      </c>
      <c r="M30" s="34">
        <f t="shared" si="9"/>
        <v>98371.41</v>
      </c>
      <c r="N30" s="34">
        <f t="shared" si="9"/>
        <v>655809.4</v>
      </c>
      <c r="O30" s="8"/>
      <c r="Q30" s="10"/>
      <c r="Z30" s="11"/>
      <c r="AC30" s="12"/>
      <c r="AD30" s="13"/>
    </row>
    <row r="31" spans="1:36" ht="21.95" customHeight="1" x14ac:dyDescent="0.2">
      <c r="A31" s="261" t="s">
        <v>45</v>
      </c>
      <c r="B31" s="261"/>
      <c r="C31" s="261"/>
      <c r="D31" s="261"/>
      <c r="E31" s="261"/>
      <c r="F31" s="261"/>
      <c r="G31" s="261"/>
      <c r="H31" s="261"/>
      <c r="I31" s="261"/>
      <c r="J31" s="34">
        <f>J24+J30</f>
        <v>111262.758</v>
      </c>
      <c r="K31" s="34">
        <f>K24+K30</f>
        <v>445051.03200000001</v>
      </c>
      <c r="L31" s="34">
        <f>L24+L30</f>
        <v>389419.65299999993</v>
      </c>
      <c r="M31" s="34">
        <f>M24+M30</f>
        <v>166894.13699999999</v>
      </c>
      <c r="N31" s="34">
        <f>N24+N30</f>
        <v>1112627.58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2603.37</v>
      </c>
      <c r="L32" s="34"/>
      <c r="M32" s="34"/>
      <c r="N32" s="34">
        <f>ROUND($C$3*P32,2)</f>
        <v>2603.37</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2603.37</v>
      </c>
      <c r="L36" s="34">
        <f>SUM(L32:L35)</f>
        <v>0</v>
      </c>
      <c r="M36" s="34">
        <f>SUM(M32:M35)</f>
        <v>0</v>
      </c>
      <c r="N36" s="34">
        <f>SUM(N32:N35)</f>
        <v>2603.37</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2603.37</v>
      </c>
      <c r="L37" s="34">
        <f t="shared" si="11"/>
        <v>0</v>
      </c>
      <c r="M37" s="34">
        <f t="shared" si="11"/>
        <v>0</v>
      </c>
      <c r="N37" s="34">
        <f t="shared" si="11"/>
        <v>2603.37</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3737.4</v>
      </c>
      <c r="L38" s="34"/>
      <c r="M38" s="34"/>
      <c r="N38" s="34">
        <f>ROUND($C$4*P38,2)</f>
        <v>3737.4</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3737.4</v>
      </c>
      <c r="L42" s="34">
        <f>SUM(L38:L41)</f>
        <v>0</v>
      </c>
      <c r="M42" s="34">
        <f>SUM(M38:M41)</f>
        <v>0</v>
      </c>
      <c r="N42" s="34">
        <f>SUM(N38:N41)</f>
        <v>3737.4</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3737.4</v>
      </c>
      <c r="L43" s="34">
        <f t="shared" si="13"/>
        <v>0</v>
      </c>
      <c r="M43" s="34">
        <f t="shared" si="13"/>
        <v>0</v>
      </c>
      <c r="N43" s="34">
        <f t="shared" si="13"/>
        <v>3737.4</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6340.77</v>
      </c>
      <c r="L44" s="34">
        <f>L37+L43</f>
        <v>0</v>
      </c>
      <c r="M44" s="34">
        <f>M37+M43</f>
        <v>0</v>
      </c>
      <c r="N44" s="34">
        <f>N37+N43</f>
        <v>6340.77</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721.49</v>
      </c>
      <c r="L47" s="34"/>
      <c r="M47" s="34"/>
      <c r="N47" s="34">
        <f>ROUND($L$3*P47,2)</f>
        <v>721.49</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676.63000000000011</v>
      </c>
      <c r="L48" s="34"/>
      <c r="M48" s="34"/>
      <c r="N48" s="34">
        <f>M3-SUM(N10,N21,N35)</f>
        <v>676.63000000000011</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1398.1200000000001</v>
      </c>
      <c r="L49" s="34">
        <f>SUM(L45:L48)</f>
        <v>0</v>
      </c>
      <c r="M49" s="34">
        <f>SUM(M45:M48)</f>
        <v>0</v>
      </c>
      <c r="N49" s="34">
        <f>SUM(N45:N48)</f>
        <v>1398.1200000000001</v>
      </c>
      <c r="O49" s="8"/>
      <c r="P49" s="9"/>
    </row>
    <row r="50" spans="1:36" ht="21.95" customHeight="1" x14ac:dyDescent="0.2">
      <c r="A50" s="262"/>
      <c r="B50" s="261" t="s">
        <v>60</v>
      </c>
      <c r="C50" s="261"/>
      <c r="D50" s="261"/>
      <c r="E50" s="261"/>
      <c r="F50" s="261"/>
      <c r="G50" s="261"/>
      <c r="H50" s="261"/>
      <c r="I50" s="261"/>
      <c r="J50" s="34">
        <f>J49</f>
        <v>0</v>
      </c>
      <c r="K50" s="34">
        <f t="shared" ref="K50:N50" si="15">K49</f>
        <v>1398.1200000000001</v>
      </c>
      <c r="L50" s="34">
        <f t="shared" si="15"/>
        <v>0</v>
      </c>
      <c r="M50" s="34">
        <f t="shared" si="15"/>
        <v>0</v>
      </c>
      <c r="N50" s="34">
        <f t="shared" si="15"/>
        <v>1398.1200000000001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1035.77</v>
      </c>
      <c r="L53" s="34"/>
      <c r="M53" s="34"/>
      <c r="N53" s="34">
        <f>ROUND($L$4*P53,2)</f>
        <v>1035.77</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971.3799999999992</v>
      </c>
      <c r="L54" s="34"/>
      <c r="M54" s="34"/>
      <c r="N54" s="34">
        <f>M4-SUM(N15,N27,N41)</f>
        <v>971.3799999999992</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2007.1499999999992</v>
      </c>
      <c r="L55" s="34">
        <f>SUM(L51:L54)</f>
        <v>0</v>
      </c>
      <c r="M55" s="34">
        <f>SUM(M51:M54)</f>
        <v>0</v>
      </c>
      <c r="N55" s="34">
        <f>SUM(N51:N54)</f>
        <v>2007.1499999999992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2007.1499999999992</v>
      </c>
      <c r="L56" s="34">
        <f t="shared" si="17"/>
        <v>0</v>
      </c>
      <c r="M56" s="34">
        <f t="shared" si="17"/>
        <v>0</v>
      </c>
      <c r="N56" s="34">
        <f t="shared" si="17"/>
        <v>2007.1499999999992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3405.2699999999995</v>
      </c>
      <c r="L57" s="34">
        <f>L50+L56</f>
        <v>0</v>
      </c>
      <c r="M57" s="34">
        <f>M50+M56</f>
        <v>0</v>
      </c>
      <c r="N57" s="34">
        <f>N50+N56</f>
        <v>3405.2699999999995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34.28</v>
      </c>
      <c r="L59" s="34"/>
      <c r="M59" s="34"/>
      <c r="N59" s="34">
        <f>D3</f>
        <v>34.28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243.99</v>
      </c>
      <c r="L60" s="34"/>
      <c r="M60" s="34"/>
      <c r="N60" s="34">
        <f>E3</f>
        <v>243.99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353.57</v>
      </c>
      <c r="L61" s="34"/>
      <c r="M61" s="34"/>
      <c r="N61" s="34">
        <f>G3-SUM(N9,N20,N33,N46)</f>
        <v>353.57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155.61000000000001</v>
      </c>
      <c r="L62" s="34"/>
      <c r="M62" s="34"/>
      <c r="N62" s="34">
        <f>H3</f>
        <v>155.61000000000001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2003.58</v>
      </c>
      <c r="L63" s="34"/>
      <c r="M63" s="34"/>
      <c r="N63" s="34">
        <f>I3</f>
        <v>2003.58</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117.79</v>
      </c>
      <c r="L64" s="34"/>
      <c r="M64" s="34"/>
      <c r="N64" s="34">
        <f>J3</f>
        <v>117.79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110.54</v>
      </c>
      <c r="L66" s="34"/>
      <c r="M66" s="34"/>
      <c r="N66" s="34">
        <f>K3</f>
        <v>110.54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3019.3599999999997</v>
      </c>
      <c r="L68" s="34">
        <f>SUM(L58:L67)</f>
        <v>0</v>
      </c>
      <c r="M68" s="34">
        <f>SUM(M58:M67)</f>
        <v>0</v>
      </c>
      <c r="N68" s="34">
        <f>SUM(N58:N67)</f>
        <v>3019.3599999999997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3019.3599999999997</v>
      </c>
      <c r="L69" s="34">
        <f t="shared" si="20"/>
        <v>0</v>
      </c>
      <c r="M69" s="34">
        <f t="shared" si="20"/>
        <v>0</v>
      </c>
      <c r="N69" s="34">
        <f t="shared" si="20"/>
        <v>3019.3599999999997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49.21</v>
      </c>
      <c r="L71" s="34"/>
      <c r="M71" s="34"/>
      <c r="N71" s="34">
        <f>D4</f>
        <v>49.21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350.27</v>
      </c>
      <c r="L72" s="34"/>
      <c r="M72" s="34"/>
      <c r="N72" s="34">
        <f>E4</f>
        <v>350.27</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507.59</v>
      </c>
      <c r="L73" s="34"/>
      <c r="M73" s="34"/>
      <c r="N73" s="34">
        <f>G4-SUM(N14,N26,N39,N52)</f>
        <v>507.59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223.39</v>
      </c>
      <c r="L74" s="34"/>
      <c r="M74" s="34"/>
      <c r="N74" s="34">
        <f>H4</f>
        <v>223.39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2876.35</v>
      </c>
      <c r="L75" s="34"/>
      <c r="M75" s="34"/>
      <c r="N75" s="34">
        <f>I4</f>
        <v>2876.35</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169.1</v>
      </c>
      <c r="L76" s="34"/>
      <c r="M76" s="34"/>
      <c r="N76" s="34">
        <f>J4</f>
        <v>169.1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158.69</v>
      </c>
      <c r="L78" s="34"/>
      <c r="M78" s="34"/>
      <c r="N78" s="34">
        <f>K4</f>
        <v>158.69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4334.5999999999995</v>
      </c>
      <c r="L80" s="34">
        <f>SUM(L70:L79)</f>
        <v>0</v>
      </c>
      <c r="M80" s="34">
        <f>SUM(M70:M79)</f>
        <v>0</v>
      </c>
      <c r="N80" s="34">
        <f>SUM(N70:N79)</f>
        <v>4334.5999999999995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4334.5999999999995</v>
      </c>
      <c r="L81" s="34">
        <f t="shared" si="23"/>
        <v>0</v>
      </c>
      <c r="M81" s="34">
        <f t="shared" si="23"/>
        <v>0</v>
      </c>
      <c r="N81" s="34">
        <f t="shared" si="23"/>
        <v>4334.5999999999995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7353.9599999999991</v>
      </c>
      <c r="L82" s="34">
        <f>L69+L81</f>
        <v>0</v>
      </c>
      <c r="M82" s="34">
        <f>M69+M81</f>
        <v>0</v>
      </c>
      <c r="N82" s="34">
        <f>N69+N81</f>
        <v>7353.9599999999991</v>
      </c>
      <c r="O82" s="8"/>
      <c r="R82" s="14"/>
      <c r="Z82" s="15"/>
      <c r="AJ82" s="16"/>
    </row>
    <row r="83" spans="1:36" s="31" customFormat="1" ht="21.95" customHeight="1" x14ac:dyDescent="0.2">
      <c r="A83" s="275" t="s">
        <v>82</v>
      </c>
      <c r="B83" s="275"/>
      <c r="C83" s="275"/>
      <c r="D83" s="275"/>
      <c r="E83" s="275"/>
      <c r="F83" s="275"/>
      <c r="G83" s="275"/>
      <c r="H83" s="275"/>
      <c r="I83" s="275"/>
      <c r="J83" s="35">
        <f>J18+J31+J44+J57+J82</f>
        <v>111262.758</v>
      </c>
      <c r="K83" s="35">
        <f>K18+K31+K44+K57+K82</f>
        <v>462151.03200000006</v>
      </c>
      <c r="L83" s="35">
        <f>L18+L31+L44+L57+L82</f>
        <v>389419.65299999993</v>
      </c>
      <c r="M83" s="35">
        <f>M18+M31+M44+M57+M82</f>
        <v>166894.13699999999</v>
      </c>
      <c r="N83" s="38">
        <f>N18+N31+N44+N57+N82</f>
        <v>1129727.58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1F1A9F4-8174-4C28-8892-48DC6FB1B95A}">
          <x14:formula1>
            <xm:f>'2026 COB breakdown_Kris'!$A$5:$A$103</xm:f>
          </x14:formula1>
          <xm:sqref>A3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7C60D-1738-4E33-B0C6-95961998976F}">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204</v>
      </c>
      <c r="B3" s="58" t="s">
        <v>158</v>
      </c>
      <c r="C3" s="59">
        <f>VLOOKUP($A3,COBTABLE,15, FALSE)</f>
        <v>2826.89</v>
      </c>
      <c r="D3" s="59">
        <f>VLOOKUP($A3,COBTABLE,16, FALSE)</f>
        <v>37.22</v>
      </c>
      <c r="E3" s="59">
        <f>VLOOKUP($A3,COBTABLE,17, FALSE)</f>
        <v>264.94</v>
      </c>
      <c r="F3" s="59">
        <f>VLOOKUP($A3,COBTABLE,18, FALSE)</f>
        <v>0</v>
      </c>
      <c r="G3" s="59">
        <f>VLOOKUP($A3,COBTABLE,19, FALSE)</f>
        <v>383.93</v>
      </c>
      <c r="H3" s="59">
        <f>VLOOKUP($A3,COBTABLE,20, FALSE)</f>
        <v>168.97</v>
      </c>
      <c r="I3" s="59">
        <f>VLOOKUP($A3,COBTABLE,21, FALSE)</f>
        <v>2175.6</v>
      </c>
      <c r="J3" s="59">
        <f>VLOOKUP($A3,COBTABLE,22, FALSE)</f>
        <v>127.91</v>
      </c>
      <c r="K3" s="59">
        <f>VLOOKUP($A3,COBTABLE,23, FALSE)</f>
        <v>120.03</v>
      </c>
      <c r="L3" s="59">
        <f>VLOOKUP($A3,COBTABLE,24, FALSE)</f>
        <v>783.43</v>
      </c>
      <c r="M3" s="59">
        <f>VLOOKUP($A3,COBTABLE,25, FALSE)</f>
        <v>734.73000000000229</v>
      </c>
      <c r="N3" s="60">
        <f>VLOOKUP($A3, countrygrant,2,FALSE)</f>
        <v>456818.18</v>
      </c>
      <c r="O3" s="92">
        <f>SUM(C3:N3)</f>
        <v>464441.83</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6592.3</v>
      </c>
      <c r="D4" s="59">
        <f>VLOOKUP($A3,COBTABLE,28, FALSE)</f>
        <v>86.8</v>
      </c>
      <c r="E4" s="59">
        <f>VLOOKUP($A3,COBTABLE,29, FALSE)</f>
        <v>617.83000000000004</v>
      </c>
      <c r="F4" s="59">
        <f>VLOOKUP($A3,COBTABLE,30, FALSE)</f>
        <v>0</v>
      </c>
      <c r="G4" s="59">
        <f>VLOOKUP($A3,COBTABLE,31, FALSE)</f>
        <v>895.32</v>
      </c>
      <c r="H4" s="59">
        <f>VLOOKUP($A3,COBTABLE,32, FALSE)</f>
        <v>394.03</v>
      </c>
      <c r="I4" s="59">
        <f>VLOOKUP($A3,COBTABLE,33, FALSE)</f>
        <v>5073.51</v>
      </c>
      <c r="J4" s="59">
        <f>VLOOKUP($A3,COBTABLE,34, FALSE)</f>
        <v>298.27999999999997</v>
      </c>
      <c r="K4" s="59">
        <f>VLOOKUP($A3,COBTABLE,35, FALSE)</f>
        <v>279.89999999999998</v>
      </c>
      <c r="L4" s="59">
        <f>VLOOKUP($A3,COBTABLE,36, FALSE)</f>
        <v>1826.97</v>
      </c>
      <c r="M4" s="59">
        <f>VLOOKUP($A3,COBTABLE,37, FALSE)</f>
        <v>1713.409999999998</v>
      </c>
      <c r="N4" s="60">
        <f>VLOOKUP($A3, countrygrant,3,FALSE)</f>
        <v>1065300</v>
      </c>
      <c r="O4" s="92">
        <f t="shared" ref="O4" si="0">SUM(C4:N4)</f>
        <v>1083078.3500000001</v>
      </c>
      <c r="P4" s="28"/>
      <c r="Q4" s="28"/>
      <c r="R4" s="28"/>
      <c r="S4" s="28"/>
      <c r="T4" s="28"/>
      <c r="U4" s="28"/>
      <c r="V4" s="28"/>
      <c r="W4" s="28"/>
      <c r="X4" s="28"/>
      <c r="Y4" s="28"/>
      <c r="Z4" s="28"/>
      <c r="AA4" s="28"/>
      <c r="AB4" s="28"/>
      <c r="AC4" s="28"/>
    </row>
    <row r="5" spans="1:36" s="53" customFormat="1" ht="12" customHeight="1" x14ac:dyDescent="0.25">
      <c r="A5" s="278"/>
      <c r="B5" s="61" t="s">
        <v>156</v>
      </c>
      <c r="C5" s="62">
        <f>SUM(C3:C4)</f>
        <v>9419.19</v>
      </c>
      <c r="D5" s="62">
        <f t="shared" ref="D5:O5" si="1">SUM(D3:D4)</f>
        <v>124.02</v>
      </c>
      <c r="E5" s="62">
        <f t="shared" si="1"/>
        <v>882.77</v>
      </c>
      <c r="F5" s="62">
        <f t="shared" si="1"/>
        <v>0</v>
      </c>
      <c r="G5" s="62">
        <f t="shared" si="1"/>
        <v>1279.25</v>
      </c>
      <c r="H5" s="62">
        <f t="shared" si="1"/>
        <v>563</v>
      </c>
      <c r="I5" s="62">
        <f t="shared" si="1"/>
        <v>7249.1100000000006</v>
      </c>
      <c r="J5" s="62">
        <f t="shared" si="1"/>
        <v>426.18999999999994</v>
      </c>
      <c r="K5" s="62">
        <f t="shared" si="1"/>
        <v>399.92999999999995</v>
      </c>
      <c r="L5" s="62">
        <f t="shared" si="1"/>
        <v>2610.4</v>
      </c>
      <c r="M5" s="62">
        <f t="shared" si="1"/>
        <v>2448.1400000000003</v>
      </c>
      <c r="N5" s="62">
        <f t="shared" si="1"/>
        <v>1522118.18</v>
      </c>
      <c r="O5" s="62">
        <f t="shared" si="1"/>
        <v>1547520.1800000002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106530</v>
      </c>
      <c r="K28" s="34">
        <f>$N28*0.4</f>
        <v>426120</v>
      </c>
      <c r="L28" s="34">
        <f>$N28*0.35</f>
        <v>372855</v>
      </c>
      <c r="M28" s="34">
        <f>$N28*0.15</f>
        <v>159795</v>
      </c>
      <c r="N28" s="34">
        <f>N4</f>
        <v>1065300</v>
      </c>
      <c r="O28" s="8"/>
      <c r="P28" s="9">
        <f>VLOOKUP(H28,starratio3,4,FALSE)</f>
        <v>0</v>
      </c>
    </row>
    <row r="29" spans="1:36" ht="21.95" customHeight="1" x14ac:dyDescent="0.2">
      <c r="A29" s="262"/>
      <c r="B29" s="262"/>
      <c r="C29" s="263" t="s">
        <v>31</v>
      </c>
      <c r="D29" s="263"/>
      <c r="E29" s="263"/>
      <c r="F29" s="263"/>
      <c r="G29" s="263"/>
      <c r="H29" s="263"/>
      <c r="I29" s="263"/>
      <c r="J29" s="34">
        <f>SUM(J25:J28)</f>
        <v>106530</v>
      </c>
      <c r="K29" s="34">
        <f>SUM(K25:K28)</f>
        <v>426120</v>
      </c>
      <c r="L29" s="34">
        <f>SUM(L25:L28)</f>
        <v>372855</v>
      </c>
      <c r="M29" s="34">
        <f>SUM(M25:M28)</f>
        <v>159795</v>
      </c>
      <c r="N29" s="34">
        <f>SUM(N25:N28)</f>
        <v>1065300</v>
      </c>
      <c r="O29" s="8"/>
      <c r="P29" s="9"/>
    </row>
    <row r="30" spans="1:36" ht="21.95" customHeight="1" x14ac:dyDescent="0.2">
      <c r="A30" s="262"/>
      <c r="B30" s="263" t="s">
        <v>44</v>
      </c>
      <c r="C30" s="263"/>
      <c r="D30" s="263"/>
      <c r="E30" s="263"/>
      <c r="F30" s="263"/>
      <c r="G30" s="263"/>
      <c r="H30" s="263"/>
      <c r="I30" s="263"/>
      <c r="J30" s="34">
        <f>J29</f>
        <v>106530</v>
      </c>
      <c r="K30" s="34">
        <f t="shared" ref="K30:N30" si="9">K29</f>
        <v>426120</v>
      </c>
      <c r="L30" s="34">
        <f t="shared" si="9"/>
        <v>372855</v>
      </c>
      <c r="M30" s="34">
        <f t="shared" si="9"/>
        <v>159795</v>
      </c>
      <c r="N30" s="34">
        <f t="shared" si="9"/>
        <v>1065300</v>
      </c>
      <c r="O30" s="8"/>
      <c r="Q30" s="10"/>
      <c r="Z30" s="11"/>
      <c r="AC30" s="12"/>
      <c r="AD30" s="13"/>
    </row>
    <row r="31" spans="1:36" ht="21.95" customHeight="1" x14ac:dyDescent="0.2">
      <c r="A31" s="261" t="s">
        <v>45</v>
      </c>
      <c r="B31" s="261"/>
      <c r="C31" s="261"/>
      <c r="D31" s="261"/>
      <c r="E31" s="261"/>
      <c r="F31" s="261"/>
      <c r="G31" s="261"/>
      <c r="H31" s="261"/>
      <c r="I31" s="261"/>
      <c r="J31" s="34">
        <f>J24+J30</f>
        <v>152211.818</v>
      </c>
      <c r="K31" s="34">
        <f>K24+K30</f>
        <v>608847.272</v>
      </c>
      <c r="L31" s="34">
        <f>L24+L30</f>
        <v>532741.36300000001</v>
      </c>
      <c r="M31" s="34">
        <f>M24+M30</f>
        <v>228317.72700000001</v>
      </c>
      <c r="N31" s="34">
        <f>N24+N30</f>
        <v>1522118.18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2826.89</v>
      </c>
      <c r="L32" s="34"/>
      <c r="M32" s="34"/>
      <c r="N32" s="34">
        <f>ROUND($C$3*P32,2)</f>
        <v>2826.89</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2826.89</v>
      </c>
      <c r="L36" s="34">
        <f>SUM(L32:L35)</f>
        <v>0</v>
      </c>
      <c r="M36" s="34">
        <f>SUM(M32:M35)</f>
        <v>0</v>
      </c>
      <c r="N36" s="34">
        <f>SUM(N32:N35)</f>
        <v>2826.89</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2826.89</v>
      </c>
      <c r="L37" s="34">
        <f t="shared" si="11"/>
        <v>0</v>
      </c>
      <c r="M37" s="34">
        <f t="shared" si="11"/>
        <v>0</v>
      </c>
      <c r="N37" s="34">
        <f t="shared" si="11"/>
        <v>2826.89</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6592.3</v>
      </c>
      <c r="L38" s="34"/>
      <c r="M38" s="34"/>
      <c r="N38" s="34">
        <f>ROUND($C$4*P38,2)</f>
        <v>6592.3</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6592.3</v>
      </c>
      <c r="L42" s="34">
        <f>SUM(L38:L41)</f>
        <v>0</v>
      </c>
      <c r="M42" s="34">
        <f>SUM(M38:M41)</f>
        <v>0</v>
      </c>
      <c r="N42" s="34">
        <f>SUM(N38:N41)</f>
        <v>6592.3</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6592.3</v>
      </c>
      <c r="L43" s="34">
        <f t="shared" si="13"/>
        <v>0</v>
      </c>
      <c r="M43" s="34">
        <f t="shared" si="13"/>
        <v>0</v>
      </c>
      <c r="N43" s="34">
        <f t="shared" si="13"/>
        <v>6592.3</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9419.19</v>
      </c>
      <c r="L44" s="34">
        <f>L37+L43</f>
        <v>0</v>
      </c>
      <c r="M44" s="34">
        <f>M37+M43</f>
        <v>0</v>
      </c>
      <c r="N44" s="34">
        <f>N37+N43</f>
        <v>9419.19</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783.43</v>
      </c>
      <c r="L47" s="34"/>
      <c r="M47" s="34"/>
      <c r="N47" s="34">
        <f>ROUND($L$3*P47,2)</f>
        <v>783.43</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734.73000000000229</v>
      </c>
      <c r="L48" s="34"/>
      <c r="M48" s="34"/>
      <c r="N48" s="34">
        <f>M3-SUM(N10,N21,N35)</f>
        <v>734.73000000000229</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1518.1600000000021</v>
      </c>
      <c r="L49" s="34">
        <f>SUM(L45:L48)</f>
        <v>0</v>
      </c>
      <c r="M49" s="34">
        <f>SUM(M45:M48)</f>
        <v>0</v>
      </c>
      <c r="N49" s="34">
        <f>SUM(N45:N48)</f>
        <v>1518.1600000000021</v>
      </c>
      <c r="O49" s="8"/>
      <c r="P49" s="9"/>
    </row>
    <row r="50" spans="1:36" ht="21.95" customHeight="1" x14ac:dyDescent="0.2">
      <c r="A50" s="262"/>
      <c r="B50" s="261" t="s">
        <v>60</v>
      </c>
      <c r="C50" s="261"/>
      <c r="D50" s="261"/>
      <c r="E50" s="261"/>
      <c r="F50" s="261"/>
      <c r="G50" s="261"/>
      <c r="H50" s="261"/>
      <c r="I50" s="261"/>
      <c r="J50" s="34">
        <f>J49</f>
        <v>0</v>
      </c>
      <c r="K50" s="34">
        <f t="shared" ref="K50:N50" si="15">K49</f>
        <v>1518.1600000000021</v>
      </c>
      <c r="L50" s="34">
        <f t="shared" si="15"/>
        <v>0</v>
      </c>
      <c r="M50" s="34">
        <f t="shared" si="15"/>
        <v>0</v>
      </c>
      <c r="N50" s="34">
        <f t="shared" si="15"/>
        <v>1518.1600000000021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1826.97</v>
      </c>
      <c r="L53" s="34"/>
      <c r="M53" s="34"/>
      <c r="N53" s="34">
        <f>ROUND($L$4*P53,2)</f>
        <v>1826.97</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1713.409999999998</v>
      </c>
      <c r="L54" s="34"/>
      <c r="M54" s="34"/>
      <c r="N54" s="34">
        <f>M4-SUM(N15,N27,N41)</f>
        <v>1713.409999999998</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3540.3799999999983</v>
      </c>
      <c r="L55" s="34">
        <f>SUM(L51:L54)</f>
        <v>0</v>
      </c>
      <c r="M55" s="34">
        <f>SUM(M51:M54)</f>
        <v>0</v>
      </c>
      <c r="N55" s="34">
        <f>SUM(N51:N54)</f>
        <v>3540.3799999999983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3540.3799999999983</v>
      </c>
      <c r="L56" s="34">
        <f t="shared" si="17"/>
        <v>0</v>
      </c>
      <c r="M56" s="34">
        <f t="shared" si="17"/>
        <v>0</v>
      </c>
      <c r="N56" s="34">
        <f t="shared" si="17"/>
        <v>3540.3799999999983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5058.5400000000009</v>
      </c>
      <c r="L57" s="34">
        <f>L50+L56</f>
        <v>0</v>
      </c>
      <c r="M57" s="34">
        <f>M50+M56</f>
        <v>0</v>
      </c>
      <c r="N57" s="34">
        <f>N50+N56</f>
        <v>5058.5400000000009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37.22</v>
      </c>
      <c r="L59" s="34"/>
      <c r="M59" s="34"/>
      <c r="N59" s="34">
        <f>D3</f>
        <v>37.22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264.94</v>
      </c>
      <c r="L60" s="34"/>
      <c r="M60" s="34"/>
      <c r="N60" s="34">
        <f>E3</f>
        <v>264.94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383.93</v>
      </c>
      <c r="L61" s="34"/>
      <c r="M61" s="34"/>
      <c r="N61" s="34">
        <f>G3-SUM(N9,N20,N33,N46)</f>
        <v>383.93</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168.97</v>
      </c>
      <c r="L62" s="34"/>
      <c r="M62" s="34"/>
      <c r="N62" s="34">
        <f>H3</f>
        <v>168.97</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2175.6</v>
      </c>
      <c r="L63" s="34"/>
      <c r="M63" s="34"/>
      <c r="N63" s="34">
        <f>I3</f>
        <v>2175.6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127.91</v>
      </c>
      <c r="L64" s="34"/>
      <c r="M64" s="34"/>
      <c r="N64" s="34">
        <f>J3</f>
        <v>127.91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120.03</v>
      </c>
      <c r="L66" s="34"/>
      <c r="M66" s="34"/>
      <c r="N66" s="34">
        <f>K3</f>
        <v>120.03</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3278.6</v>
      </c>
      <c r="L68" s="34">
        <f>SUM(L58:L67)</f>
        <v>0</v>
      </c>
      <c r="M68" s="34">
        <f>SUM(M58:M67)</f>
        <v>0</v>
      </c>
      <c r="N68" s="34">
        <f>SUM(N58:N67)</f>
        <v>3278.6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3278.6</v>
      </c>
      <c r="L69" s="34">
        <f t="shared" si="20"/>
        <v>0</v>
      </c>
      <c r="M69" s="34">
        <f t="shared" si="20"/>
        <v>0</v>
      </c>
      <c r="N69" s="34">
        <f t="shared" si="20"/>
        <v>3278.6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86.8</v>
      </c>
      <c r="L71" s="34"/>
      <c r="M71" s="34"/>
      <c r="N71" s="34">
        <f>D4</f>
        <v>86.8</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617.83000000000004</v>
      </c>
      <c r="L72" s="34"/>
      <c r="M72" s="34"/>
      <c r="N72" s="34">
        <f>E4</f>
        <v>617.83000000000004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895.32</v>
      </c>
      <c r="L73" s="34"/>
      <c r="M73" s="34"/>
      <c r="N73" s="34">
        <f>G4-SUM(N14,N26,N39,N52)</f>
        <v>895.32</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394.03</v>
      </c>
      <c r="L74" s="34"/>
      <c r="M74" s="34"/>
      <c r="N74" s="34">
        <f>H4</f>
        <v>394.03</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5073.51</v>
      </c>
      <c r="L75" s="34"/>
      <c r="M75" s="34"/>
      <c r="N75" s="34">
        <f>I4</f>
        <v>5073.51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298.27999999999997</v>
      </c>
      <c r="L76" s="34"/>
      <c r="M76" s="34"/>
      <c r="N76" s="34">
        <f>J4</f>
        <v>298.27999999999997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279.89999999999998</v>
      </c>
      <c r="L78" s="34"/>
      <c r="M78" s="34"/>
      <c r="N78" s="34">
        <f>K4</f>
        <v>279.89999999999998</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7645.6699999999992</v>
      </c>
      <c r="L80" s="34">
        <f>SUM(L70:L79)</f>
        <v>0</v>
      </c>
      <c r="M80" s="34">
        <f>SUM(M70:M79)</f>
        <v>0</v>
      </c>
      <c r="N80" s="34">
        <f>SUM(N70:N79)</f>
        <v>7645.6699999999992</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7645.6699999999992</v>
      </c>
      <c r="L81" s="34">
        <f t="shared" si="23"/>
        <v>0</v>
      </c>
      <c r="M81" s="34">
        <f t="shared" si="23"/>
        <v>0</v>
      </c>
      <c r="N81" s="34">
        <f t="shared" si="23"/>
        <v>7645.6699999999992</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10924.269999999999</v>
      </c>
      <c r="L82" s="34">
        <f>L69+L81</f>
        <v>0</v>
      </c>
      <c r="M82" s="34">
        <f>M69+M81</f>
        <v>0</v>
      </c>
      <c r="N82" s="34">
        <f>N69+N81</f>
        <v>10924.269999999999</v>
      </c>
      <c r="O82" s="8"/>
      <c r="R82" s="14"/>
      <c r="Z82" s="15"/>
      <c r="AJ82" s="16"/>
    </row>
    <row r="83" spans="1:36" s="31" customFormat="1" ht="21.95" customHeight="1" x14ac:dyDescent="0.2">
      <c r="A83" s="275" t="s">
        <v>82</v>
      </c>
      <c r="B83" s="275"/>
      <c r="C83" s="275"/>
      <c r="D83" s="275"/>
      <c r="E83" s="275"/>
      <c r="F83" s="275"/>
      <c r="G83" s="275"/>
      <c r="H83" s="275"/>
      <c r="I83" s="275"/>
      <c r="J83" s="35">
        <f>J18+J31+J44+J57+J82</f>
        <v>152211.818</v>
      </c>
      <c r="K83" s="35">
        <f>K18+K31+K44+K57+K82</f>
        <v>634249.272</v>
      </c>
      <c r="L83" s="35">
        <f>L18+L31+L44+L57+L82</f>
        <v>532741.36300000001</v>
      </c>
      <c r="M83" s="35">
        <f>M18+M31+M44+M57+M82</f>
        <v>228317.72700000001</v>
      </c>
      <c r="N83" s="38">
        <f>N18+N31+N44+N57+N82</f>
        <v>1547520.18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D5A33A-08B5-4123-8B4C-7A39AD4FAACA}">
          <x14:formula1>
            <xm:f>'2026 COB breakdown_Kris'!$A$5:$A$103</xm:f>
          </x14:formula1>
          <xm:sqref>A3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1EBC9-4BF7-43A9-8FC2-F3D057AE352E}">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205</v>
      </c>
      <c r="B3" s="58" t="s">
        <v>158</v>
      </c>
      <c r="C3" s="59">
        <f>VLOOKUP($A3,COBTABLE,15, FALSE)</f>
        <v>1892.1</v>
      </c>
      <c r="D3" s="59">
        <f>VLOOKUP($A3,COBTABLE,16, FALSE)</f>
        <v>24.91</v>
      </c>
      <c r="E3" s="59">
        <f>VLOOKUP($A3,COBTABLE,17, FALSE)</f>
        <v>177.33</v>
      </c>
      <c r="F3" s="59">
        <f>VLOOKUP($A3,COBTABLE,18, FALSE)</f>
        <v>0</v>
      </c>
      <c r="G3" s="59">
        <f>VLOOKUP($A3,COBTABLE,19, FALSE)</f>
        <v>256.97000000000003</v>
      </c>
      <c r="H3" s="59">
        <f>VLOOKUP($A3,COBTABLE,20, FALSE)</f>
        <v>113.09</v>
      </c>
      <c r="I3" s="59">
        <f>VLOOKUP($A3,COBTABLE,21, FALSE)</f>
        <v>1456.18</v>
      </c>
      <c r="J3" s="59">
        <f>VLOOKUP($A3,COBTABLE,22, FALSE)</f>
        <v>85.61</v>
      </c>
      <c r="K3" s="59">
        <f>VLOOKUP($A3,COBTABLE,23, FALSE)</f>
        <v>80.34</v>
      </c>
      <c r="L3" s="59">
        <f>VLOOKUP($A3,COBTABLE,24, FALSE)</f>
        <v>524.37</v>
      </c>
      <c r="M3" s="59">
        <f>VLOOKUP($A3,COBTABLE,25, FALSE)</f>
        <v>491.76999999999862</v>
      </c>
      <c r="N3" s="60">
        <f>VLOOKUP($A3, countrygrant,2,FALSE)</f>
        <v>456818.18</v>
      </c>
      <c r="O3" s="92">
        <f>SUM(C3:N3)</f>
        <v>461920.85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3177.46</v>
      </c>
      <c r="D4" s="59">
        <f>VLOOKUP($A3,COBTABLE,28, FALSE)</f>
        <v>41.84</v>
      </c>
      <c r="E4" s="59">
        <f>VLOOKUP($A3,COBTABLE,29, FALSE)</f>
        <v>297.79000000000002</v>
      </c>
      <c r="F4" s="59">
        <f>VLOOKUP($A3,COBTABLE,30, FALSE)</f>
        <v>0</v>
      </c>
      <c r="G4" s="59">
        <f>VLOOKUP($A3,COBTABLE,31, FALSE)</f>
        <v>431.54</v>
      </c>
      <c r="H4" s="59">
        <f>VLOOKUP($A3,COBTABLE,32, FALSE)</f>
        <v>189.92</v>
      </c>
      <c r="I4" s="59">
        <f>VLOOKUP($A3,COBTABLE,33, FALSE)</f>
        <v>2445.41</v>
      </c>
      <c r="J4" s="59">
        <f>VLOOKUP($A3,COBTABLE,34, FALSE)</f>
        <v>143.77000000000001</v>
      </c>
      <c r="K4" s="59">
        <f>VLOOKUP($A3,COBTABLE,35, FALSE)</f>
        <v>134.91</v>
      </c>
      <c r="L4" s="59">
        <f>VLOOKUP($A3,COBTABLE,36, FALSE)</f>
        <v>880.59</v>
      </c>
      <c r="M4" s="59">
        <f>VLOOKUP($A3,COBTABLE,37, FALSE)</f>
        <v>825.85999999999967</v>
      </c>
      <c r="N4" s="60">
        <f>VLOOKUP($A3, countrygrant,3,FALSE)</f>
        <v>767150</v>
      </c>
      <c r="O4" s="92">
        <f t="shared" ref="O4" si="0">SUM(C4:N4)</f>
        <v>775719.09</v>
      </c>
      <c r="P4" s="28"/>
      <c r="Q4" s="28"/>
      <c r="R4" s="28"/>
      <c r="S4" s="28"/>
      <c r="T4" s="28"/>
      <c r="U4" s="28"/>
      <c r="V4" s="28"/>
      <c r="W4" s="28"/>
      <c r="X4" s="28"/>
      <c r="Y4" s="28"/>
      <c r="Z4" s="28"/>
      <c r="AA4" s="28"/>
      <c r="AB4" s="28"/>
      <c r="AC4" s="28"/>
    </row>
    <row r="5" spans="1:36" s="53" customFormat="1" ht="12" customHeight="1" x14ac:dyDescent="0.25">
      <c r="A5" s="278"/>
      <c r="B5" s="61" t="s">
        <v>156</v>
      </c>
      <c r="C5" s="62">
        <f>SUM(C3:C4)</f>
        <v>5069.5599999999995</v>
      </c>
      <c r="D5" s="62">
        <f t="shared" ref="D5:O5" si="1">SUM(D3:D4)</f>
        <v>66.75</v>
      </c>
      <c r="E5" s="62">
        <f t="shared" si="1"/>
        <v>475.12</v>
      </c>
      <c r="F5" s="62">
        <f t="shared" si="1"/>
        <v>0</v>
      </c>
      <c r="G5" s="62">
        <f t="shared" si="1"/>
        <v>688.51</v>
      </c>
      <c r="H5" s="62">
        <f t="shared" si="1"/>
        <v>303.01</v>
      </c>
      <c r="I5" s="62">
        <f t="shared" si="1"/>
        <v>3901.59</v>
      </c>
      <c r="J5" s="62">
        <f t="shared" si="1"/>
        <v>229.38</v>
      </c>
      <c r="K5" s="62">
        <f t="shared" si="1"/>
        <v>215.25</v>
      </c>
      <c r="L5" s="62">
        <f t="shared" si="1"/>
        <v>1404.96</v>
      </c>
      <c r="M5" s="62">
        <f t="shared" si="1"/>
        <v>1317.6299999999983</v>
      </c>
      <c r="N5" s="62">
        <f t="shared" si="1"/>
        <v>1223968.18</v>
      </c>
      <c r="O5" s="62">
        <f t="shared" si="1"/>
        <v>1237639.94</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76715</v>
      </c>
      <c r="K28" s="34">
        <f>$N28*0.4</f>
        <v>306860</v>
      </c>
      <c r="L28" s="34">
        <f>$N28*0.35</f>
        <v>268502.5</v>
      </c>
      <c r="M28" s="34">
        <f>$N28*0.15</f>
        <v>115072.5</v>
      </c>
      <c r="N28" s="34">
        <f>N4</f>
        <v>767150</v>
      </c>
      <c r="O28" s="8"/>
      <c r="P28" s="9">
        <f>VLOOKUP(H28,starratio3,4,FALSE)</f>
        <v>0</v>
      </c>
    </row>
    <row r="29" spans="1:36" ht="21.95" customHeight="1" x14ac:dyDescent="0.2">
      <c r="A29" s="262"/>
      <c r="B29" s="262"/>
      <c r="C29" s="263" t="s">
        <v>31</v>
      </c>
      <c r="D29" s="263"/>
      <c r="E29" s="263"/>
      <c r="F29" s="263"/>
      <c r="G29" s="263"/>
      <c r="H29" s="263"/>
      <c r="I29" s="263"/>
      <c r="J29" s="34">
        <f>SUM(J25:J28)</f>
        <v>76715</v>
      </c>
      <c r="K29" s="34">
        <f>SUM(K25:K28)</f>
        <v>306860</v>
      </c>
      <c r="L29" s="34">
        <f>SUM(L25:L28)</f>
        <v>268502.5</v>
      </c>
      <c r="M29" s="34">
        <f>SUM(M25:M28)</f>
        <v>115072.5</v>
      </c>
      <c r="N29" s="34">
        <f>SUM(N25:N28)</f>
        <v>767150</v>
      </c>
      <c r="O29" s="8"/>
      <c r="P29" s="9"/>
    </row>
    <row r="30" spans="1:36" ht="21.95" customHeight="1" x14ac:dyDescent="0.2">
      <c r="A30" s="262"/>
      <c r="B30" s="263" t="s">
        <v>44</v>
      </c>
      <c r="C30" s="263"/>
      <c r="D30" s="263"/>
      <c r="E30" s="263"/>
      <c r="F30" s="263"/>
      <c r="G30" s="263"/>
      <c r="H30" s="263"/>
      <c r="I30" s="263"/>
      <c r="J30" s="34">
        <f>J29</f>
        <v>76715</v>
      </c>
      <c r="K30" s="34">
        <f t="shared" ref="K30:N30" si="9">K29</f>
        <v>306860</v>
      </c>
      <c r="L30" s="34">
        <f t="shared" si="9"/>
        <v>268502.5</v>
      </c>
      <c r="M30" s="34">
        <f t="shared" si="9"/>
        <v>115072.5</v>
      </c>
      <c r="N30" s="34">
        <f t="shared" si="9"/>
        <v>767150</v>
      </c>
      <c r="O30" s="8"/>
      <c r="Q30" s="10"/>
      <c r="Z30" s="11"/>
      <c r="AC30" s="12"/>
      <c r="AD30" s="13"/>
    </row>
    <row r="31" spans="1:36" ht="21.95" customHeight="1" x14ac:dyDescent="0.2">
      <c r="A31" s="261" t="s">
        <v>45</v>
      </c>
      <c r="B31" s="261"/>
      <c r="C31" s="261"/>
      <c r="D31" s="261"/>
      <c r="E31" s="261"/>
      <c r="F31" s="261"/>
      <c r="G31" s="261"/>
      <c r="H31" s="261"/>
      <c r="I31" s="261"/>
      <c r="J31" s="34">
        <f>J24+J30</f>
        <v>122396.818</v>
      </c>
      <c r="K31" s="34">
        <f>K24+K30</f>
        <v>489587.272</v>
      </c>
      <c r="L31" s="34">
        <f>L24+L30</f>
        <v>428388.86300000001</v>
      </c>
      <c r="M31" s="34">
        <f>M24+M30</f>
        <v>183595.22700000001</v>
      </c>
      <c r="N31" s="34">
        <f>N24+N30</f>
        <v>1223968.18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1892.1</v>
      </c>
      <c r="L32" s="34"/>
      <c r="M32" s="34"/>
      <c r="N32" s="34">
        <f>ROUND($C$3*P32,2)</f>
        <v>1892.1</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1892.1</v>
      </c>
      <c r="L36" s="34">
        <f>SUM(L32:L35)</f>
        <v>0</v>
      </c>
      <c r="M36" s="34">
        <f>SUM(M32:M35)</f>
        <v>0</v>
      </c>
      <c r="N36" s="34">
        <f>SUM(N32:N35)</f>
        <v>1892.1</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1892.1</v>
      </c>
      <c r="L37" s="34">
        <f t="shared" si="11"/>
        <v>0</v>
      </c>
      <c r="M37" s="34">
        <f t="shared" si="11"/>
        <v>0</v>
      </c>
      <c r="N37" s="34">
        <f t="shared" si="11"/>
        <v>1892.1</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3177.46</v>
      </c>
      <c r="L38" s="34"/>
      <c r="M38" s="34"/>
      <c r="N38" s="34">
        <f>ROUND($C$4*P38,2)</f>
        <v>3177.46</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3177.46</v>
      </c>
      <c r="L42" s="34">
        <f>SUM(L38:L41)</f>
        <v>0</v>
      </c>
      <c r="M42" s="34">
        <f>SUM(M38:M41)</f>
        <v>0</v>
      </c>
      <c r="N42" s="34">
        <f>SUM(N38:N41)</f>
        <v>3177.46</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3177.46</v>
      </c>
      <c r="L43" s="34">
        <f t="shared" si="13"/>
        <v>0</v>
      </c>
      <c r="M43" s="34">
        <f t="shared" si="13"/>
        <v>0</v>
      </c>
      <c r="N43" s="34">
        <f t="shared" si="13"/>
        <v>3177.46</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5069.5599999999995</v>
      </c>
      <c r="L44" s="34">
        <f>L37+L43</f>
        <v>0</v>
      </c>
      <c r="M44" s="34">
        <f>M37+M43</f>
        <v>0</v>
      </c>
      <c r="N44" s="34">
        <f>N37+N43</f>
        <v>5069.5599999999995</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524.37</v>
      </c>
      <c r="L47" s="34"/>
      <c r="M47" s="34"/>
      <c r="N47" s="34">
        <f>ROUND($L$3*P47,2)</f>
        <v>524.37</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491.76999999999862</v>
      </c>
      <c r="L48" s="34"/>
      <c r="M48" s="34"/>
      <c r="N48" s="34">
        <f>M3-SUM(N10,N21,N35)</f>
        <v>491.76999999999862</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1016.1399999999986</v>
      </c>
      <c r="L49" s="34">
        <f>SUM(L45:L48)</f>
        <v>0</v>
      </c>
      <c r="M49" s="34">
        <f>SUM(M45:M48)</f>
        <v>0</v>
      </c>
      <c r="N49" s="34">
        <f>SUM(N45:N48)</f>
        <v>1016.1399999999986</v>
      </c>
      <c r="O49" s="8"/>
      <c r="P49" s="9"/>
    </row>
    <row r="50" spans="1:36" ht="21.95" customHeight="1" x14ac:dyDescent="0.2">
      <c r="A50" s="262"/>
      <c r="B50" s="261" t="s">
        <v>60</v>
      </c>
      <c r="C50" s="261"/>
      <c r="D50" s="261"/>
      <c r="E50" s="261"/>
      <c r="F50" s="261"/>
      <c r="G50" s="261"/>
      <c r="H50" s="261"/>
      <c r="I50" s="261"/>
      <c r="J50" s="34">
        <f>J49</f>
        <v>0</v>
      </c>
      <c r="K50" s="34">
        <f t="shared" ref="K50:N50" si="15">K49</f>
        <v>1016.1399999999986</v>
      </c>
      <c r="L50" s="34">
        <f t="shared" si="15"/>
        <v>0</v>
      </c>
      <c r="M50" s="34">
        <f t="shared" si="15"/>
        <v>0</v>
      </c>
      <c r="N50" s="34">
        <f t="shared" si="15"/>
        <v>1016.1399999999986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880.59</v>
      </c>
      <c r="L53" s="34"/>
      <c r="M53" s="34"/>
      <c r="N53" s="34">
        <f>ROUND($L$4*P53,2)</f>
        <v>880.59</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825.85999999999967</v>
      </c>
      <c r="L54" s="34"/>
      <c r="M54" s="34"/>
      <c r="N54" s="34">
        <f>M4-SUM(N15,N27,N41)</f>
        <v>825.85999999999967</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1706.4499999999998</v>
      </c>
      <c r="L55" s="34">
        <f>SUM(L51:L54)</f>
        <v>0</v>
      </c>
      <c r="M55" s="34">
        <f>SUM(M51:M54)</f>
        <v>0</v>
      </c>
      <c r="N55" s="34">
        <f>SUM(N51:N54)</f>
        <v>1706.4499999999998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1706.4499999999998</v>
      </c>
      <c r="L56" s="34">
        <f t="shared" si="17"/>
        <v>0</v>
      </c>
      <c r="M56" s="34">
        <f t="shared" si="17"/>
        <v>0</v>
      </c>
      <c r="N56" s="34">
        <f t="shared" si="17"/>
        <v>1706.4499999999998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2722.5899999999983</v>
      </c>
      <c r="L57" s="34">
        <f>L50+L56</f>
        <v>0</v>
      </c>
      <c r="M57" s="34">
        <f>M50+M56</f>
        <v>0</v>
      </c>
      <c r="N57" s="34">
        <f>N50+N56</f>
        <v>2722.5899999999983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24.91</v>
      </c>
      <c r="L59" s="34"/>
      <c r="M59" s="34"/>
      <c r="N59" s="34">
        <f>D3</f>
        <v>24.91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177.33</v>
      </c>
      <c r="L60" s="34"/>
      <c r="M60" s="34"/>
      <c r="N60" s="34">
        <f>E3</f>
        <v>177.33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256.97000000000003</v>
      </c>
      <c r="L61" s="34"/>
      <c r="M61" s="34"/>
      <c r="N61" s="34">
        <f>G3-SUM(N9,N20,N33,N46)</f>
        <v>256.97000000000003</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113.09</v>
      </c>
      <c r="L62" s="34"/>
      <c r="M62" s="34"/>
      <c r="N62" s="34">
        <f>H3</f>
        <v>113.09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1456.18</v>
      </c>
      <c r="L63" s="34"/>
      <c r="M63" s="34"/>
      <c r="N63" s="34">
        <f>I3</f>
        <v>1456.18</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85.61</v>
      </c>
      <c r="L64" s="34"/>
      <c r="M64" s="34"/>
      <c r="N64" s="34">
        <f>J3</f>
        <v>85.61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80.34</v>
      </c>
      <c r="L66" s="34"/>
      <c r="M66" s="34"/>
      <c r="N66" s="34">
        <f>K3</f>
        <v>80.34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2194.4300000000003</v>
      </c>
      <c r="L68" s="34">
        <f>SUM(L58:L67)</f>
        <v>0</v>
      </c>
      <c r="M68" s="34">
        <f>SUM(M58:M67)</f>
        <v>0</v>
      </c>
      <c r="N68" s="34">
        <f>SUM(N58:N67)</f>
        <v>2194.4300000000003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2194.4300000000003</v>
      </c>
      <c r="L69" s="34">
        <f t="shared" si="20"/>
        <v>0</v>
      </c>
      <c r="M69" s="34">
        <f t="shared" si="20"/>
        <v>0</v>
      </c>
      <c r="N69" s="34">
        <f t="shared" si="20"/>
        <v>2194.4300000000003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41.84</v>
      </c>
      <c r="L71" s="34"/>
      <c r="M71" s="34"/>
      <c r="N71" s="34">
        <f>D4</f>
        <v>41.84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297.79000000000002</v>
      </c>
      <c r="L72" s="34"/>
      <c r="M72" s="34"/>
      <c r="N72" s="34">
        <f>E4</f>
        <v>297.79000000000002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431.54</v>
      </c>
      <c r="L73" s="34"/>
      <c r="M73" s="34"/>
      <c r="N73" s="34">
        <f>G4-SUM(N14,N26,N39,N52)</f>
        <v>431.54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189.92</v>
      </c>
      <c r="L74" s="34"/>
      <c r="M74" s="34"/>
      <c r="N74" s="34">
        <f>H4</f>
        <v>189.92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2445.41</v>
      </c>
      <c r="L75" s="34"/>
      <c r="M75" s="34"/>
      <c r="N75" s="34">
        <f>I4</f>
        <v>2445.41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143.77000000000001</v>
      </c>
      <c r="L76" s="34"/>
      <c r="M76" s="34"/>
      <c r="N76" s="34">
        <f>J4</f>
        <v>143.77000000000001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134.91</v>
      </c>
      <c r="L78" s="34"/>
      <c r="M78" s="34"/>
      <c r="N78" s="34">
        <f>K4</f>
        <v>134.91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3685.18</v>
      </c>
      <c r="L80" s="34">
        <f>SUM(L70:L79)</f>
        <v>0</v>
      </c>
      <c r="M80" s="34">
        <f>SUM(M70:M79)</f>
        <v>0</v>
      </c>
      <c r="N80" s="34">
        <f>SUM(N70:N79)</f>
        <v>3685.18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3685.18</v>
      </c>
      <c r="L81" s="34">
        <f t="shared" si="23"/>
        <v>0</v>
      </c>
      <c r="M81" s="34">
        <f t="shared" si="23"/>
        <v>0</v>
      </c>
      <c r="N81" s="34">
        <f t="shared" si="23"/>
        <v>3685.18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5879.6100000000006</v>
      </c>
      <c r="L82" s="34">
        <f>L69+L81</f>
        <v>0</v>
      </c>
      <c r="M82" s="34">
        <f>M69+M81</f>
        <v>0</v>
      </c>
      <c r="N82" s="34">
        <f>N69+N81</f>
        <v>5879.6100000000006</v>
      </c>
      <c r="O82" s="8"/>
      <c r="R82" s="14"/>
      <c r="Z82" s="15"/>
      <c r="AJ82" s="16"/>
    </row>
    <row r="83" spans="1:36" s="31" customFormat="1" ht="21.95" customHeight="1" x14ac:dyDescent="0.2">
      <c r="A83" s="275" t="s">
        <v>82</v>
      </c>
      <c r="B83" s="275"/>
      <c r="C83" s="275"/>
      <c r="D83" s="275"/>
      <c r="E83" s="275"/>
      <c r="F83" s="275"/>
      <c r="G83" s="275"/>
      <c r="H83" s="275"/>
      <c r="I83" s="275"/>
      <c r="J83" s="35">
        <f>J18+J31+J44+J57+J82</f>
        <v>122396.818</v>
      </c>
      <c r="K83" s="35">
        <f>K18+K31+K44+K57+K82</f>
        <v>503259.03200000001</v>
      </c>
      <c r="L83" s="35">
        <f>L18+L31+L44+L57+L82</f>
        <v>428388.86300000001</v>
      </c>
      <c r="M83" s="35">
        <f>M18+M31+M44+M57+M82</f>
        <v>183595.22700000001</v>
      </c>
      <c r="N83" s="38">
        <f>N18+N31+N44+N57+N82</f>
        <v>1237639.9400000002</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02FAAF5-A7DD-4992-8898-0DC0A14A91BF}">
          <x14:formula1>
            <xm:f>'2026 COB breakdown_Kris'!$A$5:$A$103</xm:f>
          </x14:formula1>
          <xm:sqref>A3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6230F-EAD6-4775-8DB6-BDFE47CA3E6C}">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206</v>
      </c>
      <c r="B3" s="58" t="s">
        <v>158</v>
      </c>
      <c r="C3" s="59">
        <f>VLOOKUP($A3,COBTABLE,15, FALSE)</f>
        <v>5513.56</v>
      </c>
      <c r="D3" s="59">
        <f>VLOOKUP($A3,COBTABLE,16, FALSE)</f>
        <v>72.599999999999994</v>
      </c>
      <c r="E3" s="59">
        <f>VLOOKUP($A3,COBTABLE,17, FALSE)</f>
        <v>516.73</v>
      </c>
      <c r="F3" s="59">
        <f>VLOOKUP($A3,COBTABLE,18, FALSE)</f>
        <v>0</v>
      </c>
      <c r="G3" s="59">
        <f>VLOOKUP($A3,COBTABLE,19, FALSE)</f>
        <v>748.81</v>
      </c>
      <c r="H3" s="59">
        <f>VLOOKUP($A3,COBTABLE,20, FALSE)</f>
        <v>329.55</v>
      </c>
      <c r="I3" s="59">
        <f>VLOOKUP($A3,COBTABLE,21, FALSE)</f>
        <v>4243.3</v>
      </c>
      <c r="J3" s="59">
        <f>VLOOKUP($A3,COBTABLE,22, FALSE)</f>
        <v>249.47</v>
      </c>
      <c r="K3" s="59">
        <f>VLOOKUP($A3,COBTABLE,23, FALSE)</f>
        <v>234.1</v>
      </c>
      <c r="L3" s="59">
        <f>VLOOKUP($A3,COBTABLE,24, FALSE)</f>
        <v>1528.01</v>
      </c>
      <c r="M3" s="59">
        <f>VLOOKUP($A3,COBTABLE,25, FALSE)</f>
        <v>1433.0299999999988</v>
      </c>
      <c r="N3" s="60">
        <f>VLOOKUP($A3, countrygrant,2,FALSE)</f>
        <v>456818.18</v>
      </c>
      <c r="O3" s="92">
        <f>SUM(C3:N3)</f>
        <v>471687.33999999997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2830.3</v>
      </c>
      <c r="D4" s="59">
        <f>VLOOKUP($A3,COBTABLE,28, FALSE)</f>
        <v>37.270000000000003</v>
      </c>
      <c r="E4" s="59">
        <f>VLOOKUP($A3,COBTABLE,29, FALSE)</f>
        <v>265.26</v>
      </c>
      <c r="F4" s="59">
        <f>VLOOKUP($A3,COBTABLE,30, FALSE)</f>
        <v>0</v>
      </c>
      <c r="G4" s="59">
        <f>VLOOKUP($A3,COBTABLE,31, FALSE)</f>
        <v>384.39</v>
      </c>
      <c r="H4" s="59">
        <f>VLOOKUP($A3,COBTABLE,32, FALSE)</f>
        <v>169.17</v>
      </c>
      <c r="I4" s="59">
        <f>VLOOKUP($A3,COBTABLE,33, FALSE)</f>
        <v>2178.23</v>
      </c>
      <c r="J4" s="59">
        <f>VLOOKUP($A3,COBTABLE,34, FALSE)</f>
        <v>128.06</v>
      </c>
      <c r="K4" s="59">
        <f>VLOOKUP($A3,COBTABLE,35, FALSE)</f>
        <v>120.17</v>
      </c>
      <c r="L4" s="59">
        <f>VLOOKUP($A3,COBTABLE,36, FALSE)</f>
        <v>784.38</v>
      </c>
      <c r="M4" s="59">
        <f>VLOOKUP($A3,COBTABLE,37, FALSE)</f>
        <v>735.60999999999967</v>
      </c>
      <c r="N4" s="60">
        <f>VLOOKUP($A3, countrygrant,3,FALSE)</f>
        <v>234500</v>
      </c>
      <c r="O4" s="92">
        <f t="shared" ref="O4" si="0">SUM(C4:N4)</f>
        <v>242132.84</v>
      </c>
      <c r="P4" s="28"/>
      <c r="Q4" s="28"/>
      <c r="R4" s="28"/>
      <c r="S4" s="28"/>
      <c r="T4" s="28"/>
      <c r="U4" s="28"/>
      <c r="V4" s="28"/>
      <c r="W4" s="28"/>
      <c r="X4" s="28"/>
      <c r="Y4" s="28"/>
      <c r="Z4" s="28"/>
      <c r="AA4" s="28"/>
      <c r="AB4" s="28"/>
      <c r="AC4" s="28"/>
    </row>
    <row r="5" spans="1:36" s="53" customFormat="1" ht="12" customHeight="1" x14ac:dyDescent="0.25">
      <c r="A5" s="278"/>
      <c r="B5" s="61" t="s">
        <v>156</v>
      </c>
      <c r="C5" s="62">
        <f>SUM(C3:C4)</f>
        <v>8343.86</v>
      </c>
      <c r="D5" s="62">
        <f t="shared" ref="D5:O5" si="1">SUM(D3:D4)</f>
        <v>109.87</v>
      </c>
      <c r="E5" s="62">
        <f t="shared" si="1"/>
        <v>781.99</v>
      </c>
      <c r="F5" s="62">
        <f t="shared" si="1"/>
        <v>0</v>
      </c>
      <c r="G5" s="62">
        <f t="shared" si="1"/>
        <v>1133.1999999999998</v>
      </c>
      <c r="H5" s="62">
        <f t="shared" si="1"/>
        <v>498.72</v>
      </c>
      <c r="I5" s="62">
        <f t="shared" si="1"/>
        <v>6421.5300000000007</v>
      </c>
      <c r="J5" s="62">
        <f t="shared" si="1"/>
        <v>377.53</v>
      </c>
      <c r="K5" s="62">
        <f t="shared" si="1"/>
        <v>354.27</v>
      </c>
      <c r="L5" s="62">
        <f t="shared" si="1"/>
        <v>2312.39</v>
      </c>
      <c r="M5" s="62">
        <f t="shared" si="1"/>
        <v>2168.6399999999985</v>
      </c>
      <c r="N5" s="62">
        <f t="shared" si="1"/>
        <v>691318.17999999993</v>
      </c>
      <c r="O5" s="62">
        <f t="shared" si="1"/>
        <v>713820.17999999993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23450</v>
      </c>
      <c r="K28" s="34">
        <f>$N28*0.4</f>
        <v>93800</v>
      </c>
      <c r="L28" s="34">
        <f>$N28*0.35</f>
        <v>82075</v>
      </c>
      <c r="M28" s="34">
        <f>$N28*0.15</f>
        <v>35175</v>
      </c>
      <c r="N28" s="34">
        <f>N4</f>
        <v>234500</v>
      </c>
      <c r="O28" s="8"/>
      <c r="P28" s="9">
        <f>VLOOKUP(H28,starratio3,4,FALSE)</f>
        <v>0</v>
      </c>
    </row>
    <row r="29" spans="1:36" ht="21.95" customHeight="1" x14ac:dyDescent="0.2">
      <c r="A29" s="262"/>
      <c r="B29" s="262"/>
      <c r="C29" s="263" t="s">
        <v>31</v>
      </c>
      <c r="D29" s="263"/>
      <c r="E29" s="263"/>
      <c r="F29" s="263"/>
      <c r="G29" s="263"/>
      <c r="H29" s="263"/>
      <c r="I29" s="263"/>
      <c r="J29" s="34">
        <f>SUM(J25:J28)</f>
        <v>23450</v>
      </c>
      <c r="K29" s="34">
        <f>SUM(K25:K28)</f>
        <v>93800</v>
      </c>
      <c r="L29" s="34">
        <f>SUM(L25:L28)</f>
        <v>82075</v>
      </c>
      <c r="M29" s="34">
        <f>SUM(M25:M28)</f>
        <v>35175</v>
      </c>
      <c r="N29" s="34">
        <f>SUM(N25:N28)</f>
        <v>234500</v>
      </c>
      <c r="O29" s="8"/>
      <c r="P29" s="9"/>
    </row>
    <row r="30" spans="1:36" ht="21.95" customHeight="1" x14ac:dyDescent="0.2">
      <c r="A30" s="262"/>
      <c r="B30" s="263" t="s">
        <v>44</v>
      </c>
      <c r="C30" s="263"/>
      <c r="D30" s="263"/>
      <c r="E30" s="263"/>
      <c r="F30" s="263"/>
      <c r="G30" s="263"/>
      <c r="H30" s="263"/>
      <c r="I30" s="263"/>
      <c r="J30" s="34">
        <f>J29</f>
        <v>23450</v>
      </c>
      <c r="K30" s="34">
        <f t="shared" ref="K30:N30" si="9">K29</f>
        <v>93800</v>
      </c>
      <c r="L30" s="34">
        <f t="shared" si="9"/>
        <v>82075</v>
      </c>
      <c r="M30" s="34">
        <f t="shared" si="9"/>
        <v>35175</v>
      </c>
      <c r="N30" s="34">
        <f t="shared" si="9"/>
        <v>234500</v>
      </c>
      <c r="O30" s="8"/>
      <c r="Q30" s="10"/>
      <c r="Z30" s="11"/>
      <c r="AC30" s="12"/>
      <c r="AD30" s="13"/>
    </row>
    <row r="31" spans="1:36" ht="21.95" customHeight="1" x14ac:dyDescent="0.2">
      <c r="A31" s="261" t="s">
        <v>45</v>
      </c>
      <c r="B31" s="261"/>
      <c r="C31" s="261"/>
      <c r="D31" s="261"/>
      <c r="E31" s="261"/>
      <c r="F31" s="261"/>
      <c r="G31" s="261"/>
      <c r="H31" s="261"/>
      <c r="I31" s="261"/>
      <c r="J31" s="34">
        <f>J24+J30</f>
        <v>69131.817999999999</v>
      </c>
      <c r="K31" s="34">
        <f>K24+K30</f>
        <v>276527.272</v>
      </c>
      <c r="L31" s="34">
        <f>L24+L30</f>
        <v>241961.36299999998</v>
      </c>
      <c r="M31" s="34">
        <f>M24+M30</f>
        <v>103697.727</v>
      </c>
      <c r="N31" s="34">
        <f>N24+N30</f>
        <v>691318.17999999993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5513.56</v>
      </c>
      <c r="L32" s="34"/>
      <c r="M32" s="34"/>
      <c r="N32" s="34">
        <f>ROUND($C$3*P32,2)</f>
        <v>5513.56</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5513.56</v>
      </c>
      <c r="L36" s="34">
        <f>SUM(L32:L35)</f>
        <v>0</v>
      </c>
      <c r="M36" s="34">
        <f>SUM(M32:M35)</f>
        <v>0</v>
      </c>
      <c r="N36" s="34">
        <f>SUM(N32:N35)</f>
        <v>5513.56</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5513.56</v>
      </c>
      <c r="L37" s="34">
        <f t="shared" si="11"/>
        <v>0</v>
      </c>
      <c r="M37" s="34">
        <f t="shared" si="11"/>
        <v>0</v>
      </c>
      <c r="N37" s="34">
        <f t="shared" si="11"/>
        <v>5513.56</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2830.3</v>
      </c>
      <c r="L38" s="34"/>
      <c r="M38" s="34"/>
      <c r="N38" s="34">
        <f>ROUND($C$4*P38,2)</f>
        <v>2830.3</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2830.3</v>
      </c>
      <c r="L42" s="34">
        <f>SUM(L38:L41)</f>
        <v>0</v>
      </c>
      <c r="M42" s="34">
        <f>SUM(M38:M41)</f>
        <v>0</v>
      </c>
      <c r="N42" s="34">
        <f>SUM(N38:N41)</f>
        <v>2830.3</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2830.3</v>
      </c>
      <c r="L43" s="34">
        <f t="shared" si="13"/>
        <v>0</v>
      </c>
      <c r="M43" s="34">
        <f t="shared" si="13"/>
        <v>0</v>
      </c>
      <c r="N43" s="34">
        <f t="shared" si="13"/>
        <v>2830.3</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8343.86</v>
      </c>
      <c r="L44" s="34">
        <f>L37+L43</f>
        <v>0</v>
      </c>
      <c r="M44" s="34">
        <f>M37+M43</f>
        <v>0</v>
      </c>
      <c r="N44" s="34">
        <f>N37+N43</f>
        <v>8343.86</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1528.01</v>
      </c>
      <c r="L47" s="34"/>
      <c r="M47" s="34"/>
      <c r="N47" s="34">
        <f>ROUND($L$3*P47,2)</f>
        <v>1528.01</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1433.0299999999988</v>
      </c>
      <c r="L48" s="34"/>
      <c r="M48" s="34"/>
      <c r="N48" s="34">
        <f>M3-SUM(N10,N21,N35)</f>
        <v>1433.0299999999988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2961.0399999999991</v>
      </c>
      <c r="L49" s="34">
        <f>SUM(L45:L48)</f>
        <v>0</v>
      </c>
      <c r="M49" s="34">
        <f>SUM(M45:M48)</f>
        <v>0</v>
      </c>
      <c r="N49" s="34">
        <f>SUM(N45:N48)</f>
        <v>2961.0399999999991</v>
      </c>
      <c r="O49" s="8"/>
      <c r="P49" s="9"/>
    </row>
    <row r="50" spans="1:36" ht="21.95" customHeight="1" x14ac:dyDescent="0.2">
      <c r="A50" s="262"/>
      <c r="B50" s="261" t="s">
        <v>60</v>
      </c>
      <c r="C50" s="261"/>
      <c r="D50" s="261"/>
      <c r="E50" s="261"/>
      <c r="F50" s="261"/>
      <c r="G50" s="261"/>
      <c r="H50" s="261"/>
      <c r="I50" s="261"/>
      <c r="J50" s="34">
        <f>J49</f>
        <v>0</v>
      </c>
      <c r="K50" s="34">
        <f t="shared" ref="K50:N50" si="15">K49</f>
        <v>2961.0399999999991</v>
      </c>
      <c r="L50" s="34">
        <f t="shared" si="15"/>
        <v>0</v>
      </c>
      <c r="M50" s="34">
        <f t="shared" si="15"/>
        <v>0</v>
      </c>
      <c r="N50" s="34">
        <f t="shared" si="15"/>
        <v>2961.0399999999991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784.38</v>
      </c>
      <c r="L53" s="34"/>
      <c r="M53" s="34"/>
      <c r="N53" s="34">
        <f>ROUND($L$4*P53,2)</f>
        <v>784.38</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735.60999999999967</v>
      </c>
      <c r="L54" s="34"/>
      <c r="M54" s="34"/>
      <c r="N54" s="34">
        <f>M4-SUM(N15,N27,N41)</f>
        <v>735.60999999999967</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1519.9899999999998</v>
      </c>
      <c r="L55" s="34">
        <f>SUM(L51:L54)</f>
        <v>0</v>
      </c>
      <c r="M55" s="34">
        <f>SUM(M51:M54)</f>
        <v>0</v>
      </c>
      <c r="N55" s="34">
        <f>SUM(N51:N54)</f>
        <v>1519.9899999999998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1519.9899999999998</v>
      </c>
      <c r="L56" s="34">
        <f t="shared" si="17"/>
        <v>0</v>
      </c>
      <c r="M56" s="34">
        <f t="shared" si="17"/>
        <v>0</v>
      </c>
      <c r="N56" s="34">
        <f t="shared" si="17"/>
        <v>1519.9899999999998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4481.0299999999988</v>
      </c>
      <c r="L57" s="34">
        <f>L50+L56</f>
        <v>0</v>
      </c>
      <c r="M57" s="34">
        <f>M50+M56</f>
        <v>0</v>
      </c>
      <c r="N57" s="34">
        <f>N50+N56</f>
        <v>4481.0299999999988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72.599999999999994</v>
      </c>
      <c r="L59" s="34"/>
      <c r="M59" s="34"/>
      <c r="N59" s="34">
        <f>D3</f>
        <v>72.599999999999994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516.73</v>
      </c>
      <c r="L60" s="34"/>
      <c r="M60" s="34"/>
      <c r="N60" s="34">
        <f>E3</f>
        <v>516.73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748.81</v>
      </c>
      <c r="L61" s="34"/>
      <c r="M61" s="34"/>
      <c r="N61" s="34">
        <f>G3-SUM(N9,N20,N33,N46)</f>
        <v>748.81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329.55</v>
      </c>
      <c r="L62" s="34"/>
      <c r="M62" s="34"/>
      <c r="N62" s="34">
        <f>H3</f>
        <v>329.55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4243.3</v>
      </c>
      <c r="L63" s="34"/>
      <c r="M63" s="34"/>
      <c r="N63" s="34">
        <f>I3</f>
        <v>4243.3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249.47</v>
      </c>
      <c r="L64" s="34"/>
      <c r="M64" s="34"/>
      <c r="N64" s="34">
        <f>J3</f>
        <v>249.47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234.1</v>
      </c>
      <c r="L66" s="34"/>
      <c r="M66" s="34"/>
      <c r="N66" s="34">
        <f>K3</f>
        <v>234.1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6394.56</v>
      </c>
      <c r="L68" s="34">
        <f>SUM(L58:L67)</f>
        <v>0</v>
      </c>
      <c r="M68" s="34">
        <f>SUM(M58:M67)</f>
        <v>0</v>
      </c>
      <c r="N68" s="34">
        <f>SUM(N58:N67)</f>
        <v>6394.56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6394.56</v>
      </c>
      <c r="L69" s="34">
        <f t="shared" si="20"/>
        <v>0</v>
      </c>
      <c r="M69" s="34">
        <f t="shared" si="20"/>
        <v>0</v>
      </c>
      <c r="N69" s="34">
        <f t="shared" si="20"/>
        <v>6394.56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37.270000000000003</v>
      </c>
      <c r="L71" s="34"/>
      <c r="M71" s="34"/>
      <c r="N71" s="34">
        <f>D4</f>
        <v>37.270000000000003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265.26</v>
      </c>
      <c r="L72" s="34"/>
      <c r="M72" s="34"/>
      <c r="N72" s="34">
        <f>E4</f>
        <v>265.26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384.39</v>
      </c>
      <c r="L73" s="34"/>
      <c r="M73" s="34"/>
      <c r="N73" s="34">
        <f>G4-SUM(N14,N26,N39,N52)</f>
        <v>384.39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169.17</v>
      </c>
      <c r="L74" s="34"/>
      <c r="M74" s="34"/>
      <c r="N74" s="34">
        <f>H4</f>
        <v>169.17</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2178.23</v>
      </c>
      <c r="L75" s="34"/>
      <c r="M75" s="34"/>
      <c r="N75" s="34">
        <f>I4</f>
        <v>2178.23</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128.06</v>
      </c>
      <c r="L76" s="34"/>
      <c r="M76" s="34"/>
      <c r="N76" s="34">
        <f>J4</f>
        <v>128.06</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120.17</v>
      </c>
      <c r="L78" s="34"/>
      <c r="M78" s="34"/>
      <c r="N78" s="34">
        <f>K4</f>
        <v>120.17</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3282.5499999999997</v>
      </c>
      <c r="L80" s="34">
        <f>SUM(L70:L79)</f>
        <v>0</v>
      </c>
      <c r="M80" s="34">
        <f>SUM(M70:M79)</f>
        <v>0</v>
      </c>
      <c r="N80" s="34">
        <f>SUM(N70:N79)</f>
        <v>3282.5499999999997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3282.5499999999997</v>
      </c>
      <c r="L81" s="34">
        <f t="shared" si="23"/>
        <v>0</v>
      </c>
      <c r="M81" s="34">
        <f t="shared" si="23"/>
        <v>0</v>
      </c>
      <c r="N81" s="34">
        <f t="shared" si="23"/>
        <v>3282.5499999999997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9677.11</v>
      </c>
      <c r="L82" s="34">
        <f>L69+L81</f>
        <v>0</v>
      </c>
      <c r="M82" s="34">
        <f>M69+M81</f>
        <v>0</v>
      </c>
      <c r="N82" s="34">
        <f>N69+N81</f>
        <v>9677.11</v>
      </c>
      <c r="O82" s="8"/>
      <c r="R82" s="14"/>
      <c r="Z82" s="15"/>
      <c r="AJ82" s="16"/>
    </row>
    <row r="83" spans="1:36" s="31" customFormat="1" ht="21.95" customHeight="1" x14ac:dyDescent="0.2">
      <c r="A83" s="275" t="s">
        <v>82</v>
      </c>
      <c r="B83" s="275"/>
      <c r="C83" s="275"/>
      <c r="D83" s="275"/>
      <c r="E83" s="275"/>
      <c r="F83" s="275"/>
      <c r="G83" s="275"/>
      <c r="H83" s="275"/>
      <c r="I83" s="275"/>
      <c r="J83" s="35">
        <f>J18+J31+J44+J57+J82</f>
        <v>69131.817999999999</v>
      </c>
      <c r="K83" s="35">
        <f>K18+K31+K44+K57+K82</f>
        <v>299029.272</v>
      </c>
      <c r="L83" s="35">
        <f>L18+L31+L44+L57+L82</f>
        <v>241961.36299999998</v>
      </c>
      <c r="M83" s="35">
        <f>M18+M31+M44+M57+M82</f>
        <v>103697.727</v>
      </c>
      <c r="N83" s="38">
        <f>N18+N31+N44+N57+N82</f>
        <v>713820.17999999993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C4FCD37-A462-4AA6-A7DA-45F6D1B8D6AE}">
          <x14:formula1>
            <xm:f>'2026 COB breakdown_Kris'!$A$5:$A$103</xm:f>
          </x14:formula1>
          <xm:sqref>A3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26723-6EA8-47A6-856D-E76A5A8337B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207</v>
      </c>
      <c r="B3" s="58" t="s">
        <v>158</v>
      </c>
      <c r="C3" s="59">
        <f>VLOOKUP($A3,COBTABLE,15, FALSE)</f>
        <v>14471.78</v>
      </c>
      <c r="D3" s="59">
        <f>VLOOKUP($A3,COBTABLE,16, FALSE)</f>
        <v>190.55</v>
      </c>
      <c r="E3" s="59">
        <f>VLOOKUP($A3,COBTABLE,17, FALSE)</f>
        <v>1356.3</v>
      </c>
      <c r="F3" s="59">
        <f>VLOOKUP($A3,COBTABLE,18, FALSE)</f>
        <v>0</v>
      </c>
      <c r="G3" s="59">
        <f>VLOOKUP($A3,COBTABLE,19, FALSE)</f>
        <v>1965.46</v>
      </c>
      <c r="H3" s="59">
        <f>VLOOKUP($A3,COBTABLE,20, FALSE)</f>
        <v>865</v>
      </c>
      <c r="I3" s="59">
        <f>VLOOKUP($A3,COBTABLE,21, FALSE)</f>
        <v>11137.64</v>
      </c>
      <c r="J3" s="59">
        <f>VLOOKUP($A3,COBTABLE,22, FALSE)</f>
        <v>654.79</v>
      </c>
      <c r="K3" s="59">
        <f>VLOOKUP($A3,COBTABLE,23, FALSE)</f>
        <v>614.46</v>
      </c>
      <c r="L3" s="59">
        <f>VLOOKUP($A3,COBTABLE,24, FALSE)</f>
        <v>4010.66</v>
      </c>
      <c r="M3" s="59">
        <f>VLOOKUP($A3,COBTABLE,25, FALSE)</f>
        <v>3761.3600000000006</v>
      </c>
      <c r="N3" s="60">
        <f>VLOOKUP($A3, countrygrant,2,FALSE)</f>
        <v>456818.18</v>
      </c>
      <c r="O3" s="92">
        <f>SUM(C3:N3)</f>
        <v>495846.18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14471.78</v>
      </c>
      <c r="D5" s="62">
        <f t="shared" ref="D5:O5" si="1">SUM(D3:D4)</f>
        <v>190.55</v>
      </c>
      <c r="E5" s="62">
        <f t="shared" si="1"/>
        <v>1356.3</v>
      </c>
      <c r="F5" s="62">
        <f t="shared" si="1"/>
        <v>0</v>
      </c>
      <c r="G5" s="62">
        <f t="shared" si="1"/>
        <v>1965.46</v>
      </c>
      <c r="H5" s="62">
        <f t="shared" si="1"/>
        <v>865</v>
      </c>
      <c r="I5" s="62">
        <f t="shared" si="1"/>
        <v>11137.64</v>
      </c>
      <c r="J5" s="62">
        <f t="shared" si="1"/>
        <v>654.79</v>
      </c>
      <c r="K5" s="62">
        <f t="shared" si="1"/>
        <v>614.46</v>
      </c>
      <c r="L5" s="62">
        <f t="shared" si="1"/>
        <v>4010.66</v>
      </c>
      <c r="M5" s="62">
        <f t="shared" si="1"/>
        <v>3761.3600000000006</v>
      </c>
      <c r="N5" s="62">
        <f t="shared" si="1"/>
        <v>456818.18</v>
      </c>
      <c r="O5" s="62">
        <f t="shared" si="1"/>
        <v>495846.18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VLOOKUP(H28,starratio3,4,FALSE)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14471.78</v>
      </c>
      <c r="L32" s="34"/>
      <c r="M32" s="34"/>
      <c r="N32" s="34">
        <f>ROUND($C$3*P32,2)</f>
        <v>14471.78</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14471.78</v>
      </c>
      <c r="L36" s="34">
        <f>SUM(L32:L35)</f>
        <v>0</v>
      </c>
      <c r="M36" s="34">
        <f>SUM(M32:M35)</f>
        <v>0</v>
      </c>
      <c r="N36" s="34">
        <f>SUM(N32:N35)</f>
        <v>14471.78</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14471.78</v>
      </c>
      <c r="L37" s="34">
        <f t="shared" si="11"/>
        <v>0</v>
      </c>
      <c r="M37" s="34">
        <f t="shared" si="11"/>
        <v>0</v>
      </c>
      <c r="N37" s="34">
        <f t="shared" si="11"/>
        <v>14471.78</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14471.78</v>
      </c>
      <c r="L44" s="34">
        <f>L37+L43</f>
        <v>0</v>
      </c>
      <c r="M44" s="34">
        <f>M37+M43</f>
        <v>0</v>
      </c>
      <c r="N44" s="34">
        <f>N37+N43</f>
        <v>14471.78</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4010.66</v>
      </c>
      <c r="L47" s="34"/>
      <c r="M47" s="34"/>
      <c r="N47" s="34">
        <f>ROUND($L$3*P47,2)</f>
        <v>4010.66</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3761.3600000000006</v>
      </c>
      <c r="L48" s="34"/>
      <c r="M48" s="34"/>
      <c r="N48" s="34">
        <f>M3-SUM(N10,N21,N35)</f>
        <v>3761.3600000000006</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7772.02</v>
      </c>
      <c r="L49" s="34">
        <f>SUM(L45:L48)</f>
        <v>0</v>
      </c>
      <c r="M49" s="34">
        <f>SUM(M45:M48)</f>
        <v>0</v>
      </c>
      <c r="N49" s="34">
        <f>SUM(N45:N48)</f>
        <v>7772.02</v>
      </c>
      <c r="O49" s="8"/>
      <c r="P49" s="9"/>
    </row>
    <row r="50" spans="1:36" ht="21.95" customHeight="1" x14ac:dyDescent="0.2">
      <c r="A50" s="262"/>
      <c r="B50" s="261" t="s">
        <v>60</v>
      </c>
      <c r="C50" s="261"/>
      <c r="D50" s="261"/>
      <c r="E50" s="261"/>
      <c r="F50" s="261"/>
      <c r="G50" s="261"/>
      <c r="H50" s="261"/>
      <c r="I50" s="261"/>
      <c r="J50" s="34">
        <f>J49</f>
        <v>0</v>
      </c>
      <c r="K50" s="34">
        <f t="shared" ref="K50:N50" si="15">K49</f>
        <v>7772.02</v>
      </c>
      <c r="L50" s="34">
        <f t="shared" si="15"/>
        <v>0</v>
      </c>
      <c r="M50" s="34">
        <f t="shared" si="15"/>
        <v>0</v>
      </c>
      <c r="N50" s="34">
        <f t="shared" si="15"/>
        <v>7772.02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7772.02</v>
      </c>
      <c r="L57" s="34">
        <f>L50+L56</f>
        <v>0</v>
      </c>
      <c r="M57" s="34">
        <f>M50+M56</f>
        <v>0</v>
      </c>
      <c r="N57" s="34">
        <f>N50+N56</f>
        <v>7772.02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190.55</v>
      </c>
      <c r="L59" s="34"/>
      <c r="M59" s="34"/>
      <c r="N59" s="34">
        <f>D3</f>
        <v>190.55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1356.3</v>
      </c>
      <c r="L60" s="34"/>
      <c r="M60" s="34"/>
      <c r="N60" s="34">
        <f>E3</f>
        <v>1356.3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1965.46</v>
      </c>
      <c r="L61" s="34"/>
      <c r="M61" s="34"/>
      <c r="N61" s="34">
        <f>G3-SUM(N9,N20,N33,N46)</f>
        <v>1965.46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865</v>
      </c>
      <c r="L62" s="34"/>
      <c r="M62" s="34"/>
      <c r="N62" s="34">
        <f>H3</f>
        <v>865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11137.64</v>
      </c>
      <c r="L63" s="34"/>
      <c r="M63" s="34"/>
      <c r="N63" s="34">
        <f>I3</f>
        <v>11137.64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654.79</v>
      </c>
      <c r="L64" s="34"/>
      <c r="M64" s="34"/>
      <c r="N64" s="34">
        <f>J3</f>
        <v>654.79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614.46</v>
      </c>
      <c r="L66" s="34"/>
      <c r="M66" s="34"/>
      <c r="N66" s="34">
        <f>K3</f>
        <v>614.46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16784.199999999997</v>
      </c>
      <c r="L68" s="34">
        <f>SUM(L58:L67)</f>
        <v>0</v>
      </c>
      <c r="M68" s="34">
        <f>SUM(M58:M67)</f>
        <v>0</v>
      </c>
      <c r="N68" s="34">
        <f>SUM(N58:N67)</f>
        <v>16784.199999999997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16784.199999999997</v>
      </c>
      <c r="L69" s="34">
        <f t="shared" si="20"/>
        <v>0</v>
      </c>
      <c r="M69" s="34">
        <f t="shared" si="20"/>
        <v>0</v>
      </c>
      <c r="N69" s="34">
        <f t="shared" si="20"/>
        <v>16784.199999999997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16784.199999999997</v>
      </c>
      <c r="L82" s="34">
        <f>L69+L81</f>
        <v>0</v>
      </c>
      <c r="M82" s="34">
        <f>M69+M81</f>
        <v>0</v>
      </c>
      <c r="N82" s="34">
        <f>N69+N81</f>
        <v>16784.199999999997</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221755.272</v>
      </c>
      <c r="L83" s="35">
        <f>L18+L31+L44+L57+L82</f>
        <v>159886.36299999998</v>
      </c>
      <c r="M83" s="35">
        <f>M18+M31+M44+M57+M82</f>
        <v>68522.726999999999</v>
      </c>
      <c r="N83" s="38">
        <f>N18+N31+N44+N57+N82</f>
        <v>495846.18000000005</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69AF99F-1572-4650-8D39-AA6E4B62C1DD}">
          <x14:formula1>
            <xm:f>'2026 COB breakdown_Kris'!$A$5:$A$103</xm:f>
          </x14:formula1>
          <xm:sqref>A3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E8D11-2FD3-47F8-81D6-CE59A4F5395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208</v>
      </c>
      <c r="B3" s="58" t="s">
        <v>158</v>
      </c>
      <c r="C3" s="59">
        <f>VLOOKUP($A3,COBTABLE,15, FALSE)</f>
        <v>2866.92</v>
      </c>
      <c r="D3" s="59">
        <f>VLOOKUP($A3,COBTABLE,16, FALSE)</f>
        <v>37.75</v>
      </c>
      <c r="E3" s="59">
        <f>VLOOKUP($A3,COBTABLE,17, FALSE)</f>
        <v>268.69</v>
      </c>
      <c r="F3" s="59">
        <f>VLOOKUP($A3,COBTABLE,18, FALSE)</f>
        <v>0</v>
      </c>
      <c r="G3" s="59">
        <f>VLOOKUP($A3,COBTABLE,19, FALSE)</f>
        <v>389.37</v>
      </c>
      <c r="H3" s="59">
        <f>VLOOKUP($A3,COBTABLE,20, FALSE)</f>
        <v>171.36</v>
      </c>
      <c r="I3" s="59">
        <f>VLOOKUP($A3,COBTABLE,21, FALSE)</f>
        <v>2206.42</v>
      </c>
      <c r="J3" s="59">
        <f>VLOOKUP($A3,COBTABLE,22, FALSE)</f>
        <v>129.72</v>
      </c>
      <c r="K3" s="59">
        <f>VLOOKUP($A3,COBTABLE,23, FALSE)</f>
        <v>121.73</v>
      </c>
      <c r="L3" s="59">
        <f>VLOOKUP($A3,COBTABLE,24, FALSE)</f>
        <v>794.53</v>
      </c>
      <c r="M3" s="59">
        <f>VLOOKUP($A3,COBTABLE,25, FALSE)</f>
        <v>745.13000000000102</v>
      </c>
      <c r="N3" s="60">
        <f>VLOOKUP($A3, countrygrant,2,FALSE)</f>
        <v>456818.18</v>
      </c>
      <c r="O3" s="92">
        <f>SUM(C3:N3)</f>
        <v>464549.8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2097.12</v>
      </c>
      <c r="D4" s="59">
        <f>VLOOKUP($A3,COBTABLE,28, FALSE)</f>
        <v>27.61</v>
      </c>
      <c r="E4" s="59">
        <f>VLOOKUP($A3,COBTABLE,29, FALSE)</f>
        <v>196.54</v>
      </c>
      <c r="F4" s="59">
        <f>VLOOKUP($A3,COBTABLE,30, FALSE)</f>
        <v>0</v>
      </c>
      <c r="G4" s="59">
        <f>VLOOKUP($A3,COBTABLE,31, FALSE)</f>
        <v>284.81</v>
      </c>
      <c r="H4" s="59">
        <f>VLOOKUP($A3,COBTABLE,32, FALSE)</f>
        <v>125.35</v>
      </c>
      <c r="I4" s="59">
        <f>VLOOKUP($A3,COBTABLE,33, FALSE)</f>
        <v>1613.97</v>
      </c>
      <c r="J4" s="59">
        <f>VLOOKUP($A3,COBTABLE,34, FALSE)</f>
        <v>94.89</v>
      </c>
      <c r="K4" s="59">
        <f>VLOOKUP($A3,COBTABLE,35, FALSE)</f>
        <v>89.04</v>
      </c>
      <c r="L4" s="59">
        <f>VLOOKUP($A3,COBTABLE,36, FALSE)</f>
        <v>581.19000000000005</v>
      </c>
      <c r="M4" s="59">
        <f>VLOOKUP($A3,COBTABLE,37, FALSE)</f>
        <v>545.05999999999949</v>
      </c>
      <c r="N4" s="60">
        <f>VLOOKUP($A3, countrygrant,3,FALSE)</f>
        <v>334156.46999999997</v>
      </c>
      <c r="O4" s="92">
        <f t="shared" ref="O4" si="0">SUM(C4:N4)</f>
        <v>339812.05</v>
      </c>
      <c r="P4" s="28"/>
      <c r="Q4" s="28"/>
      <c r="R4" s="28"/>
      <c r="S4" s="28"/>
      <c r="T4" s="28"/>
      <c r="U4" s="28"/>
      <c r="V4" s="28"/>
      <c r="W4" s="28"/>
      <c r="X4" s="28"/>
      <c r="Y4" s="28"/>
      <c r="Z4" s="28"/>
      <c r="AA4" s="28"/>
      <c r="AB4" s="28"/>
      <c r="AC4" s="28"/>
    </row>
    <row r="5" spans="1:36" s="53" customFormat="1" ht="12" customHeight="1" x14ac:dyDescent="0.25">
      <c r="A5" s="278"/>
      <c r="B5" s="61" t="s">
        <v>156</v>
      </c>
      <c r="C5" s="62">
        <f>SUM(C3:C4)</f>
        <v>4964.04</v>
      </c>
      <c r="D5" s="62">
        <f t="shared" ref="D5:O5" si="1">SUM(D3:D4)</f>
        <v>65.36</v>
      </c>
      <c r="E5" s="62">
        <f t="shared" si="1"/>
        <v>465.23</v>
      </c>
      <c r="F5" s="62">
        <f t="shared" si="1"/>
        <v>0</v>
      </c>
      <c r="G5" s="62">
        <f t="shared" si="1"/>
        <v>674.18000000000006</v>
      </c>
      <c r="H5" s="62">
        <f t="shared" si="1"/>
        <v>296.71000000000004</v>
      </c>
      <c r="I5" s="62">
        <f t="shared" si="1"/>
        <v>3820.3900000000003</v>
      </c>
      <c r="J5" s="62">
        <f t="shared" si="1"/>
        <v>224.61</v>
      </c>
      <c r="K5" s="62">
        <f t="shared" si="1"/>
        <v>210.77</v>
      </c>
      <c r="L5" s="62">
        <f t="shared" si="1"/>
        <v>1375.72</v>
      </c>
      <c r="M5" s="62">
        <f t="shared" si="1"/>
        <v>1290.1900000000005</v>
      </c>
      <c r="N5" s="62">
        <f t="shared" si="1"/>
        <v>790974.64999999991</v>
      </c>
      <c r="O5" s="62">
        <f t="shared" si="1"/>
        <v>804361.85</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33415.646999999997</v>
      </c>
      <c r="K28" s="34">
        <f>$N28*0.4</f>
        <v>133662.58799999999</v>
      </c>
      <c r="L28" s="34">
        <f>$N28*0.35</f>
        <v>116954.76449999998</v>
      </c>
      <c r="M28" s="34">
        <f>$N28*0.15</f>
        <v>50123.470499999996</v>
      </c>
      <c r="N28" s="34">
        <f>N4</f>
        <v>334156.46999999997</v>
      </c>
      <c r="O28" s="8"/>
      <c r="P28" s="9">
        <f>VLOOKUP(H28,starratio3,4,FALSE)</f>
        <v>0</v>
      </c>
    </row>
    <row r="29" spans="1:36" ht="21.95" customHeight="1" x14ac:dyDescent="0.2">
      <c r="A29" s="262"/>
      <c r="B29" s="262"/>
      <c r="C29" s="263" t="s">
        <v>31</v>
      </c>
      <c r="D29" s="263"/>
      <c r="E29" s="263"/>
      <c r="F29" s="263"/>
      <c r="G29" s="263"/>
      <c r="H29" s="263"/>
      <c r="I29" s="263"/>
      <c r="J29" s="34">
        <f>SUM(J25:J28)</f>
        <v>33415.646999999997</v>
      </c>
      <c r="K29" s="34">
        <f>SUM(K25:K28)</f>
        <v>133662.58799999999</v>
      </c>
      <c r="L29" s="34">
        <f>SUM(L25:L28)</f>
        <v>116954.76449999998</v>
      </c>
      <c r="M29" s="34">
        <f>SUM(M25:M28)</f>
        <v>50123.470499999996</v>
      </c>
      <c r="N29" s="34">
        <f>SUM(N25:N28)</f>
        <v>334156.46999999997</v>
      </c>
      <c r="O29" s="8"/>
      <c r="P29" s="9"/>
    </row>
    <row r="30" spans="1:36" ht="21.95" customHeight="1" x14ac:dyDescent="0.2">
      <c r="A30" s="262"/>
      <c r="B30" s="263" t="s">
        <v>44</v>
      </c>
      <c r="C30" s="263"/>
      <c r="D30" s="263"/>
      <c r="E30" s="263"/>
      <c r="F30" s="263"/>
      <c r="G30" s="263"/>
      <c r="H30" s="263"/>
      <c r="I30" s="263"/>
      <c r="J30" s="34">
        <f>J29</f>
        <v>33415.646999999997</v>
      </c>
      <c r="K30" s="34">
        <f t="shared" ref="K30:N30" si="9">K29</f>
        <v>133662.58799999999</v>
      </c>
      <c r="L30" s="34">
        <f t="shared" si="9"/>
        <v>116954.76449999998</v>
      </c>
      <c r="M30" s="34">
        <f t="shared" si="9"/>
        <v>50123.470499999996</v>
      </c>
      <c r="N30" s="34">
        <f t="shared" si="9"/>
        <v>334156.46999999997</v>
      </c>
      <c r="O30" s="8"/>
      <c r="Q30" s="10"/>
      <c r="Z30" s="11"/>
      <c r="AC30" s="12"/>
      <c r="AD30" s="13"/>
    </row>
    <row r="31" spans="1:36" ht="21.95" customHeight="1" x14ac:dyDescent="0.2">
      <c r="A31" s="261" t="s">
        <v>45</v>
      </c>
      <c r="B31" s="261"/>
      <c r="C31" s="261"/>
      <c r="D31" s="261"/>
      <c r="E31" s="261"/>
      <c r="F31" s="261"/>
      <c r="G31" s="261"/>
      <c r="H31" s="261"/>
      <c r="I31" s="261"/>
      <c r="J31" s="34">
        <f>J24+J30</f>
        <v>79097.464999999997</v>
      </c>
      <c r="K31" s="34">
        <f>K24+K30</f>
        <v>316389.86</v>
      </c>
      <c r="L31" s="34">
        <f>L24+L30</f>
        <v>276841.12749999994</v>
      </c>
      <c r="M31" s="34">
        <f>M24+M30</f>
        <v>118646.19749999999</v>
      </c>
      <c r="N31" s="34">
        <f>N24+N30</f>
        <v>790974.64999999991</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2866.92</v>
      </c>
      <c r="L32" s="34"/>
      <c r="M32" s="34"/>
      <c r="N32" s="34">
        <f>ROUND($C$3*P32,2)</f>
        <v>2866.92</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2866.92</v>
      </c>
      <c r="L36" s="34">
        <f>SUM(L32:L35)</f>
        <v>0</v>
      </c>
      <c r="M36" s="34">
        <f>SUM(M32:M35)</f>
        <v>0</v>
      </c>
      <c r="N36" s="34">
        <f>SUM(N32:N35)</f>
        <v>2866.92</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2866.92</v>
      </c>
      <c r="L37" s="34">
        <f t="shared" si="11"/>
        <v>0</v>
      </c>
      <c r="M37" s="34">
        <f t="shared" si="11"/>
        <v>0</v>
      </c>
      <c r="N37" s="34">
        <f t="shared" si="11"/>
        <v>2866.92</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2097.12</v>
      </c>
      <c r="L38" s="34"/>
      <c r="M38" s="34"/>
      <c r="N38" s="34">
        <f>ROUND($C$4*P38,2)</f>
        <v>2097.12</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2097.12</v>
      </c>
      <c r="L42" s="34">
        <f>SUM(L38:L41)</f>
        <v>0</v>
      </c>
      <c r="M42" s="34">
        <f>SUM(M38:M41)</f>
        <v>0</v>
      </c>
      <c r="N42" s="34">
        <f>SUM(N38:N41)</f>
        <v>2097.12</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2097.12</v>
      </c>
      <c r="L43" s="34">
        <f t="shared" si="13"/>
        <v>0</v>
      </c>
      <c r="M43" s="34">
        <f t="shared" si="13"/>
        <v>0</v>
      </c>
      <c r="N43" s="34">
        <f t="shared" si="13"/>
        <v>2097.12</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4964.04</v>
      </c>
      <c r="L44" s="34">
        <f>L37+L43</f>
        <v>0</v>
      </c>
      <c r="M44" s="34">
        <f>M37+M43</f>
        <v>0</v>
      </c>
      <c r="N44" s="34">
        <f>N37+N43</f>
        <v>4964.04</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794.53</v>
      </c>
      <c r="L47" s="34"/>
      <c r="M47" s="34"/>
      <c r="N47" s="34">
        <f>ROUND($L$3*P47,2)</f>
        <v>794.53</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745.13000000000102</v>
      </c>
      <c r="L48" s="34"/>
      <c r="M48" s="34"/>
      <c r="N48" s="34">
        <f>M3-SUM(N10,N21,N35)</f>
        <v>745.13000000000102</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1539.660000000001</v>
      </c>
      <c r="L49" s="34">
        <f>SUM(L45:L48)</f>
        <v>0</v>
      </c>
      <c r="M49" s="34">
        <f>SUM(M45:M48)</f>
        <v>0</v>
      </c>
      <c r="N49" s="34">
        <f>SUM(N45:N48)</f>
        <v>1539.660000000001</v>
      </c>
      <c r="O49" s="8"/>
      <c r="P49" s="9"/>
    </row>
    <row r="50" spans="1:36" ht="21.95" customHeight="1" x14ac:dyDescent="0.2">
      <c r="A50" s="262"/>
      <c r="B50" s="261" t="s">
        <v>60</v>
      </c>
      <c r="C50" s="261"/>
      <c r="D50" s="261"/>
      <c r="E50" s="261"/>
      <c r="F50" s="261"/>
      <c r="G50" s="261"/>
      <c r="H50" s="261"/>
      <c r="I50" s="261"/>
      <c r="J50" s="34">
        <f>J49</f>
        <v>0</v>
      </c>
      <c r="K50" s="34">
        <f t="shared" ref="K50:N50" si="15">K49</f>
        <v>1539.660000000001</v>
      </c>
      <c r="L50" s="34">
        <f t="shared" si="15"/>
        <v>0</v>
      </c>
      <c r="M50" s="34">
        <f t="shared" si="15"/>
        <v>0</v>
      </c>
      <c r="N50" s="34">
        <f t="shared" si="15"/>
        <v>1539.660000000001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581.19000000000005</v>
      </c>
      <c r="L53" s="34"/>
      <c r="M53" s="34"/>
      <c r="N53" s="34">
        <f>ROUND($L$4*P53,2)</f>
        <v>581.19000000000005</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545.05999999999949</v>
      </c>
      <c r="L54" s="34"/>
      <c r="M54" s="34"/>
      <c r="N54" s="34">
        <f>M4-SUM(N15,N27,N41)</f>
        <v>545.05999999999949</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1126.2499999999995</v>
      </c>
      <c r="L55" s="34">
        <f>SUM(L51:L54)</f>
        <v>0</v>
      </c>
      <c r="M55" s="34">
        <f>SUM(M51:M54)</f>
        <v>0</v>
      </c>
      <c r="N55" s="34">
        <f>SUM(N51:N54)</f>
        <v>1126.2499999999995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1126.2499999999995</v>
      </c>
      <c r="L56" s="34">
        <f t="shared" si="17"/>
        <v>0</v>
      </c>
      <c r="M56" s="34">
        <f t="shared" si="17"/>
        <v>0</v>
      </c>
      <c r="N56" s="34">
        <f t="shared" si="17"/>
        <v>1126.2499999999995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2665.9100000000008</v>
      </c>
      <c r="L57" s="34">
        <f>L50+L56</f>
        <v>0</v>
      </c>
      <c r="M57" s="34">
        <f>M50+M56</f>
        <v>0</v>
      </c>
      <c r="N57" s="34">
        <f>N50+N56</f>
        <v>2665.9100000000008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37.75</v>
      </c>
      <c r="L59" s="34"/>
      <c r="M59" s="34"/>
      <c r="N59" s="34">
        <f>D3</f>
        <v>37.75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268.69</v>
      </c>
      <c r="L60" s="34"/>
      <c r="M60" s="34"/>
      <c r="N60" s="34">
        <f>E3</f>
        <v>268.69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389.37</v>
      </c>
      <c r="L61" s="34"/>
      <c r="M61" s="34"/>
      <c r="N61" s="34">
        <f>G3-SUM(N9,N20,N33,N46)</f>
        <v>389.37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171.36</v>
      </c>
      <c r="L62" s="34"/>
      <c r="M62" s="34"/>
      <c r="N62" s="34">
        <f>H3</f>
        <v>171.36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2206.42</v>
      </c>
      <c r="L63" s="34"/>
      <c r="M63" s="34"/>
      <c r="N63" s="34">
        <f>I3</f>
        <v>2206.42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129.72</v>
      </c>
      <c r="L64" s="34"/>
      <c r="M64" s="34"/>
      <c r="N64" s="34">
        <f>J3</f>
        <v>129.72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121.73</v>
      </c>
      <c r="L66" s="34"/>
      <c r="M66" s="34"/>
      <c r="N66" s="34">
        <f>K3</f>
        <v>121.73</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3325.04</v>
      </c>
      <c r="L68" s="34">
        <f>SUM(L58:L67)</f>
        <v>0</v>
      </c>
      <c r="M68" s="34">
        <f>SUM(M58:M67)</f>
        <v>0</v>
      </c>
      <c r="N68" s="34">
        <f>SUM(N58:N67)</f>
        <v>3325.04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3325.04</v>
      </c>
      <c r="L69" s="34">
        <f t="shared" si="20"/>
        <v>0</v>
      </c>
      <c r="M69" s="34">
        <f t="shared" si="20"/>
        <v>0</v>
      </c>
      <c r="N69" s="34">
        <f t="shared" si="20"/>
        <v>3325.04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27.61</v>
      </c>
      <c r="L71" s="34"/>
      <c r="M71" s="34"/>
      <c r="N71" s="34">
        <f>D4</f>
        <v>27.61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196.54</v>
      </c>
      <c r="L72" s="34"/>
      <c r="M72" s="34"/>
      <c r="N72" s="34">
        <f>E4</f>
        <v>196.54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284.81</v>
      </c>
      <c r="L73" s="34"/>
      <c r="M73" s="34"/>
      <c r="N73" s="34">
        <f>G4-SUM(N14,N26,N39,N52)</f>
        <v>284.81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125.35</v>
      </c>
      <c r="L74" s="34"/>
      <c r="M74" s="34"/>
      <c r="N74" s="34">
        <f>H4</f>
        <v>125.35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1613.97</v>
      </c>
      <c r="L75" s="34"/>
      <c r="M75" s="34"/>
      <c r="N75" s="34">
        <f>I4</f>
        <v>1613.97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94.89</v>
      </c>
      <c r="L76" s="34"/>
      <c r="M76" s="34"/>
      <c r="N76" s="34">
        <f>J4</f>
        <v>94.89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89.04</v>
      </c>
      <c r="L78" s="34"/>
      <c r="M78" s="34"/>
      <c r="N78" s="34">
        <f>K4</f>
        <v>89.04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2432.2099999999996</v>
      </c>
      <c r="L80" s="34">
        <f>SUM(L70:L79)</f>
        <v>0</v>
      </c>
      <c r="M80" s="34">
        <f>SUM(M70:M79)</f>
        <v>0</v>
      </c>
      <c r="N80" s="34">
        <f>SUM(N70:N79)</f>
        <v>2432.2099999999996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2432.2099999999996</v>
      </c>
      <c r="L81" s="34">
        <f t="shared" si="23"/>
        <v>0</v>
      </c>
      <c r="M81" s="34">
        <f t="shared" si="23"/>
        <v>0</v>
      </c>
      <c r="N81" s="34">
        <f t="shared" si="23"/>
        <v>2432.2099999999996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5757.25</v>
      </c>
      <c r="L82" s="34">
        <f>L69+L81</f>
        <v>0</v>
      </c>
      <c r="M82" s="34">
        <f>M69+M81</f>
        <v>0</v>
      </c>
      <c r="N82" s="34">
        <f>N69+N81</f>
        <v>5757.25</v>
      </c>
      <c r="O82" s="8"/>
      <c r="R82" s="14"/>
      <c r="Z82" s="15"/>
      <c r="AJ82" s="16"/>
    </row>
    <row r="83" spans="1:36" s="31" customFormat="1" ht="21.95" customHeight="1" x14ac:dyDescent="0.2">
      <c r="A83" s="275" t="s">
        <v>82</v>
      </c>
      <c r="B83" s="275"/>
      <c r="C83" s="275"/>
      <c r="D83" s="275"/>
      <c r="E83" s="275"/>
      <c r="F83" s="275"/>
      <c r="G83" s="275"/>
      <c r="H83" s="275"/>
      <c r="I83" s="275"/>
      <c r="J83" s="35">
        <f>J18+J31+J44+J57+J82</f>
        <v>79097.464999999997</v>
      </c>
      <c r="K83" s="35">
        <f>K18+K31+K44+K57+K82</f>
        <v>329777.05999999994</v>
      </c>
      <c r="L83" s="35">
        <f>L18+L31+L44+L57+L82</f>
        <v>276841.12749999994</v>
      </c>
      <c r="M83" s="35">
        <f>M18+M31+M44+M57+M82</f>
        <v>118646.19749999999</v>
      </c>
      <c r="N83" s="38">
        <f>N18+N31+N44+N57+N82</f>
        <v>804361.85</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C0AF3EE-3DB8-43B0-BF79-E3C04A79B4DF}">
          <x14:formula1>
            <xm:f>'2026 COB breakdown_Kris'!$A$5:$A$103</xm:f>
          </x14:formula1>
          <xm:sqref>A3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38A10-00A3-4AF5-AA68-E20512F2B6CB}">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209</v>
      </c>
      <c r="B3" s="58" t="s">
        <v>158</v>
      </c>
      <c r="C3" s="59">
        <f>VLOOKUP($A3,COBTABLE,15, FALSE)</f>
        <v>5668.82</v>
      </c>
      <c r="D3" s="59">
        <f>VLOOKUP($A3,COBTABLE,16, FALSE)</f>
        <v>74.64</v>
      </c>
      <c r="E3" s="59">
        <f>VLOOKUP($A3,COBTABLE,17, FALSE)</f>
        <v>531.29</v>
      </c>
      <c r="F3" s="59">
        <f>VLOOKUP($A3,COBTABLE,18, FALSE)</f>
        <v>0</v>
      </c>
      <c r="G3" s="59">
        <f>VLOOKUP($A3,COBTABLE,19, FALSE)</f>
        <v>769.9</v>
      </c>
      <c r="H3" s="59">
        <f>VLOOKUP($A3,COBTABLE,20, FALSE)</f>
        <v>338.83</v>
      </c>
      <c r="I3" s="59">
        <f>VLOOKUP($A3,COBTABLE,21, FALSE)</f>
        <v>4362.79</v>
      </c>
      <c r="J3" s="59">
        <f>VLOOKUP($A3,COBTABLE,22, FALSE)</f>
        <v>256.49</v>
      </c>
      <c r="K3" s="59">
        <f>VLOOKUP($A3,COBTABLE,23, FALSE)</f>
        <v>240.69</v>
      </c>
      <c r="L3" s="59">
        <f>VLOOKUP($A3,COBTABLE,24, FALSE)</f>
        <v>1571.04</v>
      </c>
      <c r="M3" s="59">
        <f>VLOOKUP($A3,COBTABLE,25, FALSE)</f>
        <v>1473.3899999999976</v>
      </c>
      <c r="N3" s="60">
        <f>VLOOKUP($A3, countrygrant,2,FALSE)</f>
        <v>456818.18</v>
      </c>
      <c r="O3" s="92">
        <f>SUM(C3:N3)</f>
        <v>472106.06</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4157.1400000000003</v>
      </c>
      <c r="D4" s="59">
        <f>VLOOKUP($A3,COBTABLE,28, FALSE)</f>
        <v>54.74</v>
      </c>
      <c r="E4" s="59">
        <f>VLOOKUP($A3,COBTABLE,29, FALSE)</f>
        <v>389.61</v>
      </c>
      <c r="F4" s="59">
        <f>VLOOKUP($A3,COBTABLE,30, FALSE)</f>
        <v>0</v>
      </c>
      <c r="G4" s="59">
        <f>VLOOKUP($A3,COBTABLE,31, FALSE)</f>
        <v>564.59</v>
      </c>
      <c r="H4" s="59">
        <f>VLOOKUP($A3,COBTABLE,32, FALSE)</f>
        <v>248.48</v>
      </c>
      <c r="I4" s="59">
        <f>VLOOKUP($A3,COBTABLE,33, FALSE)</f>
        <v>3199.38</v>
      </c>
      <c r="J4" s="59">
        <f>VLOOKUP($A3,COBTABLE,34, FALSE)</f>
        <v>188.1</v>
      </c>
      <c r="K4" s="59">
        <f>VLOOKUP($A3,COBTABLE,35, FALSE)</f>
        <v>176.51</v>
      </c>
      <c r="L4" s="59">
        <f>VLOOKUP($A3,COBTABLE,36, FALSE)</f>
        <v>1152.0999999999999</v>
      </c>
      <c r="M4" s="59">
        <f>VLOOKUP($A3,COBTABLE,37, FALSE)</f>
        <v>1080.4700000000012</v>
      </c>
      <c r="N4" s="60">
        <f>VLOOKUP($A3, countrygrant,3,FALSE)</f>
        <v>335000</v>
      </c>
      <c r="O4" s="92">
        <f t="shared" ref="O4" si="0">SUM(C4:N4)</f>
        <v>346211.12</v>
      </c>
      <c r="P4" s="28"/>
      <c r="Q4" s="28"/>
      <c r="R4" s="28"/>
      <c r="S4" s="28"/>
      <c r="T4" s="28"/>
      <c r="U4" s="28"/>
      <c r="V4" s="28"/>
      <c r="W4" s="28"/>
      <c r="X4" s="28"/>
      <c r="Y4" s="28"/>
      <c r="Z4" s="28"/>
      <c r="AA4" s="28"/>
      <c r="AB4" s="28"/>
      <c r="AC4" s="28"/>
    </row>
    <row r="5" spans="1:36" s="53" customFormat="1" ht="12" customHeight="1" x14ac:dyDescent="0.25">
      <c r="A5" s="278"/>
      <c r="B5" s="61" t="s">
        <v>156</v>
      </c>
      <c r="C5" s="62">
        <f>SUM(C3:C4)</f>
        <v>9825.9599999999991</v>
      </c>
      <c r="D5" s="62">
        <f t="shared" ref="D5:O5" si="1">SUM(D3:D4)</f>
        <v>129.38</v>
      </c>
      <c r="E5" s="62">
        <f t="shared" si="1"/>
        <v>920.9</v>
      </c>
      <c r="F5" s="62">
        <f t="shared" si="1"/>
        <v>0</v>
      </c>
      <c r="G5" s="62">
        <f t="shared" si="1"/>
        <v>1334.49</v>
      </c>
      <c r="H5" s="62">
        <f t="shared" si="1"/>
        <v>587.30999999999995</v>
      </c>
      <c r="I5" s="62">
        <f t="shared" si="1"/>
        <v>7562.17</v>
      </c>
      <c r="J5" s="62">
        <f t="shared" si="1"/>
        <v>444.59000000000003</v>
      </c>
      <c r="K5" s="62">
        <f t="shared" si="1"/>
        <v>417.2</v>
      </c>
      <c r="L5" s="62">
        <f t="shared" si="1"/>
        <v>2723.14</v>
      </c>
      <c r="M5" s="62">
        <f t="shared" si="1"/>
        <v>2553.8599999999988</v>
      </c>
      <c r="N5" s="62">
        <f t="shared" si="1"/>
        <v>791818.17999999993</v>
      </c>
      <c r="O5" s="62">
        <f t="shared" si="1"/>
        <v>818317.17999999993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33500</v>
      </c>
      <c r="K28" s="34">
        <f>$N28*0.4</f>
        <v>134000</v>
      </c>
      <c r="L28" s="34">
        <f>$N28*0.35</f>
        <v>117249.99999999999</v>
      </c>
      <c r="M28" s="34">
        <f>$N28*0.15</f>
        <v>50250</v>
      </c>
      <c r="N28" s="34">
        <f>N4</f>
        <v>335000</v>
      </c>
      <c r="O28" s="8"/>
      <c r="P28" s="9">
        <f>VLOOKUP(H28,starratio3,4,FALSE)</f>
        <v>0</v>
      </c>
    </row>
    <row r="29" spans="1:36" ht="21.95" customHeight="1" x14ac:dyDescent="0.2">
      <c r="A29" s="262"/>
      <c r="B29" s="262"/>
      <c r="C29" s="263" t="s">
        <v>31</v>
      </c>
      <c r="D29" s="263"/>
      <c r="E29" s="263"/>
      <c r="F29" s="263"/>
      <c r="G29" s="263"/>
      <c r="H29" s="263"/>
      <c r="I29" s="263"/>
      <c r="J29" s="34">
        <f>SUM(J25:J28)</f>
        <v>33500</v>
      </c>
      <c r="K29" s="34">
        <f>SUM(K25:K28)</f>
        <v>134000</v>
      </c>
      <c r="L29" s="34">
        <f>SUM(L25:L28)</f>
        <v>117249.99999999999</v>
      </c>
      <c r="M29" s="34">
        <f>SUM(M25:M28)</f>
        <v>50250</v>
      </c>
      <c r="N29" s="34">
        <f>SUM(N25:N28)</f>
        <v>335000</v>
      </c>
      <c r="O29" s="8"/>
      <c r="P29" s="9"/>
    </row>
    <row r="30" spans="1:36" ht="21.95" customHeight="1" x14ac:dyDescent="0.2">
      <c r="A30" s="262"/>
      <c r="B30" s="263" t="s">
        <v>44</v>
      </c>
      <c r="C30" s="263"/>
      <c r="D30" s="263"/>
      <c r="E30" s="263"/>
      <c r="F30" s="263"/>
      <c r="G30" s="263"/>
      <c r="H30" s="263"/>
      <c r="I30" s="263"/>
      <c r="J30" s="34">
        <f>J29</f>
        <v>33500</v>
      </c>
      <c r="K30" s="34">
        <f t="shared" ref="K30:N30" si="9">K29</f>
        <v>134000</v>
      </c>
      <c r="L30" s="34">
        <f t="shared" si="9"/>
        <v>117249.99999999999</v>
      </c>
      <c r="M30" s="34">
        <f t="shared" si="9"/>
        <v>50250</v>
      </c>
      <c r="N30" s="34">
        <f t="shared" si="9"/>
        <v>335000</v>
      </c>
      <c r="O30" s="8"/>
      <c r="Q30" s="10"/>
      <c r="Z30" s="11"/>
      <c r="AC30" s="12"/>
      <c r="AD30" s="13"/>
    </row>
    <row r="31" spans="1:36" ht="21.95" customHeight="1" x14ac:dyDescent="0.2">
      <c r="A31" s="261" t="s">
        <v>45</v>
      </c>
      <c r="B31" s="261"/>
      <c r="C31" s="261"/>
      <c r="D31" s="261"/>
      <c r="E31" s="261"/>
      <c r="F31" s="261"/>
      <c r="G31" s="261"/>
      <c r="H31" s="261"/>
      <c r="I31" s="261"/>
      <c r="J31" s="34">
        <f>J24+J30</f>
        <v>79181.817999999999</v>
      </c>
      <c r="K31" s="34">
        <f>K24+K30</f>
        <v>316727.272</v>
      </c>
      <c r="L31" s="34">
        <f>L24+L30</f>
        <v>277136.36299999995</v>
      </c>
      <c r="M31" s="34">
        <f>M24+M30</f>
        <v>118772.727</v>
      </c>
      <c r="N31" s="34">
        <f>N24+N30</f>
        <v>791818.17999999993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5668.82</v>
      </c>
      <c r="L32" s="34"/>
      <c r="M32" s="34"/>
      <c r="N32" s="34">
        <f>ROUND($C$3*P32,2)</f>
        <v>5668.82</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5668.82</v>
      </c>
      <c r="L36" s="34">
        <f>SUM(L32:L35)</f>
        <v>0</v>
      </c>
      <c r="M36" s="34">
        <f>SUM(M32:M35)</f>
        <v>0</v>
      </c>
      <c r="N36" s="34">
        <f>SUM(N32:N35)</f>
        <v>5668.82</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5668.82</v>
      </c>
      <c r="L37" s="34">
        <f t="shared" si="11"/>
        <v>0</v>
      </c>
      <c r="M37" s="34">
        <f t="shared" si="11"/>
        <v>0</v>
      </c>
      <c r="N37" s="34">
        <f t="shared" si="11"/>
        <v>5668.82</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4157.1400000000003</v>
      </c>
      <c r="L38" s="34"/>
      <c r="M38" s="34"/>
      <c r="N38" s="34">
        <f>ROUND($C$4*P38,2)</f>
        <v>4157.1400000000003</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4157.1400000000003</v>
      </c>
      <c r="L42" s="34">
        <f>SUM(L38:L41)</f>
        <v>0</v>
      </c>
      <c r="M42" s="34">
        <f>SUM(M38:M41)</f>
        <v>0</v>
      </c>
      <c r="N42" s="34">
        <f>SUM(N38:N41)</f>
        <v>4157.1400000000003</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4157.1400000000003</v>
      </c>
      <c r="L43" s="34">
        <f t="shared" si="13"/>
        <v>0</v>
      </c>
      <c r="M43" s="34">
        <f t="shared" si="13"/>
        <v>0</v>
      </c>
      <c r="N43" s="34">
        <f t="shared" si="13"/>
        <v>4157.1400000000003</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9825.9599999999991</v>
      </c>
      <c r="L44" s="34">
        <f>L37+L43</f>
        <v>0</v>
      </c>
      <c r="M44" s="34">
        <f>M37+M43</f>
        <v>0</v>
      </c>
      <c r="N44" s="34">
        <f>N37+N43</f>
        <v>9825.9599999999991</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1571.04</v>
      </c>
      <c r="L47" s="34"/>
      <c r="M47" s="34"/>
      <c r="N47" s="34">
        <f>ROUND($L$3*P47,2)</f>
        <v>1571.04</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1473.3899999999976</v>
      </c>
      <c r="L48" s="34"/>
      <c r="M48" s="34"/>
      <c r="N48" s="34">
        <f>M3-SUM(N10,N21,N35)</f>
        <v>1473.3899999999976</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3044.4299999999976</v>
      </c>
      <c r="L49" s="34">
        <f>SUM(L45:L48)</f>
        <v>0</v>
      </c>
      <c r="M49" s="34">
        <f>SUM(M45:M48)</f>
        <v>0</v>
      </c>
      <c r="N49" s="34">
        <f>SUM(N45:N48)</f>
        <v>3044.4299999999976</v>
      </c>
      <c r="O49" s="8"/>
      <c r="P49" s="9"/>
    </row>
    <row r="50" spans="1:36" ht="21.95" customHeight="1" x14ac:dyDescent="0.2">
      <c r="A50" s="262"/>
      <c r="B50" s="261" t="s">
        <v>60</v>
      </c>
      <c r="C50" s="261"/>
      <c r="D50" s="261"/>
      <c r="E50" s="261"/>
      <c r="F50" s="261"/>
      <c r="G50" s="261"/>
      <c r="H50" s="261"/>
      <c r="I50" s="261"/>
      <c r="J50" s="34">
        <f>J49</f>
        <v>0</v>
      </c>
      <c r="K50" s="34">
        <f t="shared" ref="K50:N50" si="15">K49</f>
        <v>3044.4299999999976</v>
      </c>
      <c r="L50" s="34">
        <f t="shared" si="15"/>
        <v>0</v>
      </c>
      <c r="M50" s="34">
        <f t="shared" si="15"/>
        <v>0</v>
      </c>
      <c r="N50" s="34">
        <f t="shared" si="15"/>
        <v>3044.4299999999976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1152.0999999999999</v>
      </c>
      <c r="L53" s="34"/>
      <c r="M53" s="34"/>
      <c r="N53" s="34">
        <f>ROUND($L$4*P53,2)</f>
        <v>1152.0999999999999</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1080.4700000000012</v>
      </c>
      <c r="L54" s="34"/>
      <c r="M54" s="34"/>
      <c r="N54" s="34">
        <f>M4-SUM(N15,N27,N41)</f>
        <v>1080.4700000000012</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2232.5700000000011</v>
      </c>
      <c r="L55" s="34">
        <f>SUM(L51:L54)</f>
        <v>0</v>
      </c>
      <c r="M55" s="34">
        <f>SUM(M51:M54)</f>
        <v>0</v>
      </c>
      <c r="N55" s="34">
        <f>SUM(N51:N54)</f>
        <v>2232.5700000000011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2232.5700000000011</v>
      </c>
      <c r="L56" s="34">
        <f t="shared" si="17"/>
        <v>0</v>
      </c>
      <c r="M56" s="34">
        <f t="shared" si="17"/>
        <v>0</v>
      </c>
      <c r="N56" s="34">
        <f t="shared" si="17"/>
        <v>2232.5700000000011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5276.9999999999982</v>
      </c>
      <c r="L57" s="34">
        <f>L50+L56</f>
        <v>0</v>
      </c>
      <c r="M57" s="34">
        <f>M50+M56</f>
        <v>0</v>
      </c>
      <c r="N57" s="34">
        <f>N50+N56</f>
        <v>5276.9999999999982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74.64</v>
      </c>
      <c r="L59" s="34"/>
      <c r="M59" s="34"/>
      <c r="N59" s="34">
        <f>D3</f>
        <v>74.64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531.29</v>
      </c>
      <c r="L60" s="34"/>
      <c r="M60" s="34"/>
      <c r="N60" s="34">
        <f>E3</f>
        <v>531.29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769.9</v>
      </c>
      <c r="L61" s="34"/>
      <c r="M61" s="34"/>
      <c r="N61" s="34">
        <f>G3-SUM(N9,N20,N33,N46)</f>
        <v>769.9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338.83</v>
      </c>
      <c r="L62" s="34"/>
      <c r="M62" s="34"/>
      <c r="N62" s="34">
        <f>H3</f>
        <v>338.83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4362.79</v>
      </c>
      <c r="L63" s="34"/>
      <c r="M63" s="34"/>
      <c r="N63" s="34">
        <f>I3</f>
        <v>4362.79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256.49</v>
      </c>
      <c r="L64" s="34"/>
      <c r="M64" s="34"/>
      <c r="N64" s="34">
        <f>J3</f>
        <v>256.49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240.69</v>
      </c>
      <c r="L66" s="34"/>
      <c r="M66" s="34"/>
      <c r="N66" s="34">
        <f>K3</f>
        <v>240.69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6574.6299999999992</v>
      </c>
      <c r="L68" s="34">
        <f>SUM(L58:L67)</f>
        <v>0</v>
      </c>
      <c r="M68" s="34">
        <f>SUM(M58:M67)</f>
        <v>0</v>
      </c>
      <c r="N68" s="34">
        <f>SUM(N58:N67)</f>
        <v>6574.6299999999992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6574.6299999999992</v>
      </c>
      <c r="L69" s="34">
        <f t="shared" si="20"/>
        <v>0</v>
      </c>
      <c r="M69" s="34">
        <f t="shared" si="20"/>
        <v>0</v>
      </c>
      <c r="N69" s="34">
        <f t="shared" si="20"/>
        <v>6574.6299999999992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54.74</v>
      </c>
      <c r="L71" s="34"/>
      <c r="M71" s="34"/>
      <c r="N71" s="34">
        <f>D4</f>
        <v>54.74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389.61</v>
      </c>
      <c r="L72" s="34"/>
      <c r="M72" s="34"/>
      <c r="N72" s="34">
        <f>E4</f>
        <v>389.61</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564.59</v>
      </c>
      <c r="L73" s="34"/>
      <c r="M73" s="34"/>
      <c r="N73" s="34">
        <f>G4-SUM(N14,N26,N39,N52)</f>
        <v>564.59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248.48</v>
      </c>
      <c r="L74" s="34"/>
      <c r="M74" s="34"/>
      <c r="N74" s="34">
        <f>H4</f>
        <v>248.48</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3199.38</v>
      </c>
      <c r="L75" s="34"/>
      <c r="M75" s="34"/>
      <c r="N75" s="34">
        <f>I4</f>
        <v>3199.38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188.1</v>
      </c>
      <c r="L76" s="34"/>
      <c r="M76" s="34"/>
      <c r="N76" s="34">
        <f>J4</f>
        <v>188.1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176.51</v>
      </c>
      <c r="L78" s="34"/>
      <c r="M78" s="34"/>
      <c r="N78" s="34">
        <f>K4</f>
        <v>176.51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4821.4100000000008</v>
      </c>
      <c r="L80" s="34">
        <f>SUM(L70:L79)</f>
        <v>0</v>
      </c>
      <c r="M80" s="34">
        <f>SUM(M70:M79)</f>
        <v>0</v>
      </c>
      <c r="N80" s="34">
        <f>SUM(N70:N79)</f>
        <v>4821.4100000000008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4821.4100000000008</v>
      </c>
      <c r="L81" s="34">
        <f t="shared" si="23"/>
        <v>0</v>
      </c>
      <c r="M81" s="34">
        <f t="shared" si="23"/>
        <v>0</v>
      </c>
      <c r="N81" s="34">
        <f t="shared" si="23"/>
        <v>4821.4100000000008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11396.04</v>
      </c>
      <c r="L82" s="34">
        <f>L69+L81</f>
        <v>0</v>
      </c>
      <c r="M82" s="34">
        <f>M69+M81</f>
        <v>0</v>
      </c>
      <c r="N82" s="34">
        <f>N69+N81</f>
        <v>11396.04</v>
      </c>
      <c r="O82" s="8"/>
      <c r="R82" s="14"/>
      <c r="Z82" s="15"/>
      <c r="AJ82" s="16"/>
    </row>
    <row r="83" spans="1:36" s="31" customFormat="1" ht="21.95" customHeight="1" x14ac:dyDescent="0.2">
      <c r="A83" s="275" t="s">
        <v>82</v>
      </c>
      <c r="B83" s="275"/>
      <c r="C83" s="275"/>
      <c r="D83" s="275"/>
      <c r="E83" s="275"/>
      <c r="F83" s="275"/>
      <c r="G83" s="275"/>
      <c r="H83" s="275"/>
      <c r="I83" s="275"/>
      <c r="J83" s="35">
        <f>J18+J31+J44+J57+J82</f>
        <v>79181.817999999999</v>
      </c>
      <c r="K83" s="35">
        <f>K18+K31+K44+K57+K82</f>
        <v>343226.272</v>
      </c>
      <c r="L83" s="35">
        <f>L18+L31+L44+L57+L82</f>
        <v>277136.36299999995</v>
      </c>
      <c r="M83" s="35">
        <f>M18+M31+M44+M57+M82</f>
        <v>118772.727</v>
      </c>
      <c r="N83" s="38">
        <f>N18+N31+N44+N57+N82</f>
        <v>818317.17999999993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C02934E-200F-4B1D-90A3-5BDBAEA665F7}">
          <x14:formula1>
            <xm:f>'2026 COB breakdown_Kris'!$A$5:$A$103</xm:f>
          </x14:formula1>
          <xm:sqref>A3</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1F1A2-51CD-446F-8503-B2ECCA322823}">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210</v>
      </c>
      <c r="B3" s="58" t="s">
        <v>158</v>
      </c>
      <c r="C3" s="59">
        <f>VLOOKUP($A3,COBTABLE,15, FALSE)</f>
        <v>395.35</v>
      </c>
      <c r="D3" s="59">
        <f>VLOOKUP($A3,COBTABLE,16, FALSE)</f>
        <v>5.21</v>
      </c>
      <c r="E3" s="59">
        <f>VLOOKUP($A3,COBTABLE,17, FALSE)</f>
        <v>37.049999999999997</v>
      </c>
      <c r="F3" s="59">
        <f>VLOOKUP($A3,COBTABLE,18, FALSE)</f>
        <v>0</v>
      </c>
      <c r="G3" s="59">
        <f>VLOOKUP($A3,COBTABLE,19, FALSE)</f>
        <v>53.69</v>
      </c>
      <c r="H3" s="59">
        <f>VLOOKUP($A3,COBTABLE,20, FALSE)</f>
        <v>23.63</v>
      </c>
      <c r="I3" s="59">
        <f>VLOOKUP($A3,COBTABLE,21, FALSE)</f>
        <v>304.27</v>
      </c>
      <c r="J3" s="59">
        <f>VLOOKUP($A3,COBTABLE,22, FALSE)</f>
        <v>17.89</v>
      </c>
      <c r="K3" s="59">
        <f>VLOOKUP($A3,COBTABLE,23, FALSE)</f>
        <v>16.79</v>
      </c>
      <c r="L3" s="59">
        <f>VLOOKUP($A3,COBTABLE,24, FALSE)</f>
        <v>109.57</v>
      </c>
      <c r="M3" s="59">
        <f>VLOOKUP($A3,COBTABLE,25, FALSE)</f>
        <v>102.75</v>
      </c>
      <c r="N3" s="60">
        <f>VLOOKUP($A3, countrygrant,2,FALSE)</f>
        <v>456818.18</v>
      </c>
      <c r="O3" s="92">
        <f>SUM(C3:N3)</f>
        <v>457884.38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457.5</v>
      </c>
      <c r="D4" s="59">
        <f>VLOOKUP($A3,COBTABLE,28, FALSE)</f>
        <v>6.02</v>
      </c>
      <c r="E4" s="59">
        <f>VLOOKUP($A3,COBTABLE,29, FALSE)</f>
        <v>42.88</v>
      </c>
      <c r="F4" s="59">
        <f>VLOOKUP($A3,COBTABLE,30, FALSE)</f>
        <v>0</v>
      </c>
      <c r="G4" s="59">
        <f>VLOOKUP($A3,COBTABLE,31, FALSE)</f>
        <v>62.13</v>
      </c>
      <c r="H4" s="59">
        <f>VLOOKUP($A3,COBTABLE,32, FALSE)</f>
        <v>27.35</v>
      </c>
      <c r="I4" s="59">
        <f>VLOOKUP($A3,COBTABLE,33, FALSE)</f>
        <v>352.1</v>
      </c>
      <c r="J4" s="59">
        <f>VLOOKUP($A3,COBTABLE,34, FALSE)</f>
        <v>20.7</v>
      </c>
      <c r="K4" s="59">
        <f>VLOOKUP($A3,COBTABLE,35, FALSE)</f>
        <v>19.420000000000002</v>
      </c>
      <c r="L4" s="59">
        <f>VLOOKUP($A3,COBTABLE,36, FALSE)</f>
        <v>126.79</v>
      </c>
      <c r="M4" s="59">
        <f>VLOOKUP($A3,COBTABLE,37, FALSE)</f>
        <v>118.90999999999985</v>
      </c>
      <c r="N4" s="60">
        <f>VLOOKUP($A3, countrygrant,3,FALSE)</f>
        <v>528630</v>
      </c>
      <c r="O4" s="92">
        <f t="shared" ref="O4" si="0">SUM(C4:N4)</f>
        <v>529863.80000000005</v>
      </c>
      <c r="P4" s="28"/>
      <c r="Q4" s="28"/>
      <c r="R4" s="28"/>
      <c r="S4" s="28"/>
      <c r="T4" s="28"/>
      <c r="U4" s="28"/>
      <c r="V4" s="28"/>
      <c r="W4" s="28"/>
      <c r="X4" s="28"/>
      <c r="Y4" s="28"/>
      <c r="Z4" s="28"/>
      <c r="AA4" s="28"/>
      <c r="AB4" s="28"/>
      <c r="AC4" s="28"/>
    </row>
    <row r="5" spans="1:36" s="53" customFormat="1" ht="12" customHeight="1" x14ac:dyDescent="0.25">
      <c r="A5" s="278"/>
      <c r="B5" s="61" t="s">
        <v>156</v>
      </c>
      <c r="C5" s="62">
        <f>SUM(C3:C4)</f>
        <v>852.85</v>
      </c>
      <c r="D5" s="62">
        <f t="shared" ref="D5:O5" si="1">SUM(D3:D4)</f>
        <v>11.23</v>
      </c>
      <c r="E5" s="62">
        <f t="shared" si="1"/>
        <v>79.930000000000007</v>
      </c>
      <c r="F5" s="62">
        <f t="shared" si="1"/>
        <v>0</v>
      </c>
      <c r="G5" s="62">
        <f t="shared" si="1"/>
        <v>115.82</v>
      </c>
      <c r="H5" s="62">
        <f t="shared" si="1"/>
        <v>50.980000000000004</v>
      </c>
      <c r="I5" s="62">
        <f t="shared" si="1"/>
        <v>656.37</v>
      </c>
      <c r="J5" s="62">
        <f t="shared" si="1"/>
        <v>38.590000000000003</v>
      </c>
      <c r="K5" s="62">
        <f t="shared" si="1"/>
        <v>36.21</v>
      </c>
      <c r="L5" s="62">
        <f t="shared" si="1"/>
        <v>236.36</v>
      </c>
      <c r="M5" s="62">
        <f t="shared" si="1"/>
        <v>221.65999999999985</v>
      </c>
      <c r="N5" s="62">
        <f t="shared" si="1"/>
        <v>985448.17999999993</v>
      </c>
      <c r="O5" s="62">
        <f t="shared" si="1"/>
        <v>987748.18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52863</v>
      </c>
      <c r="K28" s="34">
        <f>$N28*0.4</f>
        <v>211452</v>
      </c>
      <c r="L28" s="34">
        <f>$N28*0.35</f>
        <v>185020.5</v>
      </c>
      <c r="M28" s="34">
        <f>$N28*0.15</f>
        <v>79294.5</v>
      </c>
      <c r="N28" s="34">
        <f>N4</f>
        <v>528630</v>
      </c>
      <c r="O28" s="8"/>
      <c r="P28" s="9">
        <f>VLOOKUP(H28,starratio3,4,FALSE)</f>
        <v>0</v>
      </c>
    </row>
    <row r="29" spans="1:36" ht="21.95" customHeight="1" x14ac:dyDescent="0.2">
      <c r="A29" s="262"/>
      <c r="B29" s="262"/>
      <c r="C29" s="263" t="s">
        <v>31</v>
      </c>
      <c r="D29" s="263"/>
      <c r="E29" s="263"/>
      <c r="F29" s="263"/>
      <c r="G29" s="263"/>
      <c r="H29" s="263"/>
      <c r="I29" s="263"/>
      <c r="J29" s="34">
        <f>SUM(J25:J28)</f>
        <v>52863</v>
      </c>
      <c r="K29" s="34">
        <f>SUM(K25:K28)</f>
        <v>211452</v>
      </c>
      <c r="L29" s="34">
        <f>SUM(L25:L28)</f>
        <v>185020.5</v>
      </c>
      <c r="M29" s="34">
        <f>SUM(M25:M28)</f>
        <v>79294.5</v>
      </c>
      <c r="N29" s="34">
        <f>SUM(N25:N28)</f>
        <v>528630</v>
      </c>
      <c r="O29" s="8"/>
      <c r="P29" s="9"/>
    </row>
    <row r="30" spans="1:36" ht="21.95" customHeight="1" x14ac:dyDescent="0.2">
      <c r="A30" s="262"/>
      <c r="B30" s="263" t="s">
        <v>44</v>
      </c>
      <c r="C30" s="263"/>
      <c r="D30" s="263"/>
      <c r="E30" s="263"/>
      <c r="F30" s="263"/>
      <c r="G30" s="263"/>
      <c r="H30" s="263"/>
      <c r="I30" s="263"/>
      <c r="J30" s="34">
        <f>J29</f>
        <v>52863</v>
      </c>
      <c r="K30" s="34">
        <f t="shared" ref="K30:N30" si="9">K29</f>
        <v>211452</v>
      </c>
      <c r="L30" s="34">
        <f t="shared" si="9"/>
        <v>185020.5</v>
      </c>
      <c r="M30" s="34">
        <f t="shared" si="9"/>
        <v>79294.5</v>
      </c>
      <c r="N30" s="34">
        <f t="shared" si="9"/>
        <v>528630</v>
      </c>
      <c r="O30" s="8"/>
      <c r="Q30" s="10"/>
      <c r="Z30" s="11"/>
      <c r="AC30" s="12"/>
      <c r="AD30" s="13"/>
    </row>
    <row r="31" spans="1:36" ht="21.95" customHeight="1" x14ac:dyDescent="0.2">
      <c r="A31" s="261" t="s">
        <v>45</v>
      </c>
      <c r="B31" s="261"/>
      <c r="C31" s="261"/>
      <c r="D31" s="261"/>
      <c r="E31" s="261"/>
      <c r="F31" s="261"/>
      <c r="G31" s="261"/>
      <c r="H31" s="261"/>
      <c r="I31" s="261"/>
      <c r="J31" s="34">
        <f>J24+J30</f>
        <v>98544.817999999999</v>
      </c>
      <c r="K31" s="34">
        <f>K24+K30</f>
        <v>394179.272</v>
      </c>
      <c r="L31" s="34">
        <f>L24+L30</f>
        <v>344906.86300000001</v>
      </c>
      <c r="M31" s="34">
        <f>M24+M30</f>
        <v>147817.22700000001</v>
      </c>
      <c r="N31" s="34">
        <f>N24+N30</f>
        <v>985448.17999999993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395.35</v>
      </c>
      <c r="L32" s="34"/>
      <c r="M32" s="34"/>
      <c r="N32" s="34">
        <f>ROUND($C$3*P32,2)</f>
        <v>395.35</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395.35</v>
      </c>
      <c r="L36" s="34">
        <f>SUM(L32:L35)</f>
        <v>0</v>
      </c>
      <c r="M36" s="34">
        <f>SUM(M32:M35)</f>
        <v>0</v>
      </c>
      <c r="N36" s="34">
        <f>SUM(N32:N35)</f>
        <v>395.35</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395.35</v>
      </c>
      <c r="L37" s="34">
        <f t="shared" si="11"/>
        <v>0</v>
      </c>
      <c r="M37" s="34">
        <f t="shared" si="11"/>
        <v>0</v>
      </c>
      <c r="N37" s="34">
        <f t="shared" si="11"/>
        <v>395.35</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457.5</v>
      </c>
      <c r="L38" s="34"/>
      <c r="M38" s="34"/>
      <c r="N38" s="34">
        <f>ROUND($C$4*P38,2)</f>
        <v>457.5</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457.5</v>
      </c>
      <c r="L42" s="34">
        <f>SUM(L38:L41)</f>
        <v>0</v>
      </c>
      <c r="M42" s="34">
        <f>SUM(M38:M41)</f>
        <v>0</v>
      </c>
      <c r="N42" s="34">
        <f>SUM(N38:N41)</f>
        <v>457.5</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457.5</v>
      </c>
      <c r="L43" s="34">
        <f t="shared" si="13"/>
        <v>0</v>
      </c>
      <c r="M43" s="34">
        <f t="shared" si="13"/>
        <v>0</v>
      </c>
      <c r="N43" s="34">
        <f t="shared" si="13"/>
        <v>457.5</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852.85</v>
      </c>
      <c r="L44" s="34">
        <f>L37+L43</f>
        <v>0</v>
      </c>
      <c r="M44" s="34">
        <f>M37+M43</f>
        <v>0</v>
      </c>
      <c r="N44" s="34">
        <f>N37+N43</f>
        <v>852.85</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109.57</v>
      </c>
      <c r="L47" s="34"/>
      <c r="M47" s="34"/>
      <c r="N47" s="34">
        <f>ROUND($L$3*P47,2)</f>
        <v>109.57</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102.75</v>
      </c>
      <c r="L48" s="34"/>
      <c r="M48" s="34"/>
      <c r="N48" s="34">
        <f>M3-SUM(N10,N21,N35)</f>
        <v>102.75</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212.32</v>
      </c>
      <c r="L49" s="34">
        <f>SUM(L45:L48)</f>
        <v>0</v>
      </c>
      <c r="M49" s="34">
        <f>SUM(M45:M48)</f>
        <v>0</v>
      </c>
      <c r="N49" s="34">
        <f>SUM(N45:N48)</f>
        <v>212.32</v>
      </c>
      <c r="O49" s="8"/>
      <c r="P49" s="9"/>
    </row>
    <row r="50" spans="1:36" ht="21.95" customHeight="1" x14ac:dyDescent="0.2">
      <c r="A50" s="262"/>
      <c r="B50" s="261" t="s">
        <v>60</v>
      </c>
      <c r="C50" s="261"/>
      <c r="D50" s="261"/>
      <c r="E50" s="261"/>
      <c r="F50" s="261"/>
      <c r="G50" s="261"/>
      <c r="H50" s="261"/>
      <c r="I50" s="261"/>
      <c r="J50" s="34">
        <f>J49</f>
        <v>0</v>
      </c>
      <c r="K50" s="34">
        <f t="shared" ref="K50:N50" si="15">K49</f>
        <v>212.32</v>
      </c>
      <c r="L50" s="34">
        <f t="shared" si="15"/>
        <v>0</v>
      </c>
      <c r="M50" s="34">
        <f t="shared" si="15"/>
        <v>0</v>
      </c>
      <c r="N50" s="34">
        <f t="shared" si="15"/>
        <v>212.32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126.79</v>
      </c>
      <c r="L53" s="34"/>
      <c r="M53" s="34"/>
      <c r="N53" s="34">
        <f>ROUND($L$4*P53,2)</f>
        <v>126.79</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118.90999999999985</v>
      </c>
      <c r="L54" s="34"/>
      <c r="M54" s="34"/>
      <c r="N54" s="34">
        <f>M4-SUM(N15,N27,N41)</f>
        <v>118.90999999999985</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245.69999999999987</v>
      </c>
      <c r="L55" s="34">
        <f>SUM(L51:L54)</f>
        <v>0</v>
      </c>
      <c r="M55" s="34">
        <f>SUM(M51:M54)</f>
        <v>0</v>
      </c>
      <c r="N55" s="34">
        <f>SUM(N51:N54)</f>
        <v>245.69999999999987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245.69999999999987</v>
      </c>
      <c r="L56" s="34">
        <f t="shared" si="17"/>
        <v>0</v>
      </c>
      <c r="M56" s="34">
        <f t="shared" si="17"/>
        <v>0</v>
      </c>
      <c r="N56" s="34">
        <f t="shared" si="17"/>
        <v>245.69999999999987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458.01999999999987</v>
      </c>
      <c r="L57" s="34">
        <f>L50+L56</f>
        <v>0</v>
      </c>
      <c r="M57" s="34">
        <f>M50+M56</f>
        <v>0</v>
      </c>
      <c r="N57" s="34">
        <f>N50+N56</f>
        <v>458.01999999999987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5.21</v>
      </c>
      <c r="L59" s="34"/>
      <c r="M59" s="34"/>
      <c r="N59" s="34">
        <f>D3</f>
        <v>5.21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37.049999999999997</v>
      </c>
      <c r="L60" s="34"/>
      <c r="M60" s="34"/>
      <c r="N60" s="34">
        <f>E3</f>
        <v>37.049999999999997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53.69</v>
      </c>
      <c r="L61" s="34"/>
      <c r="M61" s="34"/>
      <c r="N61" s="34">
        <f>G3-SUM(N9,N20,N33,N46)</f>
        <v>53.69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23.63</v>
      </c>
      <c r="L62" s="34"/>
      <c r="M62" s="34"/>
      <c r="N62" s="34">
        <f>H3</f>
        <v>23.63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304.27</v>
      </c>
      <c r="L63" s="34"/>
      <c r="M63" s="34"/>
      <c r="N63" s="34">
        <f>I3</f>
        <v>304.27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17.89</v>
      </c>
      <c r="L64" s="34"/>
      <c r="M64" s="34"/>
      <c r="N64" s="34">
        <f>J3</f>
        <v>17.89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16.79</v>
      </c>
      <c r="L66" s="34"/>
      <c r="M66" s="34"/>
      <c r="N66" s="34">
        <f>K3</f>
        <v>16.79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458.53</v>
      </c>
      <c r="L68" s="34">
        <f>SUM(L58:L67)</f>
        <v>0</v>
      </c>
      <c r="M68" s="34">
        <f>SUM(M58:M67)</f>
        <v>0</v>
      </c>
      <c r="N68" s="34">
        <f>SUM(N58:N67)</f>
        <v>458.53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458.53</v>
      </c>
      <c r="L69" s="34">
        <f t="shared" si="20"/>
        <v>0</v>
      </c>
      <c r="M69" s="34">
        <f t="shared" si="20"/>
        <v>0</v>
      </c>
      <c r="N69" s="34">
        <f t="shared" si="20"/>
        <v>458.53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6.02</v>
      </c>
      <c r="L71" s="34"/>
      <c r="M71" s="34"/>
      <c r="N71" s="34">
        <f>D4</f>
        <v>6.02</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42.88</v>
      </c>
      <c r="L72" s="34"/>
      <c r="M72" s="34"/>
      <c r="N72" s="34">
        <f>E4</f>
        <v>42.88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62.13</v>
      </c>
      <c r="L73" s="34"/>
      <c r="M73" s="34"/>
      <c r="N73" s="34">
        <f>G4-SUM(N14,N26,N39,N52)</f>
        <v>62.13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27.35</v>
      </c>
      <c r="L74" s="34"/>
      <c r="M74" s="34"/>
      <c r="N74" s="34">
        <f>H4</f>
        <v>27.35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352.1</v>
      </c>
      <c r="L75" s="34"/>
      <c r="M75" s="34"/>
      <c r="N75" s="34">
        <f>I4</f>
        <v>352.1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20.7</v>
      </c>
      <c r="L76" s="34"/>
      <c r="M76" s="34"/>
      <c r="N76" s="34">
        <f>J4</f>
        <v>20.7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19.420000000000002</v>
      </c>
      <c r="L78" s="34"/>
      <c r="M78" s="34"/>
      <c r="N78" s="34">
        <f>K4</f>
        <v>19.420000000000002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530.6</v>
      </c>
      <c r="L80" s="34">
        <f>SUM(L70:L79)</f>
        <v>0</v>
      </c>
      <c r="M80" s="34">
        <f>SUM(M70:M79)</f>
        <v>0</v>
      </c>
      <c r="N80" s="34">
        <f>SUM(N70:N79)</f>
        <v>530.6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530.6</v>
      </c>
      <c r="L81" s="34">
        <f t="shared" si="23"/>
        <v>0</v>
      </c>
      <c r="M81" s="34">
        <f t="shared" si="23"/>
        <v>0</v>
      </c>
      <c r="N81" s="34">
        <f t="shared" si="23"/>
        <v>530.6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989.13</v>
      </c>
      <c r="L82" s="34">
        <f>L69+L81</f>
        <v>0</v>
      </c>
      <c r="M82" s="34">
        <f>M69+M81</f>
        <v>0</v>
      </c>
      <c r="N82" s="34">
        <f>N69+N81</f>
        <v>989.13</v>
      </c>
      <c r="O82" s="8"/>
      <c r="R82" s="14"/>
      <c r="Z82" s="15"/>
      <c r="AJ82" s="16"/>
    </row>
    <row r="83" spans="1:36" s="31" customFormat="1" ht="21.95" customHeight="1" x14ac:dyDescent="0.2">
      <c r="A83" s="275" t="s">
        <v>82</v>
      </c>
      <c r="B83" s="275"/>
      <c r="C83" s="275"/>
      <c r="D83" s="275"/>
      <c r="E83" s="275"/>
      <c r="F83" s="275"/>
      <c r="G83" s="275"/>
      <c r="H83" s="275"/>
      <c r="I83" s="275"/>
      <c r="J83" s="35">
        <f>J18+J31+J44+J57+J82</f>
        <v>98544.817999999999</v>
      </c>
      <c r="K83" s="35">
        <f>K18+K31+K44+K57+K82</f>
        <v>396479.272</v>
      </c>
      <c r="L83" s="35">
        <f>L18+L31+L44+L57+L82</f>
        <v>344906.86300000001</v>
      </c>
      <c r="M83" s="35">
        <f>M18+M31+M44+M57+M82</f>
        <v>147817.22700000001</v>
      </c>
      <c r="N83" s="38">
        <f>N18+N31+N44+N57+N82</f>
        <v>987748.17999999993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BDB3BBC-81A2-4DDE-9184-C654FE203B87}">
          <x14:formula1>
            <xm:f>'2026 COB breakdown_Kris'!$A$5:$A$103</xm:f>
          </x14:formula1>
          <xm:sqref>A3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7B6A1-BCEB-4265-A5FA-FC019978814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211</v>
      </c>
      <c r="B3" s="58" t="s">
        <v>158</v>
      </c>
      <c r="C3" s="59">
        <f>VLOOKUP($A3,COBTABLE,15, FALSE)</f>
        <v>5732.72</v>
      </c>
      <c r="D3" s="59">
        <f>VLOOKUP($A3,COBTABLE,16, FALSE)</f>
        <v>75.48</v>
      </c>
      <c r="E3" s="59">
        <f>VLOOKUP($A3,COBTABLE,17, FALSE)</f>
        <v>537.27</v>
      </c>
      <c r="F3" s="59">
        <f>VLOOKUP($A3,COBTABLE,18, FALSE)</f>
        <v>0</v>
      </c>
      <c r="G3" s="59">
        <f>VLOOKUP($A3,COBTABLE,19, FALSE)</f>
        <v>778.58</v>
      </c>
      <c r="H3" s="59">
        <f>VLOOKUP($A3,COBTABLE,20, FALSE)</f>
        <v>342.65</v>
      </c>
      <c r="I3" s="59">
        <f>VLOOKUP($A3,COBTABLE,21, FALSE)</f>
        <v>4411.97</v>
      </c>
      <c r="J3" s="59">
        <f>VLOOKUP($A3,COBTABLE,22, FALSE)</f>
        <v>259.38</v>
      </c>
      <c r="K3" s="59">
        <f>VLOOKUP($A3,COBTABLE,23, FALSE)</f>
        <v>243.41</v>
      </c>
      <c r="L3" s="59">
        <f>VLOOKUP($A3,COBTABLE,24, FALSE)</f>
        <v>1588.75</v>
      </c>
      <c r="M3" s="59">
        <f>VLOOKUP($A3,COBTABLE,25, FALSE)</f>
        <v>1489.9900000000034</v>
      </c>
      <c r="N3" s="60">
        <f>VLOOKUP($A3, countrygrant,2,FALSE)</f>
        <v>456818.18</v>
      </c>
      <c r="O3" s="92">
        <f>SUM(C3:N3)</f>
        <v>472278.38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5732.72</v>
      </c>
      <c r="D5" s="62">
        <f t="shared" ref="D5:O5" si="1">SUM(D3:D4)</f>
        <v>75.48</v>
      </c>
      <c r="E5" s="62">
        <f t="shared" si="1"/>
        <v>537.27</v>
      </c>
      <c r="F5" s="62">
        <f t="shared" si="1"/>
        <v>0</v>
      </c>
      <c r="G5" s="62">
        <f t="shared" si="1"/>
        <v>778.58</v>
      </c>
      <c r="H5" s="62">
        <f t="shared" si="1"/>
        <v>342.65</v>
      </c>
      <c r="I5" s="62">
        <f t="shared" si="1"/>
        <v>4411.97</v>
      </c>
      <c r="J5" s="62">
        <f t="shared" si="1"/>
        <v>259.38</v>
      </c>
      <c r="K5" s="62">
        <f t="shared" si="1"/>
        <v>243.41</v>
      </c>
      <c r="L5" s="62">
        <f t="shared" si="1"/>
        <v>1588.75</v>
      </c>
      <c r="M5" s="62">
        <f t="shared" si="1"/>
        <v>1489.9900000000034</v>
      </c>
      <c r="N5" s="62">
        <f t="shared" si="1"/>
        <v>456818.18</v>
      </c>
      <c r="O5" s="62">
        <f t="shared" si="1"/>
        <v>472278.38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VLOOKUP(H28,starratio3,4,FALSE)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5732.72</v>
      </c>
      <c r="L32" s="34"/>
      <c r="M32" s="34"/>
      <c r="N32" s="34">
        <f>ROUND($C$3*P32,2)</f>
        <v>5732.72</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5732.72</v>
      </c>
      <c r="L36" s="34">
        <f>SUM(L32:L35)</f>
        <v>0</v>
      </c>
      <c r="M36" s="34">
        <f>SUM(M32:M35)</f>
        <v>0</v>
      </c>
      <c r="N36" s="34">
        <f>SUM(N32:N35)</f>
        <v>5732.72</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5732.72</v>
      </c>
      <c r="L37" s="34">
        <f t="shared" si="11"/>
        <v>0</v>
      </c>
      <c r="M37" s="34">
        <f t="shared" si="11"/>
        <v>0</v>
      </c>
      <c r="N37" s="34">
        <f t="shared" si="11"/>
        <v>5732.72</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5732.72</v>
      </c>
      <c r="L44" s="34">
        <f>L37+L43</f>
        <v>0</v>
      </c>
      <c r="M44" s="34">
        <f>M37+M43</f>
        <v>0</v>
      </c>
      <c r="N44" s="34">
        <f>N37+N43</f>
        <v>5732.72</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1588.75</v>
      </c>
      <c r="L47" s="34"/>
      <c r="M47" s="34"/>
      <c r="N47" s="34">
        <f>ROUND($L$3*P47,2)</f>
        <v>1588.75</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1489.9900000000034</v>
      </c>
      <c r="L48" s="34"/>
      <c r="M48" s="34"/>
      <c r="N48" s="34">
        <f>M3-SUM(N10,N21,N35)</f>
        <v>1489.9900000000034</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3078.7400000000034</v>
      </c>
      <c r="L49" s="34">
        <f>SUM(L45:L48)</f>
        <v>0</v>
      </c>
      <c r="M49" s="34">
        <f>SUM(M45:M48)</f>
        <v>0</v>
      </c>
      <c r="N49" s="34">
        <f>SUM(N45:N48)</f>
        <v>3078.7400000000034</v>
      </c>
      <c r="O49" s="8"/>
      <c r="P49" s="9"/>
    </row>
    <row r="50" spans="1:36" ht="21.95" customHeight="1" x14ac:dyDescent="0.2">
      <c r="A50" s="262"/>
      <c r="B50" s="261" t="s">
        <v>60</v>
      </c>
      <c r="C50" s="261"/>
      <c r="D50" s="261"/>
      <c r="E50" s="261"/>
      <c r="F50" s="261"/>
      <c r="G50" s="261"/>
      <c r="H50" s="261"/>
      <c r="I50" s="261"/>
      <c r="J50" s="34">
        <f>J49</f>
        <v>0</v>
      </c>
      <c r="K50" s="34">
        <f t="shared" ref="K50:N50" si="15">K49</f>
        <v>3078.7400000000034</v>
      </c>
      <c r="L50" s="34">
        <f t="shared" si="15"/>
        <v>0</v>
      </c>
      <c r="M50" s="34">
        <f t="shared" si="15"/>
        <v>0</v>
      </c>
      <c r="N50" s="34">
        <f t="shared" si="15"/>
        <v>3078.7400000000034</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3078.7400000000034</v>
      </c>
      <c r="L57" s="34">
        <f>L50+L56</f>
        <v>0</v>
      </c>
      <c r="M57" s="34">
        <f>M50+M56</f>
        <v>0</v>
      </c>
      <c r="N57" s="34">
        <f>N50+N56</f>
        <v>3078.7400000000034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75.48</v>
      </c>
      <c r="L59" s="34"/>
      <c r="M59" s="34"/>
      <c r="N59" s="34">
        <f>D3</f>
        <v>75.48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537.27</v>
      </c>
      <c r="L60" s="34"/>
      <c r="M60" s="34"/>
      <c r="N60" s="34">
        <f>E3</f>
        <v>537.27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778.58</v>
      </c>
      <c r="L61" s="34"/>
      <c r="M61" s="34"/>
      <c r="N61" s="34">
        <f>G3-SUM(N9,N20,N33,N46)</f>
        <v>778.58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342.65</v>
      </c>
      <c r="L62" s="34"/>
      <c r="M62" s="34"/>
      <c r="N62" s="34">
        <f>H3</f>
        <v>342.65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4411.97</v>
      </c>
      <c r="L63" s="34"/>
      <c r="M63" s="34"/>
      <c r="N63" s="34">
        <f>I3</f>
        <v>4411.97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259.38</v>
      </c>
      <c r="L64" s="34"/>
      <c r="M64" s="34"/>
      <c r="N64" s="34">
        <f>J3</f>
        <v>259.38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243.41</v>
      </c>
      <c r="L66" s="34"/>
      <c r="M66" s="34"/>
      <c r="N66" s="34">
        <f>K3</f>
        <v>243.41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6648.7400000000007</v>
      </c>
      <c r="L68" s="34">
        <f>SUM(L58:L67)</f>
        <v>0</v>
      </c>
      <c r="M68" s="34">
        <f>SUM(M58:M67)</f>
        <v>0</v>
      </c>
      <c r="N68" s="34">
        <f>SUM(N58:N67)</f>
        <v>6648.7400000000007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6648.7400000000007</v>
      </c>
      <c r="L69" s="34">
        <f t="shared" si="20"/>
        <v>0</v>
      </c>
      <c r="M69" s="34">
        <f t="shared" si="20"/>
        <v>0</v>
      </c>
      <c r="N69" s="34">
        <f t="shared" si="20"/>
        <v>6648.7400000000007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6648.7400000000007</v>
      </c>
      <c r="L82" s="34">
        <f>L69+L81</f>
        <v>0</v>
      </c>
      <c r="M82" s="34">
        <f>M69+M81</f>
        <v>0</v>
      </c>
      <c r="N82" s="34">
        <f>N69+N81</f>
        <v>6648.7400000000007</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198187.47199999998</v>
      </c>
      <c r="L83" s="35">
        <f>L18+L31+L44+L57+L82</f>
        <v>159886.36299999998</v>
      </c>
      <c r="M83" s="35">
        <f>M18+M31+M44+M57+M82</f>
        <v>68522.726999999999</v>
      </c>
      <c r="N83" s="38">
        <f>N18+N31+N44+N57+N82</f>
        <v>472278.37999999995</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8625D67-DA92-4A2D-A2DA-A9BB535850D7}">
          <x14:formula1>
            <xm:f>'2026 COB breakdown_Kris'!$A$5:$A$103</xm:f>
          </x14:formula1>
          <xm:sqref>A3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BAE6B-87C3-4492-B19D-B6CE3BED30CD}">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212</v>
      </c>
      <c r="B3" s="58" t="s">
        <v>158</v>
      </c>
      <c r="C3" s="59">
        <f>VLOOKUP($A3,COBTABLE,15, FALSE)</f>
        <v>3564.62</v>
      </c>
      <c r="D3" s="59">
        <f>VLOOKUP($A3,COBTABLE,16, FALSE)</f>
        <v>46.93</v>
      </c>
      <c r="E3" s="59">
        <f>VLOOKUP($A3,COBTABLE,17, FALSE)</f>
        <v>334.08</v>
      </c>
      <c r="F3" s="59">
        <f>VLOOKUP($A3,COBTABLE,18, FALSE)</f>
        <v>0</v>
      </c>
      <c r="G3" s="59">
        <f>VLOOKUP($A3,COBTABLE,19, FALSE)</f>
        <v>484.12</v>
      </c>
      <c r="H3" s="59">
        <f>VLOOKUP($A3,COBTABLE,20, FALSE)</f>
        <v>213.06</v>
      </c>
      <c r="I3" s="59">
        <f>VLOOKUP($A3,COBTABLE,21, FALSE)</f>
        <v>2743.37</v>
      </c>
      <c r="J3" s="59">
        <f>VLOOKUP($A3,COBTABLE,22, FALSE)</f>
        <v>161.29</v>
      </c>
      <c r="K3" s="59">
        <f>VLOOKUP($A3,COBTABLE,23, FALSE)</f>
        <v>151.35</v>
      </c>
      <c r="L3" s="59">
        <f>VLOOKUP($A3,COBTABLE,24, FALSE)</f>
        <v>987.89</v>
      </c>
      <c r="M3" s="59">
        <f>VLOOKUP($A3,COBTABLE,25, FALSE)</f>
        <v>926.48999999999978</v>
      </c>
      <c r="N3" s="60">
        <f>VLOOKUP($A3, countrygrant,2,FALSE)</f>
        <v>456818.18</v>
      </c>
      <c r="O3" s="92">
        <f>SUM(C3:N3)</f>
        <v>466431.38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4510.18</v>
      </c>
      <c r="D4" s="59">
        <f>VLOOKUP($A3,COBTABLE,28, FALSE)</f>
        <v>59.39</v>
      </c>
      <c r="E4" s="59">
        <f>VLOOKUP($A3,COBTABLE,29, FALSE)</f>
        <v>422.69</v>
      </c>
      <c r="F4" s="59">
        <f>VLOOKUP($A3,COBTABLE,30, FALSE)</f>
        <v>0</v>
      </c>
      <c r="G4" s="59">
        <f>VLOOKUP($A3,COBTABLE,31, FALSE)</f>
        <v>612.54</v>
      </c>
      <c r="H4" s="59">
        <f>VLOOKUP($A3,COBTABLE,32, FALSE)</f>
        <v>269.58</v>
      </c>
      <c r="I4" s="59">
        <f>VLOOKUP($A3,COBTABLE,33, FALSE)</f>
        <v>3471.08</v>
      </c>
      <c r="J4" s="59">
        <f>VLOOKUP($A3,COBTABLE,34, FALSE)</f>
        <v>204.07</v>
      </c>
      <c r="K4" s="59">
        <f>VLOOKUP($A3,COBTABLE,35, FALSE)</f>
        <v>191.5</v>
      </c>
      <c r="L4" s="59">
        <f>VLOOKUP($A3,COBTABLE,36, FALSE)</f>
        <v>1249.94</v>
      </c>
      <c r="M4" s="59">
        <f>VLOOKUP($A3,COBTABLE,37, FALSE)</f>
        <v>1172.2300000000014</v>
      </c>
      <c r="N4" s="60">
        <f>VLOOKUP($A3, countrygrant,3,FALSE)</f>
        <v>577994.26</v>
      </c>
      <c r="O4" s="92">
        <f t="shared" ref="O4" si="0">SUM(C4:N4)</f>
        <v>590157.46</v>
      </c>
      <c r="P4" s="28"/>
      <c r="Q4" s="28"/>
      <c r="R4" s="28"/>
      <c r="S4" s="28"/>
      <c r="T4" s="28"/>
      <c r="U4" s="28"/>
      <c r="V4" s="28"/>
      <c r="W4" s="28"/>
      <c r="X4" s="28"/>
      <c r="Y4" s="28"/>
      <c r="Z4" s="28"/>
      <c r="AA4" s="28"/>
      <c r="AB4" s="28"/>
      <c r="AC4" s="28"/>
    </row>
    <row r="5" spans="1:36" s="53" customFormat="1" ht="12" customHeight="1" x14ac:dyDescent="0.25">
      <c r="A5" s="278"/>
      <c r="B5" s="61" t="s">
        <v>156</v>
      </c>
      <c r="C5" s="62">
        <f>SUM(C3:C4)</f>
        <v>8074.8</v>
      </c>
      <c r="D5" s="62">
        <f t="shared" ref="D5:O5" si="1">SUM(D3:D4)</f>
        <v>106.32</v>
      </c>
      <c r="E5" s="62">
        <f t="shared" si="1"/>
        <v>756.77</v>
      </c>
      <c r="F5" s="62">
        <f t="shared" si="1"/>
        <v>0</v>
      </c>
      <c r="G5" s="62">
        <f t="shared" si="1"/>
        <v>1096.6599999999999</v>
      </c>
      <c r="H5" s="62">
        <f t="shared" si="1"/>
        <v>482.64</v>
      </c>
      <c r="I5" s="62">
        <f t="shared" si="1"/>
        <v>6214.45</v>
      </c>
      <c r="J5" s="62">
        <f t="shared" si="1"/>
        <v>365.36</v>
      </c>
      <c r="K5" s="62">
        <f t="shared" si="1"/>
        <v>342.85</v>
      </c>
      <c r="L5" s="62">
        <f t="shared" si="1"/>
        <v>2237.83</v>
      </c>
      <c r="M5" s="62">
        <f t="shared" si="1"/>
        <v>2098.7200000000012</v>
      </c>
      <c r="N5" s="62">
        <f t="shared" si="1"/>
        <v>1034812.44</v>
      </c>
      <c r="O5" s="62">
        <f t="shared" si="1"/>
        <v>1056588.8399999999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176</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VLOOKUP(H8,coreratio3,3,FALSE)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VLOOKUP(H9,coreratio3,3,FALSE)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VLOOKUP(H10,coreratio3,3,FALSE)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VLOOKUP(H13,starratio3,3,FALSE)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VLOOKUP(H14,starratio3,3,FALSE)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VLOOKUP(H15,starratio3,3,FALSE)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VLOOKUP(H19,coreratio3,4,FALSE)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VLOOKUP(H20,coreratio3,4,FALSE)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VLOOKUP(H21,coreratio3,4,FALSE)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VLOOKUP(H22,coreratio3,4,FALSE)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VLOOKUP(H25,starratio3,4,FALSE)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VLOOKUP(H26,starratio3,4,FALSE)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VLOOKUP(H27,starratio3,4,FALSE)</f>
        <v>0</v>
      </c>
    </row>
    <row r="28" spans="1:36" ht="21.95" customHeight="1" x14ac:dyDescent="0.2">
      <c r="A28" s="262"/>
      <c r="B28" s="262"/>
      <c r="C28" s="262"/>
      <c r="D28" s="262"/>
      <c r="E28" s="262"/>
      <c r="F28" s="6" t="s">
        <v>43</v>
      </c>
      <c r="G28" s="7" t="s">
        <v>40</v>
      </c>
      <c r="H28" s="6">
        <v>72600</v>
      </c>
      <c r="I28" s="6" t="s">
        <v>40</v>
      </c>
      <c r="J28" s="34">
        <f>$N28*0.1</f>
        <v>57799.426000000007</v>
      </c>
      <c r="K28" s="34">
        <f>$N28*0.4</f>
        <v>231197.70400000003</v>
      </c>
      <c r="L28" s="34">
        <f>$N28*0.35</f>
        <v>202297.99099999998</v>
      </c>
      <c r="M28" s="34">
        <f>$N28*0.15</f>
        <v>86699.138999999996</v>
      </c>
      <c r="N28" s="34">
        <f>N4</f>
        <v>577994.26</v>
      </c>
      <c r="O28" s="8"/>
      <c r="P28" s="9">
        <f>VLOOKUP(H28,starratio3,4,FALSE)</f>
        <v>0</v>
      </c>
    </row>
    <row r="29" spans="1:36" ht="21.95" customHeight="1" x14ac:dyDescent="0.2">
      <c r="A29" s="262"/>
      <c r="B29" s="262"/>
      <c r="C29" s="263" t="s">
        <v>31</v>
      </c>
      <c r="D29" s="263"/>
      <c r="E29" s="263"/>
      <c r="F29" s="263"/>
      <c r="G29" s="263"/>
      <c r="H29" s="263"/>
      <c r="I29" s="263"/>
      <c r="J29" s="34">
        <f>SUM(J25:J28)</f>
        <v>57799.426000000007</v>
      </c>
      <c r="K29" s="34">
        <f>SUM(K25:K28)</f>
        <v>231197.70400000003</v>
      </c>
      <c r="L29" s="34">
        <f>SUM(L25:L28)</f>
        <v>202297.99099999998</v>
      </c>
      <c r="M29" s="34">
        <f>SUM(M25:M28)</f>
        <v>86699.138999999996</v>
      </c>
      <c r="N29" s="34">
        <f>SUM(N25:N28)</f>
        <v>577994.26</v>
      </c>
      <c r="O29" s="8"/>
      <c r="P29" s="9"/>
    </row>
    <row r="30" spans="1:36" ht="21.95" customHeight="1" x14ac:dyDescent="0.2">
      <c r="A30" s="262"/>
      <c r="B30" s="263" t="s">
        <v>44</v>
      </c>
      <c r="C30" s="263"/>
      <c r="D30" s="263"/>
      <c r="E30" s="263"/>
      <c r="F30" s="263"/>
      <c r="G30" s="263"/>
      <c r="H30" s="263"/>
      <c r="I30" s="263"/>
      <c r="J30" s="34">
        <f>J29</f>
        <v>57799.426000000007</v>
      </c>
      <c r="K30" s="34">
        <f t="shared" ref="K30:N30" si="9">K29</f>
        <v>231197.70400000003</v>
      </c>
      <c r="L30" s="34">
        <f t="shared" si="9"/>
        <v>202297.99099999998</v>
      </c>
      <c r="M30" s="34">
        <f t="shared" si="9"/>
        <v>86699.138999999996</v>
      </c>
      <c r="N30" s="34">
        <f t="shared" si="9"/>
        <v>577994.26</v>
      </c>
      <c r="O30" s="8"/>
      <c r="Q30" s="10"/>
      <c r="Z30" s="11"/>
      <c r="AC30" s="12"/>
      <c r="AD30" s="13"/>
    </row>
    <row r="31" spans="1:36" ht="21.95" customHeight="1" x14ac:dyDescent="0.2">
      <c r="A31" s="261" t="s">
        <v>45</v>
      </c>
      <c r="B31" s="261"/>
      <c r="C31" s="261"/>
      <c r="D31" s="261"/>
      <c r="E31" s="261"/>
      <c r="F31" s="261"/>
      <c r="G31" s="261"/>
      <c r="H31" s="261"/>
      <c r="I31" s="261"/>
      <c r="J31" s="34">
        <f>J24+J30</f>
        <v>103481.24400000001</v>
      </c>
      <c r="K31" s="34">
        <f>K24+K30</f>
        <v>413924.97600000002</v>
      </c>
      <c r="L31" s="34">
        <f>L24+L30</f>
        <v>362184.35399999993</v>
      </c>
      <c r="M31" s="34">
        <f>M24+M30</f>
        <v>155221.86599999998</v>
      </c>
      <c r="N31" s="34">
        <f>N24+N30</f>
        <v>1034812.44</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3564.62</v>
      </c>
      <c r="L32" s="34"/>
      <c r="M32" s="34"/>
      <c r="N32" s="34">
        <f>ROUND($C$3*P32,2)</f>
        <v>3564.62</v>
      </c>
      <c r="O32" s="8"/>
      <c r="P32" s="9">
        <f>VLOOKUP(H32,coreratio3,5,FALSE)</f>
        <v>1</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VLOOKUP(H33,coreratio3,5,FALSE)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VLOOKUP(H34,coreratio3,5,FALSE)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VLOOKUP(H35,coreratio3,5,FALSE)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3564.62</v>
      </c>
      <c r="L36" s="34">
        <f>SUM(L32:L35)</f>
        <v>0</v>
      </c>
      <c r="M36" s="34">
        <f>SUM(M32:M35)</f>
        <v>0</v>
      </c>
      <c r="N36" s="34">
        <f>SUM(N32:N35)</f>
        <v>3564.62</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3564.62</v>
      </c>
      <c r="L37" s="34">
        <f t="shared" si="11"/>
        <v>0</v>
      </c>
      <c r="M37" s="34">
        <f t="shared" si="11"/>
        <v>0</v>
      </c>
      <c r="N37" s="34">
        <f t="shared" si="11"/>
        <v>3564.62</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4510.18</v>
      </c>
      <c r="L38" s="34"/>
      <c r="M38" s="34"/>
      <c r="N38" s="34">
        <f>ROUND($C$4*P38,2)</f>
        <v>4510.18</v>
      </c>
      <c r="O38" s="8"/>
      <c r="P38" s="9">
        <f>VLOOKUP(H38,starratio3,5,FALSE)</f>
        <v>1</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VLOOKUP(H39,starratio3,5,FALSE)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VLOOKUP(H40,starratio3,5,FALSE)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VLOOKUP(H41,starratio3,5,FALSE)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4510.18</v>
      </c>
      <c r="L42" s="34">
        <f>SUM(L38:L41)</f>
        <v>0</v>
      </c>
      <c r="M42" s="34">
        <f>SUM(M38:M41)</f>
        <v>0</v>
      </c>
      <c r="N42" s="34">
        <f>SUM(N38:N41)</f>
        <v>4510.18</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4510.18</v>
      </c>
      <c r="L43" s="34">
        <f t="shared" si="13"/>
        <v>0</v>
      </c>
      <c r="M43" s="34">
        <f t="shared" si="13"/>
        <v>0</v>
      </c>
      <c r="N43" s="34">
        <f t="shared" si="13"/>
        <v>4510.18</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8074.8</v>
      </c>
      <c r="L44" s="34">
        <f>L37+L43</f>
        <v>0</v>
      </c>
      <c r="M44" s="34">
        <f>M37+M43</f>
        <v>0</v>
      </c>
      <c r="N44" s="34">
        <f>N37+N43</f>
        <v>8074.8</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0</v>
      </c>
      <c r="L45" s="34"/>
      <c r="M45" s="34"/>
      <c r="N45" s="34">
        <f>ROUND($C$3*P45,2)</f>
        <v>0</v>
      </c>
      <c r="O45" s="8"/>
      <c r="P45" s="9">
        <f>VLOOKUP(H45,coreratio3,6,FALSE)</f>
        <v>0</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VLOOKUP(H46,coreratio3,6,FALSE)</f>
        <v>0</v>
      </c>
      <c r="Q46" s="9"/>
    </row>
    <row r="47" spans="1:36" ht="21.95" customHeight="1" x14ac:dyDescent="0.2">
      <c r="A47" s="262"/>
      <c r="B47" s="262"/>
      <c r="C47" s="262"/>
      <c r="D47" s="262"/>
      <c r="E47" s="262"/>
      <c r="F47" s="6" t="s">
        <v>57</v>
      </c>
      <c r="G47" s="7" t="s">
        <v>23</v>
      </c>
      <c r="H47" s="6">
        <v>74500</v>
      </c>
      <c r="I47" s="6" t="s">
        <v>49</v>
      </c>
      <c r="J47" s="34"/>
      <c r="K47" s="34">
        <f t="shared" si="14"/>
        <v>987.89</v>
      </c>
      <c r="L47" s="34"/>
      <c r="M47" s="34"/>
      <c r="N47" s="34">
        <f>ROUND($L$3*P47,2)</f>
        <v>987.89</v>
      </c>
      <c r="O47" s="8"/>
      <c r="P47" s="9">
        <f>VLOOKUP(H47,coreratio3,6,FALSE)</f>
        <v>1</v>
      </c>
      <c r="Q47" s="9"/>
    </row>
    <row r="48" spans="1:36" ht="21.95" customHeight="1" x14ac:dyDescent="0.2">
      <c r="A48" s="262"/>
      <c r="B48" s="262"/>
      <c r="C48" s="262"/>
      <c r="D48" s="262"/>
      <c r="E48" s="262"/>
      <c r="F48" s="6" t="s">
        <v>57</v>
      </c>
      <c r="G48" s="7" t="s">
        <v>26</v>
      </c>
      <c r="H48" s="6">
        <v>75700</v>
      </c>
      <c r="I48" s="6" t="s">
        <v>27</v>
      </c>
      <c r="J48" s="34"/>
      <c r="K48" s="34">
        <f t="shared" si="14"/>
        <v>926.48999999999978</v>
      </c>
      <c r="L48" s="34"/>
      <c r="M48" s="34"/>
      <c r="N48" s="34">
        <f>M3-SUM(N10,N21,N35)</f>
        <v>926.48999999999978</v>
      </c>
      <c r="O48" s="8"/>
      <c r="P48" s="9">
        <f>VLOOKUP(H48,coreratio3,6,FALSE)</f>
        <v>1</v>
      </c>
      <c r="Q48" s="9"/>
    </row>
    <row r="49" spans="1:36" ht="21.95" customHeight="1" x14ac:dyDescent="0.2">
      <c r="A49" s="262"/>
      <c r="B49" s="262"/>
      <c r="C49" s="261" t="s">
        <v>31</v>
      </c>
      <c r="D49" s="261"/>
      <c r="E49" s="261"/>
      <c r="F49" s="261"/>
      <c r="G49" s="261"/>
      <c r="H49" s="261"/>
      <c r="I49" s="261"/>
      <c r="J49" s="34">
        <f>SUM(J45:J48)</f>
        <v>0</v>
      </c>
      <c r="K49" s="34">
        <f>SUM(K45:K48)</f>
        <v>1914.3799999999997</v>
      </c>
      <c r="L49" s="34">
        <f>SUM(L45:L48)</f>
        <v>0</v>
      </c>
      <c r="M49" s="34">
        <f>SUM(M45:M48)</f>
        <v>0</v>
      </c>
      <c r="N49" s="34">
        <f>SUM(N45:N48)</f>
        <v>1914.3799999999997</v>
      </c>
      <c r="O49" s="8"/>
      <c r="P49" s="9"/>
    </row>
    <row r="50" spans="1:36" ht="21.95" customHeight="1" x14ac:dyDescent="0.2">
      <c r="A50" s="262"/>
      <c r="B50" s="261" t="s">
        <v>60</v>
      </c>
      <c r="C50" s="261"/>
      <c r="D50" s="261"/>
      <c r="E50" s="261"/>
      <c r="F50" s="261"/>
      <c r="G50" s="261"/>
      <c r="H50" s="261"/>
      <c r="I50" s="261"/>
      <c r="J50" s="34">
        <f>J49</f>
        <v>0</v>
      </c>
      <c r="K50" s="34">
        <f t="shared" ref="K50:N50" si="15">K49</f>
        <v>1914.3799999999997</v>
      </c>
      <c r="L50" s="34">
        <f t="shared" si="15"/>
        <v>0</v>
      </c>
      <c r="M50" s="34">
        <f t="shared" si="15"/>
        <v>0</v>
      </c>
      <c r="N50" s="34">
        <f t="shared" si="15"/>
        <v>1914.3799999999997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VLOOKUP(H51,starratio3,6,FALSE)</f>
        <v>0</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VLOOKUP(H52,starratio3,6,FALSE)</f>
        <v>0</v>
      </c>
    </row>
    <row r="53" spans="1:36" ht="21.95" customHeight="1" x14ac:dyDescent="0.2">
      <c r="A53" s="262"/>
      <c r="B53" s="262"/>
      <c r="C53" s="262"/>
      <c r="D53" s="262"/>
      <c r="E53" s="262"/>
      <c r="F53" s="6" t="s">
        <v>62</v>
      </c>
      <c r="G53" s="7" t="s">
        <v>23</v>
      </c>
      <c r="H53" s="6">
        <v>74500</v>
      </c>
      <c r="I53" s="6" t="s">
        <v>49</v>
      </c>
      <c r="J53" s="34"/>
      <c r="K53" s="34">
        <f t="shared" si="16"/>
        <v>1249.94</v>
      </c>
      <c r="L53" s="34"/>
      <c r="M53" s="34"/>
      <c r="N53" s="34">
        <f>ROUND($L$4*P53,2)</f>
        <v>1249.94</v>
      </c>
      <c r="O53" s="8"/>
      <c r="P53" s="9">
        <f>VLOOKUP(H53,starratio3,6,FALSE)</f>
        <v>1</v>
      </c>
    </row>
    <row r="54" spans="1:36" ht="21.95" customHeight="1" x14ac:dyDescent="0.2">
      <c r="A54" s="262"/>
      <c r="B54" s="262"/>
      <c r="C54" s="262"/>
      <c r="D54" s="262"/>
      <c r="E54" s="262"/>
      <c r="F54" s="6" t="s">
        <v>62</v>
      </c>
      <c r="G54" s="7" t="s">
        <v>26</v>
      </c>
      <c r="H54" s="6">
        <v>75700</v>
      </c>
      <c r="I54" s="6" t="s">
        <v>27</v>
      </c>
      <c r="J54" s="34"/>
      <c r="K54" s="34">
        <f t="shared" si="16"/>
        <v>1172.2300000000014</v>
      </c>
      <c r="L54" s="34"/>
      <c r="M54" s="34"/>
      <c r="N54" s="34">
        <f>M4-SUM(N15,N27,N41)</f>
        <v>1172.2300000000014</v>
      </c>
      <c r="O54" s="8"/>
      <c r="P54" s="9">
        <f>VLOOKUP(H54,starratio3,6,FALSE)</f>
        <v>1</v>
      </c>
    </row>
    <row r="55" spans="1:36" ht="21.95" customHeight="1" x14ac:dyDescent="0.2">
      <c r="A55" s="262"/>
      <c r="B55" s="262"/>
      <c r="C55" s="263" t="s">
        <v>31</v>
      </c>
      <c r="D55" s="263"/>
      <c r="E55" s="263"/>
      <c r="F55" s="263"/>
      <c r="G55" s="263"/>
      <c r="H55" s="263"/>
      <c r="I55" s="263"/>
      <c r="J55" s="34">
        <f>SUM(J51:J54)</f>
        <v>0</v>
      </c>
      <c r="K55" s="34">
        <f>SUM(K51:K54)</f>
        <v>2422.1700000000014</v>
      </c>
      <c r="L55" s="34">
        <f>SUM(L51:L54)</f>
        <v>0</v>
      </c>
      <c r="M55" s="34">
        <f>SUM(M51:M54)</f>
        <v>0</v>
      </c>
      <c r="N55" s="34">
        <f>SUM(N51:N54)</f>
        <v>2422.1700000000014</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2422.1700000000014</v>
      </c>
      <c r="L56" s="34">
        <f t="shared" si="17"/>
        <v>0</v>
      </c>
      <c r="M56" s="34">
        <f t="shared" si="17"/>
        <v>0</v>
      </c>
      <c r="N56" s="34">
        <f t="shared" si="17"/>
        <v>2422.1700000000014</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4336.5500000000011</v>
      </c>
      <c r="L57" s="34">
        <f>L50+L56</f>
        <v>0</v>
      </c>
      <c r="M57" s="34">
        <f>M50+M56</f>
        <v>0</v>
      </c>
      <c r="N57" s="34">
        <f>N50+N56</f>
        <v>4336.5500000000011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VLOOKUP(H58,coreratio3,7,FALSE)</f>
        <v>0</v>
      </c>
      <c r="Q58" s="9"/>
    </row>
    <row r="59" spans="1:36" ht="21.95" customHeight="1" x14ac:dyDescent="0.2">
      <c r="A59" s="262"/>
      <c r="B59" s="262"/>
      <c r="C59" s="262"/>
      <c r="D59" s="262"/>
      <c r="E59" s="262"/>
      <c r="F59" s="6" t="s">
        <v>66</v>
      </c>
      <c r="G59" s="7" t="s">
        <v>58</v>
      </c>
      <c r="H59" s="6">
        <v>72200</v>
      </c>
      <c r="I59" s="6" t="s">
        <v>67</v>
      </c>
      <c r="J59" s="34"/>
      <c r="K59" s="34">
        <f t="shared" si="18"/>
        <v>46.93</v>
      </c>
      <c r="L59" s="34"/>
      <c r="M59" s="34"/>
      <c r="N59" s="34">
        <f>D3</f>
        <v>46.93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334.08</v>
      </c>
      <c r="L60" s="34"/>
      <c r="M60" s="34"/>
      <c r="N60" s="34">
        <f>E3</f>
        <v>334.08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484.12</v>
      </c>
      <c r="L61" s="34"/>
      <c r="M61" s="34"/>
      <c r="N61" s="34">
        <f>G3-SUM(N9,N20,N33,N46)</f>
        <v>484.12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213.06</v>
      </c>
      <c r="L62" s="34"/>
      <c r="M62" s="34"/>
      <c r="N62" s="34">
        <f>H3</f>
        <v>213.06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2743.37</v>
      </c>
      <c r="L63" s="34"/>
      <c r="M63" s="34"/>
      <c r="N63" s="34">
        <f>I3</f>
        <v>2743.37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161.29</v>
      </c>
      <c r="L64" s="34"/>
      <c r="M64" s="34"/>
      <c r="N64" s="34">
        <f>J3</f>
        <v>161.29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151.35</v>
      </c>
      <c r="L66" s="34"/>
      <c r="M66" s="34"/>
      <c r="N66" s="34">
        <f>K3</f>
        <v>151.35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4134.2</v>
      </c>
      <c r="L68" s="34">
        <f>SUM(L58:L67)</f>
        <v>0</v>
      </c>
      <c r="M68" s="34">
        <f>SUM(M58:M67)</f>
        <v>0</v>
      </c>
      <c r="N68" s="34">
        <f>SUM(N58:N67)</f>
        <v>4134.2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4134.2</v>
      </c>
      <c r="L69" s="34">
        <f t="shared" si="20"/>
        <v>0</v>
      </c>
      <c r="M69" s="34">
        <f t="shared" si="20"/>
        <v>0</v>
      </c>
      <c r="N69" s="34">
        <f t="shared" si="20"/>
        <v>4134.2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VLOOKUP(H70,starratio3,7,FALSE)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59.39</v>
      </c>
      <c r="L71" s="34"/>
      <c r="M71" s="34"/>
      <c r="N71" s="34">
        <f>D4</f>
        <v>59.39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422.69</v>
      </c>
      <c r="L72" s="34"/>
      <c r="M72" s="34"/>
      <c r="N72" s="34">
        <f>E4</f>
        <v>422.69</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612.54</v>
      </c>
      <c r="L73" s="34"/>
      <c r="M73" s="34"/>
      <c r="N73" s="34">
        <f>G4-SUM(N14,N26,N39,N52)</f>
        <v>612.54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269.58</v>
      </c>
      <c r="L74" s="34"/>
      <c r="M74" s="34"/>
      <c r="N74" s="34">
        <f>H4</f>
        <v>269.58</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3471.08</v>
      </c>
      <c r="L75" s="34"/>
      <c r="M75" s="34"/>
      <c r="N75" s="34">
        <f>I4</f>
        <v>3471.08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204.07</v>
      </c>
      <c r="L76" s="34"/>
      <c r="M76" s="34"/>
      <c r="N76" s="34">
        <f>J4</f>
        <v>204.07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191.5</v>
      </c>
      <c r="L78" s="34"/>
      <c r="M78" s="34"/>
      <c r="N78" s="34">
        <f>K4</f>
        <v>191.5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5230.8499999999995</v>
      </c>
      <c r="L80" s="34">
        <f>SUM(L70:L79)</f>
        <v>0</v>
      </c>
      <c r="M80" s="34">
        <f>SUM(M70:M79)</f>
        <v>0</v>
      </c>
      <c r="N80" s="34">
        <f>SUM(N70:N79)</f>
        <v>5230.8499999999995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5230.8499999999995</v>
      </c>
      <c r="L81" s="34">
        <f t="shared" si="23"/>
        <v>0</v>
      </c>
      <c r="M81" s="34">
        <f t="shared" si="23"/>
        <v>0</v>
      </c>
      <c r="N81" s="34">
        <f t="shared" si="23"/>
        <v>5230.8499999999995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9365.0499999999993</v>
      </c>
      <c r="L82" s="34">
        <f>L69+L81</f>
        <v>0</v>
      </c>
      <c r="M82" s="34">
        <f>M69+M81</f>
        <v>0</v>
      </c>
      <c r="N82" s="34">
        <f>N69+N81</f>
        <v>9365.0499999999993</v>
      </c>
      <c r="O82" s="8"/>
      <c r="R82" s="14"/>
      <c r="Z82" s="15"/>
      <c r="AJ82" s="16"/>
    </row>
    <row r="83" spans="1:36" s="31" customFormat="1" ht="21.95" customHeight="1" x14ac:dyDescent="0.2">
      <c r="A83" s="275" t="s">
        <v>82</v>
      </c>
      <c r="B83" s="275"/>
      <c r="C83" s="275"/>
      <c r="D83" s="275"/>
      <c r="E83" s="275"/>
      <c r="F83" s="275"/>
      <c r="G83" s="275"/>
      <c r="H83" s="275"/>
      <c r="I83" s="275"/>
      <c r="J83" s="35">
        <f>J18+J31+J44+J57+J82</f>
        <v>103481.24400000001</v>
      </c>
      <c r="K83" s="35">
        <f>K18+K31+K44+K57+K82</f>
        <v>435701.37599999999</v>
      </c>
      <c r="L83" s="35">
        <f>L18+L31+L44+L57+L82</f>
        <v>362184.35399999993</v>
      </c>
      <c r="M83" s="35">
        <f>M18+M31+M44+M57+M82</f>
        <v>155221.86599999998</v>
      </c>
      <c r="N83" s="38">
        <f>N18+N31+N44+N57+N82</f>
        <v>1056588.8400000001</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6A611C4-26D8-4592-B995-D3F5D37B82F8}">
          <x14:formula1>
            <xm:f>'2026 COB breakdown_Kris'!$A$5:$A$103</xm:f>
          </x14:formula1>
          <xm:sqref>A3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1D2B7-7415-487B-AFC9-76E0D25BC303}">
  <dimension ref="A1:AJ116"/>
  <sheetViews>
    <sheetView topLeftCell="A57"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213</v>
      </c>
      <c r="B3" s="58" t="s">
        <v>158</v>
      </c>
      <c r="C3" s="59">
        <f>VLOOKUP($A3,COBTABLE,15, FALSE)</f>
        <v>14468.45</v>
      </c>
      <c r="D3" s="59">
        <f>VLOOKUP($A3,COBTABLE,16, FALSE)</f>
        <v>190.5</v>
      </c>
      <c r="E3" s="59">
        <f>VLOOKUP($A3,COBTABLE,17, FALSE)</f>
        <v>1355.99</v>
      </c>
      <c r="F3" s="59">
        <f>VLOOKUP($A3,COBTABLE,18, FALSE)</f>
        <v>0</v>
      </c>
      <c r="G3" s="59">
        <f>VLOOKUP($A3,COBTABLE,19, FALSE)</f>
        <v>1965</v>
      </c>
      <c r="H3" s="59">
        <f>VLOOKUP($A3,COBTABLE,20, FALSE)</f>
        <v>864.8</v>
      </c>
      <c r="I3" s="59">
        <f>VLOOKUP($A3,COBTABLE,21, FALSE)</f>
        <v>11135.08</v>
      </c>
      <c r="J3" s="59">
        <f>VLOOKUP($A3,COBTABLE,22, FALSE)</f>
        <v>654.64</v>
      </c>
      <c r="K3" s="59">
        <f>VLOOKUP($A3,COBTABLE,23, FALSE)</f>
        <v>614.32000000000005</v>
      </c>
      <c r="L3" s="59">
        <f>VLOOKUP($A3,COBTABLE,24, FALSE)</f>
        <v>4009.74</v>
      </c>
      <c r="M3" s="59">
        <f>VLOOKUP($A3,COBTABLE,25, FALSE)</f>
        <v>3760.4800000000032</v>
      </c>
      <c r="N3" s="60">
        <f>VLOOKUP($A3, countrygrant,2,FALSE)</f>
        <v>456818.18</v>
      </c>
      <c r="O3" s="92">
        <f>SUM(C3:N3)</f>
        <v>495837.18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14468.45</v>
      </c>
      <c r="D5" s="62">
        <f t="shared" ref="D5:O5" si="1">SUM(D3:D4)</f>
        <v>190.5</v>
      </c>
      <c r="E5" s="62">
        <f t="shared" si="1"/>
        <v>1355.99</v>
      </c>
      <c r="F5" s="62">
        <f t="shared" si="1"/>
        <v>0</v>
      </c>
      <c r="G5" s="62">
        <f t="shared" si="1"/>
        <v>1965</v>
      </c>
      <c r="H5" s="62">
        <f t="shared" si="1"/>
        <v>864.8</v>
      </c>
      <c r="I5" s="62">
        <f t="shared" si="1"/>
        <v>11135.08</v>
      </c>
      <c r="J5" s="62">
        <f t="shared" si="1"/>
        <v>654.64</v>
      </c>
      <c r="K5" s="62">
        <f t="shared" si="1"/>
        <v>614.32000000000005</v>
      </c>
      <c r="L5" s="62">
        <f t="shared" si="1"/>
        <v>4009.74</v>
      </c>
      <c r="M5" s="62">
        <f t="shared" si="1"/>
        <v>3760.4800000000032</v>
      </c>
      <c r="N5" s="62">
        <f t="shared" si="1"/>
        <v>456818.18</v>
      </c>
      <c r="O5" s="62">
        <f t="shared" si="1"/>
        <v>495837.18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14468.45</v>
      </c>
      <c r="L45" s="34"/>
      <c r="M45" s="34"/>
      <c r="N45" s="34">
        <f>ROUND($C$3*P45,2)</f>
        <v>14468.45</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4009.74</v>
      </c>
      <c r="L47" s="34"/>
      <c r="M47" s="34"/>
      <c r="N47" s="34">
        <f>ROUND($L$3*P47,2)</f>
        <v>4009.74</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3760.4800000000032</v>
      </c>
      <c r="L48" s="34"/>
      <c r="M48" s="34"/>
      <c r="N48" s="34">
        <f>M3-SUM(N10,N21,N35)</f>
        <v>3760.4800000000032</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22238.670000000006</v>
      </c>
      <c r="L49" s="34">
        <f>SUM(L45:L48)</f>
        <v>0</v>
      </c>
      <c r="M49" s="34">
        <f>SUM(M45:M48)</f>
        <v>0</v>
      </c>
      <c r="N49" s="34">
        <f>SUM(N45:N48)</f>
        <v>22238.670000000006</v>
      </c>
      <c r="O49" s="8"/>
      <c r="P49" s="9"/>
    </row>
    <row r="50" spans="1:36" ht="21.95" customHeight="1" x14ac:dyDescent="0.2">
      <c r="A50" s="262"/>
      <c r="B50" s="261" t="s">
        <v>60</v>
      </c>
      <c r="C50" s="261"/>
      <c r="D50" s="261"/>
      <c r="E50" s="261"/>
      <c r="F50" s="261"/>
      <c r="G50" s="261"/>
      <c r="H50" s="261"/>
      <c r="I50" s="261"/>
      <c r="J50" s="34">
        <f>J49</f>
        <v>0</v>
      </c>
      <c r="K50" s="34">
        <f t="shared" ref="K50:N50" si="15">K49</f>
        <v>22238.670000000006</v>
      </c>
      <c r="L50" s="34">
        <f t="shared" si="15"/>
        <v>0</v>
      </c>
      <c r="M50" s="34">
        <f t="shared" si="15"/>
        <v>0</v>
      </c>
      <c r="N50" s="34">
        <f t="shared" si="15"/>
        <v>22238.670000000006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22238.670000000006</v>
      </c>
      <c r="L57" s="34">
        <f>L50+L56</f>
        <v>0</v>
      </c>
      <c r="M57" s="34">
        <f>M50+M56</f>
        <v>0</v>
      </c>
      <c r="N57" s="34">
        <f>N50+N56</f>
        <v>22238.670000000006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190.5</v>
      </c>
      <c r="L59" s="34"/>
      <c r="M59" s="34"/>
      <c r="N59" s="34">
        <f>D3</f>
        <v>190.5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1355.99</v>
      </c>
      <c r="L60" s="34"/>
      <c r="M60" s="34"/>
      <c r="N60" s="34">
        <f>E3</f>
        <v>1355.99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1965</v>
      </c>
      <c r="L61" s="34"/>
      <c r="M61" s="34"/>
      <c r="N61" s="34">
        <f>G3-SUM(N9,N20,N33,N46)</f>
        <v>1965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864.8</v>
      </c>
      <c r="L62" s="34"/>
      <c r="M62" s="34"/>
      <c r="N62" s="34">
        <f>H3</f>
        <v>864.8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11135.08</v>
      </c>
      <c r="L63" s="34"/>
      <c r="M63" s="34"/>
      <c r="N63" s="34">
        <f>I3</f>
        <v>11135.08</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654.64</v>
      </c>
      <c r="L64" s="34"/>
      <c r="M64" s="34"/>
      <c r="N64" s="34">
        <f>J3</f>
        <v>654.64</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614.32000000000005</v>
      </c>
      <c r="L66" s="34"/>
      <c r="M66" s="34"/>
      <c r="N66" s="34">
        <f>K3</f>
        <v>614.32000000000005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16780.329999999998</v>
      </c>
      <c r="L68" s="34">
        <f>SUM(L58:L67)</f>
        <v>0</v>
      </c>
      <c r="M68" s="34">
        <f>SUM(M58:M67)</f>
        <v>0</v>
      </c>
      <c r="N68" s="34">
        <f>SUM(N58:N67)</f>
        <v>16780.329999999998</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16780.329999999998</v>
      </c>
      <c r="L69" s="34">
        <f t="shared" si="20"/>
        <v>0</v>
      </c>
      <c r="M69" s="34">
        <f t="shared" si="20"/>
        <v>0</v>
      </c>
      <c r="N69" s="34">
        <f t="shared" si="20"/>
        <v>16780.329999999998</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16780.329999999998</v>
      </c>
      <c r="L82" s="34">
        <f>L69+L81</f>
        <v>0</v>
      </c>
      <c r="M82" s="34">
        <f>M69+M81</f>
        <v>0</v>
      </c>
      <c r="N82" s="34">
        <f>N69+N81</f>
        <v>16780.329999999998</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221746.272</v>
      </c>
      <c r="L83" s="35">
        <f>L18+L31+L44+L57+L82</f>
        <v>159886.36299999998</v>
      </c>
      <c r="M83" s="35">
        <f>M18+M31+M44+M57+M82</f>
        <v>68522.726999999999</v>
      </c>
      <c r="N83" s="38">
        <f>N18+N31+N44+N57+N82</f>
        <v>495837.18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488F3D5-16B3-4EA3-A866-112CDACADD24}">
          <x14:formula1>
            <xm:f>'2026 COB breakdown_Kris'!$A$5:$A$103</xm:f>
          </x14:formula1>
          <xm:sqref>A3</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9FE78-2F62-4099-B305-A331C7F9F6F2}">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215</v>
      </c>
      <c r="B3" s="58" t="s">
        <v>158</v>
      </c>
      <c r="C3" s="59">
        <f>VLOOKUP($A3,COBTABLE,15, FALSE)</f>
        <v>11467.15</v>
      </c>
      <c r="D3" s="59">
        <f>VLOOKUP($A3,COBTABLE,16, FALSE)</f>
        <v>150.99</v>
      </c>
      <c r="E3" s="59">
        <f>VLOOKUP($A3,COBTABLE,17, FALSE)</f>
        <v>1074.71</v>
      </c>
      <c r="F3" s="59">
        <f>VLOOKUP($A3,COBTABLE,18, FALSE)</f>
        <v>0</v>
      </c>
      <c r="G3" s="59">
        <f>VLOOKUP($A3,COBTABLE,19, FALSE)</f>
        <v>1557.39</v>
      </c>
      <c r="H3" s="59">
        <f>VLOOKUP($A3,COBTABLE,20, FALSE)</f>
        <v>685.41</v>
      </c>
      <c r="I3" s="59">
        <f>VLOOKUP($A3,COBTABLE,21, FALSE)</f>
        <v>8825.24</v>
      </c>
      <c r="J3" s="59">
        <f>VLOOKUP($A3,COBTABLE,22, FALSE)</f>
        <v>518.84</v>
      </c>
      <c r="K3" s="59">
        <f>VLOOKUP($A3,COBTABLE,23, FALSE)</f>
        <v>486.89</v>
      </c>
      <c r="L3" s="59">
        <f>VLOOKUP($A3,COBTABLE,24, FALSE)</f>
        <v>3177.97</v>
      </c>
      <c r="M3" s="59">
        <f>VLOOKUP($A3,COBTABLE,25, FALSE)</f>
        <v>2980.4000000000015</v>
      </c>
      <c r="N3" s="60">
        <f>VLOOKUP($A3, countrygrant,2,FALSE)</f>
        <v>456818.18</v>
      </c>
      <c r="O3" s="92">
        <f>SUM(C3:N3)</f>
        <v>487743.17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11467.15</v>
      </c>
      <c r="D5" s="62">
        <f t="shared" ref="D5:O5" si="1">SUM(D3:D4)</f>
        <v>150.99</v>
      </c>
      <c r="E5" s="62">
        <f t="shared" si="1"/>
        <v>1074.71</v>
      </c>
      <c r="F5" s="62">
        <f t="shared" si="1"/>
        <v>0</v>
      </c>
      <c r="G5" s="62">
        <f t="shared" si="1"/>
        <v>1557.39</v>
      </c>
      <c r="H5" s="62">
        <f t="shared" si="1"/>
        <v>685.41</v>
      </c>
      <c r="I5" s="62">
        <f t="shared" si="1"/>
        <v>8825.24</v>
      </c>
      <c r="J5" s="62">
        <f t="shared" si="1"/>
        <v>518.84</v>
      </c>
      <c r="K5" s="62">
        <f t="shared" si="1"/>
        <v>486.89</v>
      </c>
      <c r="L5" s="62">
        <f t="shared" si="1"/>
        <v>3177.97</v>
      </c>
      <c r="M5" s="62">
        <f t="shared" si="1"/>
        <v>2980.4000000000015</v>
      </c>
      <c r="N5" s="62">
        <f t="shared" si="1"/>
        <v>456818.18</v>
      </c>
      <c r="O5" s="62">
        <f t="shared" si="1"/>
        <v>487743.17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11467.15</v>
      </c>
      <c r="L45" s="34"/>
      <c r="M45" s="34"/>
      <c r="N45" s="34">
        <f>ROUND($C$3*P45,2)</f>
        <v>11467.15</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3177.97</v>
      </c>
      <c r="L47" s="34"/>
      <c r="M47" s="34"/>
      <c r="N47" s="34">
        <f>ROUND($L$3*P47,2)</f>
        <v>3177.97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2980.4000000000015</v>
      </c>
      <c r="L48" s="34"/>
      <c r="M48" s="34"/>
      <c r="N48" s="34">
        <f>M3-SUM(N10,N21,N35)</f>
        <v>2980.4000000000015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17625.52</v>
      </c>
      <c r="L49" s="34">
        <f>SUM(L45:L48)</f>
        <v>0</v>
      </c>
      <c r="M49" s="34">
        <f>SUM(M45:M48)</f>
        <v>0</v>
      </c>
      <c r="N49" s="34">
        <f>SUM(N45:N48)</f>
        <v>17625.52</v>
      </c>
      <c r="O49" s="8"/>
      <c r="P49" s="9"/>
    </row>
    <row r="50" spans="1:36" ht="21.95" customHeight="1" x14ac:dyDescent="0.2">
      <c r="A50" s="262"/>
      <c r="B50" s="261" t="s">
        <v>60</v>
      </c>
      <c r="C50" s="261"/>
      <c r="D50" s="261"/>
      <c r="E50" s="261"/>
      <c r="F50" s="261"/>
      <c r="G50" s="261"/>
      <c r="H50" s="261"/>
      <c r="I50" s="261"/>
      <c r="J50" s="34">
        <f>J49</f>
        <v>0</v>
      </c>
      <c r="K50" s="34">
        <f t="shared" ref="K50:N50" si="15">K49</f>
        <v>17625.52</v>
      </c>
      <c r="L50" s="34">
        <f t="shared" si="15"/>
        <v>0</v>
      </c>
      <c r="M50" s="34">
        <f t="shared" si="15"/>
        <v>0</v>
      </c>
      <c r="N50" s="34">
        <f t="shared" si="15"/>
        <v>17625.52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17625.52</v>
      </c>
      <c r="L57" s="34">
        <f>L50+L56</f>
        <v>0</v>
      </c>
      <c r="M57" s="34">
        <f>M50+M56</f>
        <v>0</v>
      </c>
      <c r="N57" s="34">
        <f>N50+N56</f>
        <v>17625.52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150.99</v>
      </c>
      <c r="L59" s="34"/>
      <c r="M59" s="34"/>
      <c r="N59" s="34">
        <f>D3</f>
        <v>150.99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1074.71</v>
      </c>
      <c r="L60" s="34"/>
      <c r="M60" s="34"/>
      <c r="N60" s="34">
        <f>E3</f>
        <v>1074.71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1557.39</v>
      </c>
      <c r="L61" s="34"/>
      <c r="M61" s="34"/>
      <c r="N61" s="34">
        <f>G3-SUM(N9,N20,N33,N46)</f>
        <v>1557.39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685.41</v>
      </c>
      <c r="L62" s="34"/>
      <c r="M62" s="34"/>
      <c r="N62" s="34">
        <f>H3</f>
        <v>685.41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8825.24</v>
      </c>
      <c r="L63" s="34"/>
      <c r="M63" s="34"/>
      <c r="N63" s="34">
        <f>I3</f>
        <v>8825.24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518.84</v>
      </c>
      <c r="L64" s="34"/>
      <c r="M64" s="34"/>
      <c r="N64" s="34">
        <f>J3</f>
        <v>518.84</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486.89</v>
      </c>
      <c r="L66" s="34"/>
      <c r="M66" s="34"/>
      <c r="N66" s="34">
        <f>K3</f>
        <v>486.89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13299.47</v>
      </c>
      <c r="L68" s="34">
        <f>SUM(L58:L67)</f>
        <v>0</v>
      </c>
      <c r="M68" s="34">
        <f>SUM(M58:M67)</f>
        <v>0</v>
      </c>
      <c r="N68" s="34">
        <f>SUM(N58:N67)</f>
        <v>13299.47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13299.47</v>
      </c>
      <c r="L69" s="34">
        <f t="shared" si="20"/>
        <v>0</v>
      </c>
      <c r="M69" s="34">
        <f t="shared" si="20"/>
        <v>0</v>
      </c>
      <c r="N69" s="34">
        <f t="shared" si="20"/>
        <v>13299.47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13299.47</v>
      </c>
      <c r="L82" s="34">
        <f>L69+L81</f>
        <v>0</v>
      </c>
      <c r="M82" s="34">
        <f>M69+M81</f>
        <v>0</v>
      </c>
      <c r="N82" s="34">
        <f>N69+N81</f>
        <v>13299.47</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213652.26199999999</v>
      </c>
      <c r="L83" s="35">
        <f>L18+L31+L44+L57+L82</f>
        <v>159886.36299999998</v>
      </c>
      <c r="M83" s="35">
        <f>M18+M31+M44+M57+M82</f>
        <v>68522.726999999999</v>
      </c>
      <c r="N83" s="38">
        <f>N18+N31+N44+N57+N82</f>
        <v>487743.17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8F26D72-1BAC-4B8E-AFE5-9062B8691182}">
          <x14:formula1>
            <xm:f>'2026 COB breakdown_Kris'!$A$5:$A$103</xm:f>
          </x14:formula1>
          <xm:sqref>A3</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3B7D6-0B36-4611-9BE4-BFC4E975E79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216</v>
      </c>
      <c r="B3" s="58" t="s">
        <v>158</v>
      </c>
      <c r="C3" s="59">
        <f>VLOOKUP($A3,COBTABLE,15, FALSE)</f>
        <v>8332.2099999999991</v>
      </c>
      <c r="D3" s="59">
        <f>VLOOKUP($A3,COBTABLE,16, FALSE)</f>
        <v>109.71</v>
      </c>
      <c r="E3" s="59">
        <f>VLOOKUP($A3,COBTABLE,17, FALSE)</f>
        <v>780.9</v>
      </c>
      <c r="F3" s="59">
        <f>VLOOKUP($A3,COBTABLE,18, FALSE)</f>
        <v>0</v>
      </c>
      <c r="G3" s="59">
        <f>VLOOKUP($A3,COBTABLE,19, FALSE)</f>
        <v>1131.6199999999999</v>
      </c>
      <c r="H3" s="59">
        <f>VLOOKUP($A3,COBTABLE,20, FALSE)</f>
        <v>498.03</v>
      </c>
      <c r="I3" s="59">
        <f>VLOOKUP($A3,COBTABLE,21, FALSE)</f>
        <v>6412.56</v>
      </c>
      <c r="J3" s="59">
        <f>VLOOKUP($A3,COBTABLE,22, FALSE)</f>
        <v>377</v>
      </c>
      <c r="K3" s="59">
        <f>VLOOKUP($A3,COBTABLE,23, FALSE)</f>
        <v>353.78</v>
      </c>
      <c r="L3" s="59">
        <f>VLOOKUP($A3,COBTABLE,24, FALSE)</f>
        <v>2309.16</v>
      </c>
      <c r="M3" s="59">
        <f>VLOOKUP($A3,COBTABLE,25, FALSE)</f>
        <v>2165.6100000000042</v>
      </c>
      <c r="N3" s="60">
        <f>VLOOKUP($A3, countrygrant,2,FALSE)</f>
        <v>456818.18</v>
      </c>
      <c r="O3" s="92">
        <f>SUM(C3:N3)</f>
        <v>479288.76</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6110.28</v>
      </c>
      <c r="D4" s="59">
        <f>VLOOKUP($A3,COBTABLE,28, FALSE)</f>
        <v>80.45</v>
      </c>
      <c r="E4" s="59">
        <f>VLOOKUP($A3,COBTABLE,29, FALSE)</f>
        <v>572.66</v>
      </c>
      <c r="F4" s="59">
        <f>VLOOKUP($A3,COBTABLE,30, FALSE)</f>
        <v>0</v>
      </c>
      <c r="G4" s="59">
        <f>VLOOKUP($A3,COBTABLE,31, FALSE)</f>
        <v>829.85</v>
      </c>
      <c r="H4" s="59">
        <f>VLOOKUP($A3,COBTABLE,32, FALSE)</f>
        <v>365.22</v>
      </c>
      <c r="I4" s="59">
        <f>VLOOKUP($A3,COBTABLE,33, FALSE)</f>
        <v>4702.54</v>
      </c>
      <c r="J4" s="59">
        <f>VLOOKUP($A3,COBTABLE,34, FALSE)</f>
        <v>276.47000000000003</v>
      </c>
      <c r="K4" s="59">
        <f>VLOOKUP($A3,COBTABLE,35, FALSE)</f>
        <v>259.43</v>
      </c>
      <c r="L4" s="59">
        <f>VLOOKUP($A3,COBTABLE,36, FALSE)</f>
        <v>1693.39</v>
      </c>
      <c r="M4" s="59">
        <f>VLOOKUP($A3,COBTABLE,37, FALSE)</f>
        <v>1588.1299999999992</v>
      </c>
      <c r="N4" s="60">
        <f>VLOOKUP($A3, countrygrant,3,FALSE)</f>
        <v>335000</v>
      </c>
      <c r="O4" s="92">
        <f t="shared" ref="O4" si="0">SUM(C4:N4)</f>
        <v>351478.42</v>
      </c>
      <c r="P4" s="28"/>
      <c r="Q4" s="28"/>
      <c r="R4" s="28"/>
      <c r="S4" s="28"/>
      <c r="T4" s="28"/>
      <c r="U4" s="28"/>
      <c r="V4" s="28"/>
      <c r="W4" s="28"/>
      <c r="X4" s="28"/>
      <c r="Y4" s="28"/>
      <c r="Z4" s="28"/>
      <c r="AA4" s="28"/>
      <c r="AB4" s="28"/>
      <c r="AC4" s="28"/>
    </row>
    <row r="5" spans="1:36" s="53" customFormat="1" ht="12" customHeight="1" x14ac:dyDescent="0.25">
      <c r="A5" s="278"/>
      <c r="B5" s="61" t="s">
        <v>156</v>
      </c>
      <c r="C5" s="62">
        <f>SUM(C3:C4)</f>
        <v>14442.489999999998</v>
      </c>
      <c r="D5" s="62">
        <f t="shared" ref="D5:O5" si="1">SUM(D3:D4)</f>
        <v>190.16</v>
      </c>
      <c r="E5" s="62">
        <f t="shared" si="1"/>
        <v>1353.56</v>
      </c>
      <c r="F5" s="62">
        <f t="shared" si="1"/>
        <v>0</v>
      </c>
      <c r="G5" s="62">
        <f t="shared" si="1"/>
        <v>1961.4699999999998</v>
      </c>
      <c r="H5" s="62">
        <f t="shared" si="1"/>
        <v>863.25</v>
      </c>
      <c r="I5" s="62">
        <f t="shared" si="1"/>
        <v>11115.1</v>
      </c>
      <c r="J5" s="62">
        <f t="shared" si="1"/>
        <v>653.47</v>
      </c>
      <c r="K5" s="62">
        <f t="shared" si="1"/>
        <v>613.21</v>
      </c>
      <c r="L5" s="62">
        <f t="shared" si="1"/>
        <v>4002.55</v>
      </c>
      <c r="M5" s="62">
        <f t="shared" si="1"/>
        <v>3753.7400000000034</v>
      </c>
      <c r="N5" s="62">
        <f t="shared" si="1"/>
        <v>791818.17999999993</v>
      </c>
      <c r="O5" s="62">
        <f t="shared" si="1"/>
        <v>830767.17999999993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33500</v>
      </c>
      <c r="K28" s="34">
        <f>$N28*0.4</f>
        <v>134000</v>
      </c>
      <c r="L28" s="34">
        <f>$N28*0.35</f>
        <v>117249.99999999999</v>
      </c>
      <c r="M28" s="34">
        <f>$N28*0.15</f>
        <v>50250</v>
      </c>
      <c r="N28" s="34">
        <f>N4</f>
        <v>335000</v>
      </c>
      <c r="O28" s="8"/>
      <c r="P28" s="9">
        <f>VLOOKUP(H28,starratio4,4,FALSE)</f>
        <v>0</v>
      </c>
    </row>
    <row r="29" spans="1:36" ht="21.95" customHeight="1" x14ac:dyDescent="0.2">
      <c r="A29" s="262"/>
      <c r="B29" s="262"/>
      <c r="C29" s="263" t="s">
        <v>31</v>
      </c>
      <c r="D29" s="263"/>
      <c r="E29" s="263"/>
      <c r="F29" s="263"/>
      <c r="G29" s="263"/>
      <c r="H29" s="263"/>
      <c r="I29" s="263"/>
      <c r="J29" s="34">
        <f>SUM(J25:J28)</f>
        <v>33500</v>
      </c>
      <c r="K29" s="34">
        <f>SUM(K25:K28)</f>
        <v>134000</v>
      </c>
      <c r="L29" s="34">
        <f>SUM(L25:L28)</f>
        <v>117249.99999999999</v>
      </c>
      <c r="M29" s="34">
        <f>SUM(M25:M28)</f>
        <v>50250</v>
      </c>
      <c r="N29" s="34">
        <f>SUM(N25:N28)</f>
        <v>335000</v>
      </c>
      <c r="O29" s="8"/>
      <c r="P29" s="9"/>
    </row>
    <row r="30" spans="1:36" ht="21.95" customHeight="1" x14ac:dyDescent="0.2">
      <c r="A30" s="262"/>
      <c r="B30" s="263" t="s">
        <v>44</v>
      </c>
      <c r="C30" s="263"/>
      <c r="D30" s="263"/>
      <c r="E30" s="263"/>
      <c r="F30" s="263"/>
      <c r="G30" s="263"/>
      <c r="H30" s="263"/>
      <c r="I30" s="263"/>
      <c r="J30" s="34">
        <f>J29</f>
        <v>33500</v>
      </c>
      <c r="K30" s="34">
        <f t="shared" ref="K30:N30" si="9">K29</f>
        <v>134000</v>
      </c>
      <c r="L30" s="34">
        <f t="shared" si="9"/>
        <v>117249.99999999999</v>
      </c>
      <c r="M30" s="34">
        <f t="shared" si="9"/>
        <v>50250</v>
      </c>
      <c r="N30" s="34">
        <f t="shared" si="9"/>
        <v>335000</v>
      </c>
      <c r="O30" s="8"/>
      <c r="Q30" s="10"/>
      <c r="Z30" s="11"/>
      <c r="AC30" s="12"/>
      <c r="AD30" s="13"/>
    </row>
    <row r="31" spans="1:36" ht="21.95" customHeight="1" x14ac:dyDescent="0.2">
      <c r="A31" s="261" t="s">
        <v>45</v>
      </c>
      <c r="B31" s="261"/>
      <c r="C31" s="261"/>
      <c r="D31" s="261"/>
      <c r="E31" s="261"/>
      <c r="F31" s="261"/>
      <c r="G31" s="261"/>
      <c r="H31" s="261"/>
      <c r="I31" s="261"/>
      <c r="J31" s="34">
        <f>J24+J30</f>
        <v>79181.817999999999</v>
      </c>
      <c r="K31" s="34">
        <f>K24+K30</f>
        <v>316727.272</v>
      </c>
      <c r="L31" s="34">
        <f>L24+L30</f>
        <v>277136.36299999995</v>
      </c>
      <c r="M31" s="34">
        <f>M24+M30</f>
        <v>118772.727</v>
      </c>
      <c r="N31" s="34">
        <f>N24+N30</f>
        <v>791818.17999999993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8332.2099999999991</v>
      </c>
      <c r="L45" s="34"/>
      <c r="M45" s="34"/>
      <c r="N45" s="34">
        <f>ROUND($C$3*P45,2)</f>
        <v>8332.2099999999991</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2309.16</v>
      </c>
      <c r="L47" s="34"/>
      <c r="M47" s="34"/>
      <c r="N47" s="34">
        <f>ROUND($L$3*P47,2)</f>
        <v>2309.16</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2165.6100000000042</v>
      </c>
      <c r="L48" s="34"/>
      <c r="M48" s="34"/>
      <c r="N48" s="34">
        <f>M3-SUM(N10,N21,N35)</f>
        <v>2165.6100000000042</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12806.980000000003</v>
      </c>
      <c r="L49" s="34">
        <f>SUM(L45:L48)</f>
        <v>0</v>
      </c>
      <c r="M49" s="34">
        <f>SUM(M45:M48)</f>
        <v>0</v>
      </c>
      <c r="N49" s="34">
        <f>SUM(N45:N48)</f>
        <v>12806.980000000003</v>
      </c>
      <c r="O49" s="8"/>
      <c r="P49" s="9"/>
    </row>
    <row r="50" spans="1:36" ht="21.95" customHeight="1" x14ac:dyDescent="0.2">
      <c r="A50" s="262"/>
      <c r="B50" s="261" t="s">
        <v>60</v>
      </c>
      <c r="C50" s="261"/>
      <c r="D50" s="261"/>
      <c r="E50" s="261"/>
      <c r="F50" s="261"/>
      <c r="G50" s="261"/>
      <c r="H50" s="261"/>
      <c r="I50" s="261"/>
      <c r="J50" s="34">
        <f>J49</f>
        <v>0</v>
      </c>
      <c r="K50" s="34">
        <f t="shared" ref="K50:N50" si="15">K49</f>
        <v>12806.980000000003</v>
      </c>
      <c r="L50" s="34">
        <f t="shared" si="15"/>
        <v>0</v>
      </c>
      <c r="M50" s="34">
        <f t="shared" si="15"/>
        <v>0</v>
      </c>
      <c r="N50" s="34">
        <f t="shared" si="15"/>
        <v>12806.980000000003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6110.28</v>
      </c>
      <c r="L51" s="34"/>
      <c r="M51" s="34"/>
      <c r="N51" s="34">
        <f>ROUND($C$4*P51,2)</f>
        <v>6110.28</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1693.39</v>
      </c>
      <c r="L53" s="34"/>
      <c r="M53" s="34"/>
      <c r="N53" s="34">
        <f>ROUND($L$4*P53,2)</f>
        <v>1693.39</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1588.1299999999992</v>
      </c>
      <c r="L54" s="34"/>
      <c r="M54" s="34"/>
      <c r="N54" s="34">
        <f>M4-SUM(N15,N27,N41)</f>
        <v>1588.1299999999992</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9391.7999999999993</v>
      </c>
      <c r="L55" s="34">
        <f>SUM(L51:L54)</f>
        <v>0</v>
      </c>
      <c r="M55" s="34">
        <f>SUM(M51:M54)</f>
        <v>0</v>
      </c>
      <c r="N55" s="34">
        <f>SUM(N51:N54)</f>
        <v>9391.7999999999993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9391.7999999999993</v>
      </c>
      <c r="L56" s="34">
        <f t="shared" si="17"/>
        <v>0</v>
      </c>
      <c r="M56" s="34">
        <f t="shared" si="17"/>
        <v>0</v>
      </c>
      <c r="N56" s="34">
        <f t="shared" si="17"/>
        <v>9391.7999999999993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22198.780000000002</v>
      </c>
      <c r="L57" s="34">
        <f>L50+L56</f>
        <v>0</v>
      </c>
      <c r="M57" s="34">
        <f>M50+M56</f>
        <v>0</v>
      </c>
      <c r="N57" s="34">
        <f>N50+N56</f>
        <v>22198.780000000002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109.71</v>
      </c>
      <c r="L59" s="34"/>
      <c r="M59" s="34"/>
      <c r="N59" s="34">
        <f>D3</f>
        <v>109.71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780.9</v>
      </c>
      <c r="L60" s="34"/>
      <c r="M60" s="34"/>
      <c r="N60" s="34">
        <f>E3</f>
        <v>780.9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1131.6199999999999</v>
      </c>
      <c r="L61" s="34"/>
      <c r="M61" s="34"/>
      <c r="N61" s="34">
        <f>G3-SUM(N9,N20,N33,N46)</f>
        <v>1131.6199999999999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498.03</v>
      </c>
      <c r="L62" s="34"/>
      <c r="M62" s="34"/>
      <c r="N62" s="34">
        <f>H3</f>
        <v>498.03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6412.56</v>
      </c>
      <c r="L63" s="34"/>
      <c r="M63" s="34"/>
      <c r="N63" s="34">
        <f>I3</f>
        <v>6412.56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377</v>
      </c>
      <c r="L64" s="34"/>
      <c r="M64" s="34"/>
      <c r="N64" s="34">
        <f>J3</f>
        <v>377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353.78</v>
      </c>
      <c r="L66" s="34"/>
      <c r="M66" s="34"/>
      <c r="N66" s="34">
        <f>K3</f>
        <v>353.78</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9663.6</v>
      </c>
      <c r="L68" s="34">
        <f>SUM(L58:L67)</f>
        <v>0</v>
      </c>
      <c r="M68" s="34">
        <f>SUM(M58:M67)</f>
        <v>0</v>
      </c>
      <c r="N68" s="34">
        <f>SUM(N58:N67)</f>
        <v>9663.6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9663.6</v>
      </c>
      <c r="L69" s="34">
        <f t="shared" si="20"/>
        <v>0</v>
      </c>
      <c r="M69" s="34">
        <f t="shared" si="20"/>
        <v>0</v>
      </c>
      <c r="N69" s="34">
        <f t="shared" si="20"/>
        <v>9663.6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80.45</v>
      </c>
      <c r="L71" s="34"/>
      <c r="M71" s="34"/>
      <c r="N71" s="34">
        <f>D4</f>
        <v>80.45</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572.66</v>
      </c>
      <c r="L72" s="34"/>
      <c r="M72" s="34"/>
      <c r="N72" s="34">
        <f>E4</f>
        <v>572.66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829.85</v>
      </c>
      <c r="L73" s="34"/>
      <c r="M73" s="34"/>
      <c r="N73" s="34">
        <f>G4-SUM(N14,N26,N39,N52)</f>
        <v>829.85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365.22</v>
      </c>
      <c r="L74" s="34"/>
      <c r="M74" s="34"/>
      <c r="N74" s="34">
        <f>H4</f>
        <v>365.22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4702.54</v>
      </c>
      <c r="L75" s="34"/>
      <c r="M75" s="34"/>
      <c r="N75" s="34">
        <f>I4</f>
        <v>4702.54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276.47000000000003</v>
      </c>
      <c r="L76" s="34"/>
      <c r="M76" s="34"/>
      <c r="N76" s="34">
        <f>J4</f>
        <v>276.47000000000003</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259.43</v>
      </c>
      <c r="L78" s="34"/>
      <c r="M78" s="34"/>
      <c r="N78" s="34">
        <f>K4</f>
        <v>259.43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7086.6200000000008</v>
      </c>
      <c r="L80" s="34">
        <f>SUM(L70:L79)</f>
        <v>0</v>
      </c>
      <c r="M80" s="34">
        <f>SUM(M70:M79)</f>
        <v>0</v>
      </c>
      <c r="N80" s="34">
        <f>SUM(N70:N79)</f>
        <v>7086.6200000000008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7086.6200000000008</v>
      </c>
      <c r="L81" s="34">
        <f t="shared" si="23"/>
        <v>0</v>
      </c>
      <c r="M81" s="34">
        <f t="shared" si="23"/>
        <v>0</v>
      </c>
      <c r="N81" s="34">
        <f t="shared" si="23"/>
        <v>7086.6200000000008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16750.22</v>
      </c>
      <c r="L82" s="34">
        <f>L69+L81</f>
        <v>0</v>
      </c>
      <c r="M82" s="34">
        <f>M69+M81</f>
        <v>0</v>
      </c>
      <c r="N82" s="34">
        <f>N69+N81</f>
        <v>16750.22</v>
      </c>
      <c r="O82" s="8"/>
      <c r="R82" s="14"/>
      <c r="Z82" s="15"/>
      <c r="AJ82" s="16"/>
    </row>
    <row r="83" spans="1:36" s="31" customFormat="1" ht="21.95" customHeight="1" x14ac:dyDescent="0.2">
      <c r="A83" s="275" t="s">
        <v>82</v>
      </c>
      <c r="B83" s="275"/>
      <c r="C83" s="275"/>
      <c r="D83" s="275"/>
      <c r="E83" s="275"/>
      <c r="F83" s="275"/>
      <c r="G83" s="275"/>
      <c r="H83" s="275"/>
      <c r="I83" s="275"/>
      <c r="J83" s="35">
        <f>J18+J31+J44+J57+J82</f>
        <v>79181.817999999999</v>
      </c>
      <c r="K83" s="35">
        <f>K18+K31+K44+K57+K82</f>
        <v>355676.272</v>
      </c>
      <c r="L83" s="35">
        <f>L18+L31+L44+L57+L82</f>
        <v>277136.36299999995</v>
      </c>
      <c r="M83" s="35">
        <f>M18+M31+M44+M57+M82</f>
        <v>118772.727</v>
      </c>
      <c r="N83" s="38">
        <f>N18+N31+N44+N57+N82</f>
        <v>830767.17999999993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599CA5D-06AF-404C-9D44-2D7EFD52D879}">
          <x14:formula1>
            <xm:f>'2026 COB breakdown_Kris'!$A$5:$A$103</xm:f>
          </x14:formula1>
          <xm:sqref>A3</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925F-1869-4204-A63F-C96956AD727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217</v>
      </c>
      <c r="B3" s="58" t="s">
        <v>158</v>
      </c>
      <c r="C3" s="59">
        <f>VLOOKUP($A3,COBTABLE,15, FALSE)</f>
        <v>7697.91</v>
      </c>
      <c r="D3" s="59">
        <f>VLOOKUP($A3,COBTABLE,16, FALSE)</f>
        <v>101.36</v>
      </c>
      <c r="E3" s="59">
        <f>VLOOKUP($A3,COBTABLE,17, FALSE)</f>
        <v>721.45</v>
      </c>
      <c r="F3" s="59">
        <f>VLOOKUP($A3,COBTABLE,18, FALSE)</f>
        <v>0</v>
      </c>
      <c r="G3" s="59">
        <f>VLOOKUP($A3,COBTABLE,19, FALSE)</f>
        <v>1045.48</v>
      </c>
      <c r="H3" s="59">
        <f>VLOOKUP($A3,COBTABLE,20, FALSE)</f>
        <v>460.11</v>
      </c>
      <c r="I3" s="59">
        <f>VLOOKUP($A3,COBTABLE,21, FALSE)</f>
        <v>5924.4</v>
      </c>
      <c r="J3" s="59">
        <f>VLOOKUP($A3,COBTABLE,22, FALSE)</f>
        <v>348.3</v>
      </c>
      <c r="K3" s="59">
        <f>VLOOKUP($A3,COBTABLE,23, FALSE)</f>
        <v>326.85000000000002</v>
      </c>
      <c r="L3" s="59">
        <f>VLOOKUP($A3,COBTABLE,24, FALSE)</f>
        <v>2133.38</v>
      </c>
      <c r="M3" s="59">
        <f>VLOOKUP($A3,COBTABLE,25, FALSE)</f>
        <v>2000.760000000002</v>
      </c>
      <c r="N3" s="60">
        <f>VLOOKUP($A3, countrygrant,2,FALSE)</f>
        <v>456818.18</v>
      </c>
      <c r="O3" s="92">
        <f>SUM(C3:N3)</f>
        <v>477578.18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7697.91</v>
      </c>
      <c r="D5" s="62">
        <f t="shared" ref="D5:O5" si="1">SUM(D3:D4)</f>
        <v>101.36</v>
      </c>
      <c r="E5" s="62">
        <f t="shared" si="1"/>
        <v>721.45</v>
      </c>
      <c r="F5" s="62">
        <f t="shared" si="1"/>
        <v>0</v>
      </c>
      <c r="G5" s="62">
        <f t="shared" si="1"/>
        <v>1045.48</v>
      </c>
      <c r="H5" s="62">
        <f t="shared" si="1"/>
        <v>460.11</v>
      </c>
      <c r="I5" s="62">
        <f t="shared" si="1"/>
        <v>5924.4</v>
      </c>
      <c r="J5" s="62">
        <f t="shared" si="1"/>
        <v>348.3</v>
      </c>
      <c r="K5" s="62">
        <f t="shared" si="1"/>
        <v>326.85000000000002</v>
      </c>
      <c r="L5" s="62">
        <f t="shared" si="1"/>
        <v>2133.38</v>
      </c>
      <c r="M5" s="62">
        <f t="shared" si="1"/>
        <v>2000.760000000002</v>
      </c>
      <c r="N5" s="62">
        <f t="shared" si="1"/>
        <v>456818.18</v>
      </c>
      <c r="O5" s="62">
        <f t="shared" si="1"/>
        <v>477578.18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7697.91</v>
      </c>
      <c r="L45" s="34"/>
      <c r="M45" s="34"/>
      <c r="N45" s="34">
        <f>ROUND($C$3*P45,2)</f>
        <v>7697.91</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2133.38</v>
      </c>
      <c r="L47" s="34"/>
      <c r="M47" s="34"/>
      <c r="N47" s="34">
        <f>ROUND($L$3*P47,2)</f>
        <v>2133.38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2000.760000000002</v>
      </c>
      <c r="L48" s="34"/>
      <c r="M48" s="34"/>
      <c r="N48" s="34">
        <f>M3-SUM(N10,N21,N35)</f>
        <v>2000.760000000002</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11832.050000000003</v>
      </c>
      <c r="L49" s="34">
        <f>SUM(L45:L48)</f>
        <v>0</v>
      </c>
      <c r="M49" s="34">
        <f>SUM(M45:M48)</f>
        <v>0</v>
      </c>
      <c r="N49" s="34">
        <f>SUM(N45:N48)</f>
        <v>11832.050000000003</v>
      </c>
      <c r="O49" s="8"/>
      <c r="P49" s="9"/>
    </row>
    <row r="50" spans="1:36" ht="21.95" customHeight="1" x14ac:dyDescent="0.2">
      <c r="A50" s="262"/>
      <c r="B50" s="261" t="s">
        <v>60</v>
      </c>
      <c r="C50" s="261"/>
      <c r="D50" s="261"/>
      <c r="E50" s="261"/>
      <c r="F50" s="261"/>
      <c r="G50" s="261"/>
      <c r="H50" s="261"/>
      <c r="I50" s="261"/>
      <c r="J50" s="34">
        <f>J49</f>
        <v>0</v>
      </c>
      <c r="K50" s="34">
        <f t="shared" ref="K50:N50" si="15">K49</f>
        <v>11832.050000000003</v>
      </c>
      <c r="L50" s="34">
        <f t="shared" si="15"/>
        <v>0</v>
      </c>
      <c r="M50" s="34">
        <f t="shared" si="15"/>
        <v>0</v>
      </c>
      <c r="N50" s="34">
        <f t="shared" si="15"/>
        <v>11832.050000000003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11832.050000000003</v>
      </c>
      <c r="L57" s="34">
        <f>L50+L56</f>
        <v>0</v>
      </c>
      <c r="M57" s="34">
        <f>M50+M56</f>
        <v>0</v>
      </c>
      <c r="N57" s="34">
        <f>N50+N56</f>
        <v>11832.050000000003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101.36</v>
      </c>
      <c r="L59" s="34"/>
      <c r="M59" s="34"/>
      <c r="N59" s="34">
        <f>D3</f>
        <v>101.36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721.45</v>
      </c>
      <c r="L60" s="34"/>
      <c r="M60" s="34"/>
      <c r="N60" s="34">
        <f>E3</f>
        <v>721.45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1045.48</v>
      </c>
      <c r="L61" s="34"/>
      <c r="M61" s="34"/>
      <c r="N61" s="34">
        <f>G3-SUM(N9,N20,N33,N46)</f>
        <v>1045.48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460.11</v>
      </c>
      <c r="L62" s="34"/>
      <c r="M62" s="34"/>
      <c r="N62" s="34">
        <f>H3</f>
        <v>460.11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5924.4</v>
      </c>
      <c r="L63" s="34"/>
      <c r="M63" s="34"/>
      <c r="N63" s="34">
        <f>I3</f>
        <v>5924.4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348.3</v>
      </c>
      <c r="L64" s="34"/>
      <c r="M64" s="34"/>
      <c r="N64" s="34">
        <f>J3</f>
        <v>348.3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326.85000000000002</v>
      </c>
      <c r="L66" s="34"/>
      <c r="M66" s="34"/>
      <c r="N66" s="34">
        <f>K3</f>
        <v>326.85000000000002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8927.9499999999989</v>
      </c>
      <c r="L68" s="34">
        <f>SUM(L58:L67)</f>
        <v>0</v>
      </c>
      <c r="M68" s="34">
        <f>SUM(M58:M67)</f>
        <v>0</v>
      </c>
      <c r="N68" s="34">
        <f>SUM(N58:N67)</f>
        <v>8927.9499999999989</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8927.9499999999989</v>
      </c>
      <c r="L69" s="34">
        <f t="shared" si="20"/>
        <v>0</v>
      </c>
      <c r="M69" s="34">
        <f t="shared" si="20"/>
        <v>0</v>
      </c>
      <c r="N69" s="34">
        <f t="shared" si="20"/>
        <v>8927.9499999999989</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8927.9499999999989</v>
      </c>
      <c r="L82" s="34">
        <f>L69+L81</f>
        <v>0</v>
      </c>
      <c r="M82" s="34">
        <f>M69+M81</f>
        <v>0</v>
      </c>
      <c r="N82" s="34">
        <f>N69+N81</f>
        <v>8927.9499999999989</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203487.272</v>
      </c>
      <c r="L83" s="35">
        <f>L18+L31+L44+L57+L82</f>
        <v>159886.36299999998</v>
      </c>
      <c r="M83" s="35">
        <f>M18+M31+M44+M57+M82</f>
        <v>68522.726999999999</v>
      </c>
      <c r="N83" s="38">
        <f>N18+N31+N44+N57+N82</f>
        <v>477578.18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38F0CB4-3A22-4220-80E4-10E6DE10FE02}">
          <x14:formula1>
            <xm:f>'2026 COB breakdown_Kris'!$A$5:$A$103</xm:f>
          </x14:formula1>
          <xm:sqref>A3</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59CA-4DB9-4C77-9291-7EC7A9F500D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218</v>
      </c>
      <c r="B3" s="58" t="s">
        <v>158</v>
      </c>
      <c r="C3" s="59">
        <f>VLOOKUP($A3,COBTABLE,15, FALSE)</f>
        <v>15460.35</v>
      </c>
      <c r="D3" s="59">
        <f>VLOOKUP($A3,COBTABLE,16, FALSE)</f>
        <v>203.56</v>
      </c>
      <c r="E3" s="59">
        <f>VLOOKUP($A3,COBTABLE,17, FALSE)</f>
        <v>1448.95</v>
      </c>
      <c r="F3" s="59">
        <f>VLOOKUP($A3,COBTABLE,18, FALSE)</f>
        <v>0</v>
      </c>
      <c r="G3" s="59">
        <f>VLOOKUP($A3,COBTABLE,19, FALSE)</f>
        <v>2099.7199999999998</v>
      </c>
      <c r="H3" s="59">
        <f>VLOOKUP($A3,COBTABLE,20, FALSE)</f>
        <v>924.08</v>
      </c>
      <c r="I3" s="59">
        <f>VLOOKUP($A3,COBTABLE,21, FALSE)</f>
        <v>11898.46</v>
      </c>
      <c r="J3" s="59">
        <f>VLOOKUP($A3,COBTABLE,22, FALSE)</f>
        <v>699.52</v>
      </c>
      <c r="K3" s="59">
        <f>VLOOKUP($A3,COBTABLE,23, FALSE)</f>
        <v>656.44</v>
      </c>
      <c r="L3" s="59">
        <f>VLOOKUP($A3,COBTABLE,24, FALSE)</f>
        <v>4284.63</v>
      </c>
      <c r="M3" s="59">
        <f>VLOOKUP($A3,COBTABLE,25, FALSE)</f>
        <v>4018.2900000000009</v>
      </c>
      <c r="N3" s="60">
        <f>VLOOKUP($A3, countrygrant,2,FALSE)</f>
        <v>456818.18</v>
      </c>
      <c r="O3" s="92">
        <f>SUM(C3:N3)</f>
        <v>498512.18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15460.35</v>
      </c>
      <c r="D5" s="62">
        <f t="shared" ref="D5:O5" si="1">SUM(D3:D4)</f>
        <v>203.56</v>
      </c>
      <c r="E5" s="62">
        <f t="shared" si="1"/>
        <v>1448.95</v>
      </c>
      <c r="F5" s="62">
        <f t="shared" si="1"/>
        <v>0</v>
      </c>
      <c r="G5" s="62">
        <f t="shared" si="1"/>
        <v>2099.7199999999998</v>
      </c>
      <c r="H5" s="62">
        <f t="shared" si="1"/>
        <v>924.08</v>
      </c>
      <c r="I5" s="62">
        <f t="shared" si="1"/>
        <v>11898.46</v>
      </c>
      <c r="J5" s="62">
        <f t="shared" si="1"/>
        <v>699.52</v>
      </c>
      <c r="K5" s="62">
        <f t="shared" si="1"/>
        <v>656.44</v>
      </c>
      <c r="L5" s="62">
        <f t="shared" si="1"/>
        <v>4284.63</v>
      </c>
      <c r="M5" s="62">
        <f t="shared" si="1"/>
        <v>4018.2900000000009</v>
      </c>
      <c r="N5" s="62">
        <f t="shared" si="1"/>
        <v>456818.18</v>
      </c>
      <c r="O5" s="62">
        <f t="shared" si="1"/>
        <v>498512.18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15460.35</v>
      </c>
      <c r="L45" s="34"/>
      <c r="M45" s="34"/>
      <c r="N45" s="34">
        <f>ROUND($C$3*P45,2)</f>
        <v>15460.35</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4284.63</v>
      </c>
      <c r="L47" s="34"/>
      <c r="M47" s="34"/>
      <c r="N47" s="34">
        <f>ROUND($L$3*P47,2)</f>
        <v>4284.63</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4018.2900000000009</v>
      </c>
      <c r="L48" s="34"/>
      <c r="M48" s="34"/>
      <c r="N48" s="34">
        <f>M3-SUM(N10,N21,N35)</f>
        <v>4018.2900000000009</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23763.27</v>
      </c>
      <c r="L49" s="34">
        <f>SUM(L45:L48)</f>
        <v>0</v>
      </c>
      <c r="M49" s="34">
        <f>SUM(M45:M48)</f>
        <v>0</v>
      </c>
      <c r="N49" s="34">
        <f>SUM(N45:N48)</f>
        <v>23763.27</v>
      </c>
      <c r="O49" s="8"/>
      <c r="P49" s="9"/>
    </row>
    <row r="50" spans="1:36" ht="21.95" customHeight="1" x14ac:dyDescent="0.2">
      <c r="A50" s="262"/>
      <c r="B50" s="261" t="s">
        <v>60</v>
      </c>
      <c r="C50" s="261"/>
      <c r="D50" s="261"/>
      <c r="E50" s="261"/>
      <c r="F50" s="261"/>
      <c r="G50" s="261"/>
      <c r="H50" s="261"/>
      <c r="I50" s="261"/>
      <c r="J50" s="34">
        <f>J49</f>
        <v>0</v>
      </c>
      <c r="K50" s="34">
        <f t="shared" ref="K50:N50" si="15">K49</f>
        <v>23763.27</v>
      </c>
      <c r="L50" s="34">
        <f t="shared" si="15"/>
        <v>0</v>
      </c>
      <c r="M50" s="34">
        <f t="shared" si="15"/>
        <v>0</v>
      </c>
      <c r="N50" s="34">
        <f t="shared" si="15"/>
        <v>23763.27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23763.27</v>
      </c>
      <c r="L57" s="34">
        <f>L50+L56</f>
        <v>0</v>
      </c>
      <c r="M57" s="34">
        <f>M50+M56</f>
        <v>0</v>
      </c>
      <c r="N57" s="34">
        <f>N50+N56</f>
        <v>23763.27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203.56</v>
      </c>
      <c r="L59" s="34"/>
      <c r="M59" s="34"/>
      <c r="N59" s="34">
        <f>D3</f>
        <v>203.56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1448.95</v>
      </c>
      <c r="L60" s="34"/>
      <c r="M60" s="34"/>
      <c r="N60" s="34">
        <f>E3</f>
        <v>1448.95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2099.7199999999998</v>
      </c>
      <c r="L61" s="34"/>
      <c r="M61" s="34"/>
      <c r="N61" s="34">
        <f>G3-SUM(N9,N20,N33,N46)</f>
        <v>2099.7199999999998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924.08</v>
      </c>
      <c r="L62" s="34"/>
      <c r="M62" s="34"/>
      <c r="N62" s="34">
        <f>H3</f>
        <v>924.08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11898.46</v>
      </c>
      <c r="L63" s="34"/>
      <c r="M63" s="34"/>
      <c r="N63" s="34">
        <f>I3</f>
        <v>11898.46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699.52</v>
      </c>
      <c r="L64" s="34"/>
      <c r="M64" s="34"/>
      <c r="N64" s="34">
        <f>J3</f>
        <v>699.52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656.44</v>
      </c>
      <c r="L66" s="34"/>
      <c r="M66" s="34"/>
      <c r="N66" s="34">
        <f>K3</f>
        <v>656.44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17930.729999999996</v>
      </c>
      <c r="L68" s="34">
        <f>SUM(L58:L67)</f>
        <v>0</v>
      </c>
      <c r="M68" s="34">
        <f>SUM(M58:M67)</f>
        <v>0</v>
      </c>
      <c r="N68" s="34">
        <f>SUM(N58:N67)</f>
        <v>17930.729999999996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17930.729999999996</v>
      </c>
      <c r="L69" s="34">
        <f t="shared" si="20"/>
        <v>0</v>
      </c>
      <c r="M69" s="34">
        <f t="shared" si="20"/>
        <v>0</v>
      </c>
      <c r="N69" s="34">
        <f t="shared" si="20"/>
        <v>17930.729999999996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17930.729999999996</v>
      </c>
      <c r="L82" s="34">
        <f>L69+L81</f>
        <v>0</v>
      </c>
      <c r="M82" s="34">
        <f>M69+M81</f>
        <v>0</v>
      </c>
      <c r="N82" s="34">
        <f>N69+N81</f>
        <v>17930.729999999996</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224421.272</v>
      </c>
      <c r="L83" s="35">
        <f>L18+L31+L44+L57+L82</f>
        <v>159886.36299999998</v>
      </c>
      <c r="M83" s="35">
        <f>M18+M31+M44+M57+M82</f>
        <v>68522.726999999999</v>
      </c>
      <c r="N83" s="38">
        <f>N18+N31+N44+N57+N82</f>
        <v>498512.18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BBB8EC8-92BF-403E-9759-245CD22A3C4E}">
          <x14:formula1>
            <xm:f>'2026 COB breakdown_Kris'!$A$5:$A$103</xm:f>
          </x14:formula1>
          <xm:sqref>A3</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C334-1C2E-4B9C-AD90-A3D5628F8F6B}">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219</v>
      </c>
      <c r="B3" s="58" t="s">
        <v>158</v>
      </c>
      <c r="C3" s="59">
        <f>VLOOKUP($A3,COBTABLE,15, FALSE)</f>
        <v>2009.3</v>
      </c>
      <c r="D3" s="59">
        <f>VLOOKUP($A3,COBTABLE,16, FALSE)</f>
        <v>26.46</v>
      </c>
      <c r="E3" s="59">
        <f>VLOOKUP($A3,COBTABLE,17, FALSE)</f>
        <v>188.31</v>
      </c>
      <c r="F3" s="59">
        <f>VLOOKUP($A3,COBTABLE,18, FALSE)</f>
        <v>0</v>
      </c>
      <c r="G3" s="59">
        <f>VLOOKUP($A3,COBTABLE,19, FALSE)</f>
        <v>272.89</v>
      </c>
      <c r="H3" s="59">
        <f>VLOOKUP($A3,COBTABLE,20, FALSE)</f>
        <v>120.1</v>
      </c>
      <c r="I3" s="59">
        <f>VLOOKUP($A3,COBTABLE,21, FALSE)</f>
        <v>1546.38</v>
      </c>
      <c r="J3" s="59">
        <f>VLOOKUP($A3,COBTABLE,22, FALSE)</f>
        <v>90.91</v>
      </c>
      <c r="K3" s="59">
        <f>VLOOKUP($A3,COBTABLE,23, FALSE)</f>
        <v>85.31</v>
      </c>
      <c r="L3" s="59">
        <f>VLOOKUP($A3,COBTABLE,24, FALSE)</f>
        <v>556.85</v>
      </c>
      <c r="M3" s="59">
        <f>VLOOKUP($A3,COBTABLE,25, FALSE)</f>
        <v>522.22999999999865</v>
      </c>
      <c r="N3" s="60">
        <f>VLOOKUP($A3, countrygrant,2,FALSE)</f>
        <v>456818.18</v>
      </c>
      <c r="O3" s="92">
        <f>SUM(C3:N3)</f>
        <v>462236.92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2347.66</v>
      </c>
      <c r="D4" s="59">
        <f>VLOOKUP($A3,COBTABLE,28, FALSE)</f>
        <v>30.91</v>
      </c>
      <c r="E4" s="59">
        <f>VLOOKUP($A3,COBTABLE,29, FALSE)</f>
        <v>220.02</v>
      </c>
      <c r="F4" s="59">
        <f>VLOOKUP($A3,COBTABLE,30, FALSE)</f>
        <v>0</v>
      </c>
      <c r="G4" s="59">
        <f>VLOOKUP($A3,COBTABLE,31, FALSE)</f>
        <v>318.83999999999997</v>
      </c>
      <c r="H4" s="59">
        <f>VLOOKUP($A3,COBTABLE,32, FALSE)</f>
        <v>140.32</v>
      </c>
      <c r="I4" s="59">
        <f>VLOOKUP($A3,COBTABLE,33, FALSE)</f>
        <v>1806.79</v>
      </c>
      <c r="J4" s="59">
        <f>VLOOKUP($A3,COBTABLE,34, FALSE)</f>
        <v>106.22</v>
      </c>
      <c r="K4" s="59">
        <f>VLOOKUP($A3,COBTABLE,35, FALSE)</f>
        <v>99.68</v>
      </c>
      <c r="L4" s="59">
        <f>VLOOKUP($A3,COBTABLE,36, FALSE)</f>
        <v>650.63</v>
      </c>
      <c r="M4" s="59">
        <f>VLOOKUP($A3,COBTABLE,37, FALSE)</f>
        <v>610.1899999999996</v>
      </c>
      <c r="N4" s="60">
        <f>VLOOKUP($A3, countrygrant,3,FALSE)</f>
        <v>533746.79</v>
      </c>
      <c r="O4" s="92">
        <f t="shared" ref="O4" si="0">SUM(C4:N4)</f>
        <v>540078.05000000005</v>
      </c>
      <c r="P4" s="28"/>
      <c r="Q4" s="28"/>
      <c r="R4" s="28"/>
      <c r="S4" s="28"/>
      <c r="T4" s="28"/>
      <c r="U4" s="28"/>
      <c r="V4" s="28"/>
      <c r="W4" s="28"/>
      <c r="X4" s="28"/>
      <c r="Y4" s="28"/>
      <c r="Z4" s="28"/>
      <c r="AA4" s="28"/>
      <c r="AB4" s="28"/>
      <c r="AC4" s="28"/>
    </row>
    <row r="5" spans="1:36" s="53" customFormat="1" ht="12" customHeight="1" x14ac:dyDescent="0.25">
      <c r="A5" s="278"/>
      <c r="B5" s="61" t="s">
        <v>156</v>
      </c>
      <c r="C5" s="62">
        <f>SUM(C3:C4)</f>
        <v>4356.96</v>
      </c>
      <c r="D5" s="62">
        <f t="shared" ref="D5:O5" si="1">SUM(D3:D4)</f>
        <v>57.370000000000005</v>
      </c>
      <c r="E5" s="62">
        <f t="shared" si="1"/>
        <v>408.33000000000004</v>
      </c>
      <c r="F5" s="62">
        <f t="shared" si="1"/>
        <v>0</v>
      </c>
      <c r="G5" s="62">
        <f t="shared" si="1"/>
        <v>591.73</v>
      </c>
      <c r="H5" s="62">
        <f t="shared" si="1"/>
        <v>260.41999999999996</v>
      </c>
      <c r="I5" s="62">
        <f t="shared" si="1"/>
        <v>3353.17</v>
      </c>
      <c r="J5" s="62">
        <f t="shared" si="1"/>
        <v>197.13</v>
      </c>
      <c r="K5" s="62">
        <f t="shared" si="1"/>
        <v>184.99</v>
      </c>
      <c r="L5" s="62">
        <f t="shared" si="1"/>
        <v>1207.48</v>
      </c>
      <c r="M5" s="62">
        <f t="shared" si="1"/>
        <v>1132.4199999999983</v>
      </c>
      <c r="N5" s="62">
        <f t="shared" si="1"/>
        <v>990564.97</v>
      </c>
      <c r="O5" s="62">
        <f t="shared" si="1"/>
        <v>1002314.97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53374.679000000004</v>
      </c>
      <c r="K28" s="34">
        <f>$N28*0.4</f>
        <v>213498.71600000001</v>
      </c>
      <c r="L28" s="34">
        <f>$N28*0.35</f>
        <v>186811.37650000001</v>
      </c>
      <c r="M28" s="34">
        <f>$N28*0.15</f>
        <v>80062.018500000006</v>
      </c>
      <c r="N28" s="34">
        <f>N4</f>
        <v>533746.79</v>
      </c>
      <c r="O28" s="8"/>
      <c r="P28" s="9">
        <f>VLOOKUP(H28,starratio4,4,FALSE)</f>
        <v>0</v>
      </c>
    </row>
    <row r="29" spans="1:36" ht="21.95" customHeight="1" x14ac:dyDescent="0.2">
      <c r="A29" s="262"/>
      <c r="B29" s="262"/>
      <c r="C29" s="263" t="s">
        <v>31</v>
      </c>
      <c r="D29" s="263"/>
      <c r="E29" s="263"/>
      <c r="F29" s="263"/>
      <c r="G29" s="263"/>
      <c r="H29" s="263"/>
      <c r="I29" s="263"/>
      <c r="J29" s="34">
        <f>SUM(J25:J28)</f>
        <v>53374.679000000004</v>
      </c>
      <c r="K29" s="34">
        <f>SUM(K25:K28)</f>
        <v>213498.71600000001</v>
      </c>
      <c r="L29" s="34">
        <f>SUM(L25:L28)</f>
        <v>186811.37650000001</v>
      </c>
      <c r="M29" s="34">
        <f>SUM(M25:M28)</f>
        <v>80062.018500000006</v>
      </c>
      <c r="N29" s="34">
        <f>SUM(N25:N28)</f>
        <v>533746.79</v>
      </c>
      <c r="O29" s="8"/>
      <c r="P29" s="9"/>
    </row>
    <row r="30" spans="1:36" ht="21.95" customHeight="1" x14ac:dyDescent="0.2">
      <c r="A30" s="262"/>
      <c r="B30" s="263" t="s">
        <v>44</v>
      </c>
      <c r="C30" s="263"/>
      <c r="D30" s="263"/>
      <c r="E30" s="263"/>
      <c r="F30" s="263"/>
      <c r="G30" s="263"/>
      <c r="H30" s="263"/>
      <c r="I30" s="263"/>
      <c r="J30" s="34">
        <f>J29</f>
        <v>53374.679000000004</v>
      </c>
      <c r="K30" s="34">
        <f t="shared" ref="K30:N30" si="9">K29</f>
        <v>213498.71600000001</v>
      </c>
      <c r="L30" s="34">
        <f t="shared" si="9"/>
        <v>186811.37650000001</v>
      </c>
      <c r="M30" s="34">
        <f t="shared" si="9"/>
        <v>80062.018500000006</v>
      </c>
      <c r="N30" s="34">
        <f t="shared" si="9"/>
        <v>533746.79</v>
      </c>
      <c r="O30" s="8"/>
      <c r="Q30" s="10"/>
      <c r="Z30" s="11"/>
      <c r="AC30" s="12"/>
      <c r="AD30" s="13"/>
    </row>
    <row r="31" spans="1:36" ht="21.95" customHeight="1" x14ac:dyDescent="0.2">
      <c r="A31" s="261" t="s">
        <v>45</v>
      </c>
      <c r="B31" s="261"/>
      <c r="C31" s="261"/>
      <c r="D31" s="261"/>
      <c r="E31" s="261"/>
      <c r="F31" s="261"/>
      <c r="G31" s="261"/>
      <c r="H31" s="261"/>
      <c r="I31" s="261"/>
      <c r="J31" s="34">
        <f>J24+J30</f>
        <v>99056.497000000003</v>
      </c>
      <c r="K31" s="34">
        <f>K24+K30</f>
        <v>396225.98800000001</v>
      </c>
      <c r="L31" s="34">
        <f>L24+L30</f>
        <v>346697.73950000003</v>
      </c>
      <c r="M31" s="34">
        <f>M24+M30</f>
        <v>148584.74550000002</v>
      </c>
      <c r="N31" s="34">
        <f>N24+N30</f>
        <v>990564.97</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2009.3</v>
      </c>
      <c r="L45" s="34"/>
      <c r="M45" s="34"/>
      <c r="N45" s="34">
        <f>ROUND($C$3*P45,2)</f>
        <v>2009.3</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556.85</v>
      </c>
      <c r="L47" s="34"/>
      <c r="M47" s="34"/>
      <c r="N47" s="34">
        <f>ROUND($L$3*P47,2)</f>
        <v>556.85</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522.22999999999865</v>
      </c>
      <c r="L48" s="34"/>
      <c r="M48" s="34"/>
      <c r="N48" s="34">
        <f>M3-SUM(N10,N21,N35)</f>
        <v>522.22999999999865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3088.3799999999987</v>
      </c>
      <c r="L49" s="34">
        <f>SUM(L45:L48)</f>
        <v>0</v>
      </c>
      <c r="M49" s="34">
        <f>SUM(M45:M48)</f>
        <v>0</v>
      </c>
      <c r="N49" s="34">
        <f>SUM(N45:N48)</f>
        <v>3088.3799999999987</v>
      </c>
      <c r="O49" s="8"/>
      <c r="P49" s="9"/>
    </row>
    <row r="50" spans="1:36" ht="21.95" customHeight="1" x14ac:dyDescent="0.2">
      <c r="A50" s="262"/>
      <c r="B50" s="261" t="s">
        <v>60</v>
      </c>
      <c r="C50" s="261"/>
      <c r="D50" s="261"/>
      <c r="E50" s="261"/>
      <c r="F50" s="261"/>
      <c r="G50" s="261"/>
      <c r="H50" s="261"/>
      <c r="I50" s="261"/>
      <c r="J50" s="34">
        <f>J49</f>
        <v>0</v>
      </c>
      <c r="K50" s="34">
        <f t="shared" ref="K50:N50" si="15">K49</f>
        <v>3088.3799999999987</v>
      </c>
      <c r="L50" s="34">
        <f t="shared" si="15"/>
        <v>0</v>
      </c>
      <c r="M50" s="34">
        <f t="shared" si="15"/>
        <v>0</v>
      </c>
      <c r="N50" s="34">
        <f t="shared" si="15"/>
        <v>3088.3799999999987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2347.66</v>
      </c>
      <c r="L51" s="34"/>
      <c r="M51" s="34"/>
      <c r="N51" s="34">
        <f>ROUND($C$4*P51,2)</f>
        <v>2347.66</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650.63</v>
      </c>
      <c r="L53" s="34"/>
      <c r="M53" s="34"/>
      <c r="N53" s="34">
        <f>ROUND($L$4*P53,2)</f>
        <v>650.63</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610.1899999999996</v>
      </c>
      <c r="L54" s="34"/>
      <c r="M54" s="34"/>
      <c r="N54" s="34">
        <f>M4-SUM(N15,N27,N41)</f>
        <v>610.1899999999996</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3608.4799999999996</v>
      </c>
      <c r="L55" s="34">
        <f>SUM(L51:L54)</f>
        <v>0</v>
      </c>
      <c r="M55" s="34">
        <f>SUM(M51:M54)</f>
        <v>0</v>
      </c>
      <c r="N55" s="34">
        <f>SUM(N51:N54)</f>
        <v>3608.4799999999996</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3608.4799999999996</v>
      </c>
      <c r="L56" s="34">
        <f t="shared" si="17"/>
        <v>0</v>
      </c>
      <c r="M56" s="34">
        <f t="shared" si="17"/>
        <v>0</v>
      </c>
      <c r="N56" s="34">
        <f t="shared" si="17"/>
        <v>3608.4799999999996</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6696.8599999999988</v>
      </c>
      <c r="L57" s="34">
        <f>L50+L56</f>
        <v>0</v>
      </c>
      <c r="M57" s="34">
        <f>M50+M56</f>
        <v>0</v>
      </c>
      <c r="N57" s="34">
        <f>N50+N56</f>
        <v>6696.8599999999988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26.46</v>
      </c>
      <c r="L59" s="34"/>
      <c r="M59" s="34"/>
      <c r="N59" s="34">
        <f>D3</f>
        <v>26.46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188.31</v>
      </c>
      <c r="L60" s="34"/>
      <c r="M60" s="34"/>
      <c r="N60" s="34">
        <f>E3</f>
        <v>188.31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272.89</v>
      </c>
      <c r="L61" s="34"/>
      <c r="M61" s="34"/>
      <c r="N61" s="34">
        <f>G3-SUM(N9,N20,N33,N46)</f>
        <v>272.89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120.1</v>
      </c>
      <c r="L62" s="34"/>
      <c r="M62" s="34"/>
      <c r="N62" s="34">
        <f>H3</f>
        <v>120.1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1546.38</v>
      </c>
      <c r="L63" s="34"/>
      <c r="M63" s="34"/>
      <c r="N63" s="34">
        <f>I3</f>
        <v>1546.38</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90.91</v>
      </c>
      <c r="L64" s="34"/>
      <c r="M64" s="34"/>
      <c r="N64" s="34">
        <f>J3</f>
        <v>90.91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85.31</v>
      </c>
      <c r="L66" s="34"/>
      <c r="M66" s="34"/>
      <c r="N66" s="34">
        <f>K3</f>
        <v>85.31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2330.36</v>
      </c>
      <c r="L68" s="34">
        <f>SUM(L58:L67)</f>
        <v>0</v>
      </c>
      <c r="M68" s="34">
        <f>SUM(M58:M67)</f>
        <v>0</v>
      </c>
      <c r="N68" s="34">
        <f>SUM(N58:N67)</f>
        <v>2330.36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2330.36</v>
      </c>
      <c r="L69" s="34">
        <f t="shared" si="20"/>
        <v>0</v>
      </c>
      <c r="M69" s="34">
        <f t="shared" si="20"/>
        <v>0</v>
      </c>
      <c r="N69" s="34">
        <f t="shared" si="20"/>
        <v>2330.36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30.91</v>
      </c>
      <c r="L71" s="34"/>
      <c r="M71" s="34"/>
      <c r="N71" s="34">
        <f>D4</f>
        <v>30.91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220.02</v>
      </c>
      <c r="L72" s="34"/>
      <c r="M72" s="34"/>
      <c r="N72" s="34">
        <f>E4</f>
        <v>220.02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318.83999999999997</v>
      </c>
      <c r="L73" s="34"/>
      <c r="M73" s="34"/>
      <c r="N73" s="34">
        <f>G4-SUM(N14,N26,N39,N52)</f>
        <v>318.83999999999997</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140.32</v>
      </c>
      <c r="L74" s="34"/>
      <c r="M74" s="34"/>
      <c r="N74" s="34">
        <f>H4</f>
        <v>140.32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1806.79</v>
      </c>
      <c r="L75" s="34"/>
      <c r="M75" s="34"/>
      <c r="N75" s="34">
        <f>I4</f>
        <v>1806.79</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106.22</v>
      </c>
      <c r="L76" s="34"/>
      <c r="M76" s="34"/>
      <c r="N76" s="34">
        <f>J4</f>
        <v>106.22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99.68</v>
      </c>
      <c r="L78" s="34"/>
      <c r="M78" s="34"/>
      <c r="N78" s="34">
        <f>K4</f>
        <v>99.68</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2722.7799999999997</v>
      </c>
      <c r="L80" s="34">
        <f>SUM(L70:L79)</f>
        <v>0</v>
      </c>
      <c r="M80" s="34">
        <f>SUM(M70:M79)</f>
        <v>0</v>
      </c>
      <c r="N80" s="34">
        <f>SUM(N70:N79)</f>
        <v>2722.7799999999997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2722.7799999999997</v>
      </c>
      <c r="L81" s="34">
        <f t="shared" si="23"/>
        <v>0</v>
      </c>
      <c r="M81" s="34">
        <f t="shared" si="23"/>
        <v>0</v>
      </c>
      <c r="N81" s="34">
        <f t="shared" si="23"/>
        <v>2722.7799999999997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5053.1399999999994</v>
      </c>
      <c r="L82" s="34">
        <f>L69+L81</f>
        <v>0</v>
      </c>
      <c r="M82" s="34">
        <f>M69+M81</f>
        <v>0</v>
      </c>
      <c r="N82" s="34">
        <f>N69+N81</f>
        <v>5053.1399999999994</v>
      </c>
      <c r="O82" s="8"/>
      <c r="R82" s="14"/>
      <c r="Z82" s="15"/>
      <c r="AJ82" s="16"/>
    </row>
    <row r="83" spans="1:36" s="31" customFormat="1" ht="21.95" customHeight="1" x14ac:dyDescent="0.2">
      <c r="A83" s="275" t="s">
        <v>82</v>
      </c>
      <c r="B83" s="275"/>
      <c r="C83" s="275"/>
      <c r="D83" s="275"/>
      <c r="E83" s="275"/>
      <c r="F83" s="275"/>
      <c r="G83" s="275"/>
      <c r="H83" s="275"/>
      <c r="I83" s="275"/>
      <c r="J83" s="35">
        <f>J18+J31+J44+J57+J82</f>
        <v>99056.497000000003</v>
      </c>
      <c r="K83" s="35">
        <f>K18+K31+K44+K57+K82</f>
        <v>407975.98800000001</v>
      </c>
      <c r="L83" s="35">
        <f>L18+L31+L44+L57+L82</f>
        <v>346697.73950000003</v>
      </c>
      <c r="M83" s="35">
        <f>M18+M31+M44+M57+M82</f>
        <v>148584.74550000002</v>
      </c>
      <c r="N83" s="38">
        <f>N18+N31+N44+N57+N82</f>
        <v>1002314.97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50A61B0-9921-42D4-B621-D3A450FA63ED}">
          <x14:formula1>
            <xm:f>'2026 COB breakdown_Kris'!$A$5:$A$103</xm:f>
          </x14:formula1>
          <xm:sqref>A3</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B79E7-3FF3-4A19-85D8-F02B7CA47A0A}">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220</v>
      </c>
      <c r="B3" s="58" t="s">
        <v>158</v>
      </c>
      <c r="C3" s="59">
        <f>VLOOKUP($A3,COBTABLE,15, FALSE)</f>
        <v>2054.88</v>
      </c>
      <c r="D3" s="59">
        <f>VLOOKUP($A3,COBTABLE,16, FALSE)</f>
        <v>27.06</v>
      </c>
      <c r="E3" s="59">
        <f>VLOOKUP($A3,COBTABLE,17, FALSE)</f>
        <v>192.58</v>
      </c>
      <c r="F3" s="59">
        <f>VLOOKUP($A3,COBTABLE,18, FALSE)</f>
        <v>0</v>
      </c>
      <c r="G3" s="59">
        <f>VLOOKUP($A3,COBTABLE,19, FALSE)</f>
        <v>279.08</v>
      </c>
      <c r="H3" s="59">
        <f>VLOOKUP($A3,COBTABLE,20, FALSE)</f>
        <v>122.82</v>
      </c>
      <c r="I3" s="59">
        <f>VLOOKUP($A3,COBTABLE,21, FALSE)</f>
        <v>1581.46</v>
      </c>
      <c r="J3" s="59">
        <f>VLOOKUP($A3,COBTABLE,22, FALSE)</f>
        <v>92.98</v>
      </c>
      <c r="K3" s="59">
        <f>VLOOKUP($A3,COBTABLE,23, FALSE)</f>
        <v>87.25</v>
      </c>
      <c r="L3" s="59">
        <f>VLOOKUP($A3,COBTABLE,24, FALSE)</f>
        <v>569.48</v>
      </c>
      <c r="M3" s="59">
        <f>VLOOKUP($A3,COBTABLE,25, FALSE)</f>
        <v>534.07999999999993</v>
      </c>
      <c r="N3" s="60">
        <f>VLOOKUP($A3, countrygrant,2,FALSE)</f>
        <v>456818.18</v>
      </c>
      <c r="O3" s="92">
        <f>SUM(C3:N3)</f>
        <v>462359.85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904.15</v>
      </c>
      <c r="D4" s="59">
        <f>VLOOKUP($A3,COBTABLE,28, FALSE)</f>
        <v>11.9</v>
      </c>
      <c r="E4" s="59">
        <f>VLOOKUP($A3,COBTABLE,29, FALSE)</f>
        <v>84.74</v>
      </c>
      <c r="F4" s="59">
        <f>VLOOKUP($A3,COBTABLE,30, FALSE)</f>
        <v>0</v>
      </c>
      <c r="G4" s="59">
        <f>VLOOKUP($A3,COBTABLE,31, FALSE)</f>
        <v>122.79</v>
      </c>
      <c r="H4" s="59">
        <f>VLOOKUP($A3,COBTABLE,32, FALSE)</f>
        <v>54.04</v>
      </c>
      <c r="I4" s="59">
        <f>VLOOKUP($A3,COBTABLE,33, FALSE)</f>
        <v>695.84</v>
      </c>
      <c r="J4" s="59">
        <f>VLOOKUP($A3,COBTABLE,34, FALSE)</f>
        <v>40.909999999999997</v>
      </c>
      <c r="K4" s="59">
        <f>VLOOKUP($A3,COBTABLE,35, FALSE)</f>
        <v>38.39</v>
      </c>
      <c r="L4" s="59">
        <f>VLOOKUP($A3,COBTABLE,36, FALSE)</f>
        <v>250.57</v>
      </c>
      <c r="M4" s="59">
        <f>VLOOKUP($A3,COBTABLE,37, FALSE)</f>
        <v>234.99999999999955</v>
      </c>
      <c r="N4" s="60">
        <f>VLOOKUP($A3, countrygrant,3,FALSE)</f>
        <v>201000</v>
      </c>
      <c r="O4" s="92">
        <f t="shared" ref="O4" si="0">SUM(C4:N4)</f>
        <v>203438.33</v>
      </c>
      <c r="P4" s="28"/>
      <c r="Q4" s="28"/>
      <c r="R4" s="28"/>
      <c r="S4" s="28"/>
      <c r="T4" s="28"/>
      <c r="U4" s="28"/>
      <c r="V4" s="28"/>
      <c r="W4" s="28"/>
      <c r="X4" s="28"/>
      <c r="Y4" s="28"/>
      <c r="Z4" s="28"/>
      <c r="AA4" s="28"/>
      <c r="AB4" s="28"/>
      <c r="AC4" s="28"/>
    </row>
    <row r="5" spans="1:36" s="53" customFormat="1" ht="12" customHeight="1" x14ac:dyDescent="0.25">
      <c r="A5" s="278"/>
      <c r="B5" s="61" t="s">
        <v>156</v>
      </c>
      <c r="C5" s="62">
        <f>SUM(C3:C4)</f>
        <v>2959.03</v>
      </c>
      <c r="D5" s="62">
        <f t="shared" ref="D5:O5" si="1">SUM(D3:D4)</f>
        <v>38.96</v>
      </c>
      <c r="E5" s="62">
        <f t="shared" si="1"/>
        <v>277.32</v>
      </c>
      <c r="F5" s="62">
        <f t="shared" si="1"/>
        <v>0</v>
      </c>
      <c r="G5" s="62">
        <f t="shared" si="1"/>
        <v>401.87</v>
      </c>
      <c r="H5" s="62">
        <f t="shared" si="1"/>
        <v>176.85999999999999</v>
      </c>
      <c r="I5" s="62">
        <f t="shared" si="1"/>
        <v>2277.3000000000002</v>
      </c>
      <c r="J5" s="62">
        <f t="shared" si="1"/>
        <v>133.88999999999999</v>
      </c>
      <c r="K5" s="62">
        <f t="shared" si="1"/>
        <v>125.64</v>
      </c>
      <c r="L5" s="62">
        <f t="shared" si="1"/>
        <v>820.05</v>
      </c>
      <c r="M5" s="62">
        <f t="shared" si="1"/>
        <v>769.07999999999947</v>
      </c>
      <c r="N5" s="62">
        <f t="shared" si="1"/>
        <v>657818.17999999993</v>
      </c>
      <c r="O5" s="62">
        <f t="shared" si="1"/>
        <v>665798.17999999993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20100</v>
      </c>
      <c r="K28" s="34">
        <f>$N28*0.4</f>
        <v>80400</v>
      </c>
      <c r="L28" s="34">
        <f>$N28*0.35</f>
        <v>70350</v>
      </c>
      <c r="M28" s="34">
        <f>$N28*0.15</f>
        <v>30150</v>
      </c>
      <c r="N28" s="34">
        <f>N4</f>
        <v>201000</v>
      </c>
      <c r="O28" s="8"/>
      <c r="P28" s="9">
        <f>VLOOKUP(H28,starratio4,4,FALSE)</f>
        <v>0</v>
      </c>
    </row>
    <row r="29" spans="1:36" ht="21.95" customHeight="1" x14ac:dyDescent="0.2">
      <c r="A29" s="262"/>
      <c r="B29" s="262"/>
      <c r="C29" s="263" t="s">
        <v>31</v>
      </c>
      <c r="D29" s="263"/>
      <c r="E29" s="263"/>
      <c r="F29" s="263"/>
      <c r="G29" s="263"/>
      <c r="H29" s="263"/>
      <c r="I29" s="263"/>
      <c r="J29" s="34">
        <f>SUM(J25:J28)</f>
        <v>20100</v>
      </c>
      <c r="K29" s="34">
        <f>SUM(K25:K28)</f>
        <v>80400</v>
      </c>
      <c r="L29" s="34">
        <f>SUM(L25:L28)</f>
        <v>70350</v>
      </c>
      <c r="M29" s="34">
        <f>SUM(M25:M28)</f>
        <v>30150</v>
      </c>
      <c r="N29" s="34">
        <f>SUM(N25:N28)</f>
        <v>201000</v>
      </c>
      <c r="O29" s="8"/>
      <c r="P29" s="9"/>
    </row>
    <row r="30" spans="1:36" ht="21.95" customHeight="1" x14ac:dyDescent="0.2">
      <c r="A30" s="262"/>
      <c r="B30" s="263" t="s">
        <v>44</v>
      </c>
      <c r="C30" s="263"/>
      <c r="D30" s="263"/>
      <c r="E30" s="263"/>
      <c r="F30" s="263"/>
      <c r="G30" s="263"/>
      <c r="H30" s="263"/>
      <c r="I30" s="263"/>
      <c r="J30" s="34">
        <f>J29</f>
        <v>20100</v>
      </c>
      <c r="K30" s="34">
        <f t="shared" ref="K30:N30" si="9">K29</f>
        <v>80400</v>
      </c>
      <c r="L30" s="34">
        <f t="shared" si="9"/>
        <v>70350</v>
      </c>
      <c r="M30" s="34">
        <f t="shared" si="9"/>
        <v>30150</v>
      </c>
      <c r="N30" s="34">
        <f t="shared" si="9"/>
        <v>201000</v>
      </c>
      <c r="O30" s="8"/>
      <c r="Q30" s="10"/>
      <c r="Z30" s="11"/>
      <c r="AC30" s="12"/>
      <c r="AD30" s="13"/>
    </row>
    <row r="31" spans="1:36" ht="21.95" customHeight="1" x14ac:dyDescent="0.2">
      <c r="A31" s="261" t="s">
        <v>45</v>
      </c>
      <c r="B31" s="261"/>
      <c r="C31" s="261"/>
      <c r="D31" s="261"/>
      <c r="E31" s="261"/>
      <c r="F31" s="261"/>
      <c r="G31" s="261"/>
      <c r="H31" s="261"/>
      <c r="I31" s="261"/>
      <c r="J31" s="34">
        <f>J24+J30</f>
        <v>65781.817999999999</v>
      </c>
      <c r="K31" s="34">
        <f>K24+K30</f>
        <v>263127.272</v>
      </c>
      <c r="L31" s="34">
        <f>L24+L30</f>
        <v>230236.36299999998</v>
      </c>
      <c r="M31" s="34">
        <f>M24+M30</f>
        <v>98672.726999999999</v>
      </c>
      <c r="N31" s="34">
        <f>N24+N30</f>
        <v>657818.17999999993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2054.88</v>
      </c>
      <c r="L45" s="34"/>
      <c r="M45" s="34"/>
      <c r="N45" s="34">
        <f>ROUND($C$3*P45,2)</f>
        <v>2054.88</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569.48</v>
      </c>
      <c r="L47" s="34"/>
      <c r="M47" s="34"/>
      <c r="N47" s="34">
        <f>ROUND($L$3*P47,2)</f>
        <v>569.48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534.07999999999993</v>
      </c>
      <c r="L48" s="34"/>
      <c r="M48" s="34"/>
      <c r="N48" s="34">
        <f>M3-SUM(N10,N21,N35)</f>
        <v>534.07999999999993</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3158.44</v>
      </c>
      <c r="L49" s="34">
        <f>SUM(L45:L48)</f>
        <v>0</v>
      </c>
      <c r="M49" s="34">
        <f>SUM(M45:M48)</f>
        <v>0</v>
      </c>
      <c r="N49" s="34">
        <f>SUM(N45:N48)</f>
        <v>3158.44</v>
      </c>
      <c r="O49" s="8"/>
      <c r="P49" s="9"/>
    </row>
    <row r="50" spans="1:36" ht="21.95" customHeight="1" x14ac:dyDescent="0.2">
      <c r="A50" s="262"/>
      <c r="B50" s="261" t="s">
        <v>60</v>
      </c>
      <c r="C50" s="261"/>
      <c r="D50" s="261"/>
      <c r="E50" s="261"/>
      <c r="F50" s="261"/>
      <c r="G50" s="261"/>
      <c r="H50" s="261"/>
      <c r="I50" s="261"/>
      <c r="J50" s="34">
        <f>J49</f>
        <v>0</v>
      </c>
      <c r="K50" s="34">
        <f t="shared" ref="K50:N50" si="15">K49</f>
        <v>3158.44</v>
      </c>
      <c r="L50" s="34">
        <f t="shared" si="15"/>
        <v>0</v>
      </c>
      <c r="M50" s="34">
        <f t="shared" si="15"/>
        <v>0</v>
      </c>
      <c r="N50" s="34">
        <f t="shared" si="15"/>
        <v>3158.44</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904.15</v>
      </c>
      <c r="L51" s="34"/>
      <c r="M51" s="34"/>
      <c r="N51" s="34">
        <f>ROUND($C$4*P51,2)</f>
        <v>904.15</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250.57</v>
      </c>
      <c r="L53" s="34"/>
      <c r="M53" s="34"/>
      <c r="N53" s="34">
        <f>ROUND($L$4*P53,2)</f>
        <v>250.57</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234.99999999999955</v>
      </c>
      <c r="L54" s="34"/>
      <c r="M54" s="34"/>
      <c r="N54" s="34">
        <f>M4-SUM(N15,N27,N41)</f>
        <v>234.99999999999955</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1389.7199999999996</v>
      </c>
      <c r="L55" s="34">
        <f>SUM(L51:L54)</f>
        <v>0</v>
      </c>
      <c r="M55" s="34">
        <f>SUM(M51:M54)</f>
        <v>0</v>
      </c>
      <c r="N55" s="34">
        <f>SUM(N51:N54)</f>
        <v>1389.7199999999996</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1389.7199999999996</v>
      </c>
      <c r="L56" s="34">
        <f t="shared" si="17"/>
        <v>0</v>
      </c>
      <c r="M56" s="34">
        <f t="shared" si="17"/>
        <v>0</v>
      </c>
      <c r="N56" s="34">
        <f t="shared" si="17"/>
        <v>1389.7199999999996</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4548.16</v>
      </c>
      <c r="L57" s="34">
        <f>L50+L56</f>
        <v>0</v>
      </c>
      <c r="M57" s="34">
        <f>M50+M56</f>
        <v>0</v>
      </c>
      <c r="N57" s="34">
        <f>N50+N56</f>
        <v>4548.16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27.06</v>
      </c>
      <c r="L59" s="34"/>
      <c r="M59" s="34"/>
      <c r="N59" s="34">
        <f>D3</f>
        <v>27.06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192.58</v>
      </c>
      <c r="L60" s="34"/>
      <c r="M60" s="34"/>
      <c r="N60" s="34">
        <f>E3</f>
        <v>192.58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279.08</v>
      </c>
      <c r="L61" s="34"/>
      <c r="M61" s="34"/>
      <c r="N61" s="34">
        <f>G3-SUM(N9,N20,N33,N46)</f>
        <v>279.08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122.82</v>
      </c>
      <c r="L62" s="34"/>
      <c r="M62" s="34"/>
      <c r="N62" s="34">
        <f>H3</f>
        <v>122.82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1581.46</v>
      </c>
      <c r="L63" s="34"/>
      <c r="M63" s="34"/>
      <c r="N63" s="34">
        <f>I3</f>
        <v>1581.46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92.98</v>
      </c>
      <c r="L64" s="34"/>
      <c r="M64" s="34"/>
      <c r="N64" s="34">
        <f>J3</f>
        <v>92.98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87.25</v>
      </c>
      <c r="L66" s="34"/>
      <c r="M66" s="34"/>
      <c r="N66" s="34">
        <f>K3</f>
        <v>87.25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2383.23</v>
      </c>
      <c r="L68" s="34">
        <f>SUM(L58:L67)</f>
        <v>0</v>
      </c>
      <c r="M68" s="34">
        <f>SUM(M58:M67)</f>
        <v>0</v>
      </c>
      <c r="N68" s="34">
        <f>SUM(N58:N67)</f>
        <v>2383.23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2383.23</v>
      </c>
      <c r="L69" s="34">
        <f t="shared" si="20"/>
        <v>0</v>
      </c>
      <c r="M69" s="34">
        <f t="shared" si="20"/>
        <v>0</v>
      </c>
      <c r="N69" s="34">
        <f t="shared" si="20"/>
        <v>2383.23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11.9</v>
      </c>
      <c r="L71" s="34"/>
      <c r="M71" s="34"/>
      <c r="N71" s="34">
        <f>D4</f>
        <v>11.9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84.74</v>
      </c>
      <c r="L72" s="34"/>
      <c r="M72" s="34"/>
      <c r="N72" s="34">
        <f>E4</f>
        <v>84.74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122.79</v>
      </c>
      <c r="L73" s="34"/>
      <c r="M73" s="34"/>
      <c r="N73" s="34">
        <f>G4-SUM(N14,N26,N39,N52)</f>
        <v>122.79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54.04</v>
      </c>
      <c r="L74" s="34"/>
      <c r="M74" s="34"/>
      <c r="N74" s="34">
        <f>H4</f>
        <v>54.04</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695.84</v>
      </c>
      <c r="L75" s="34"/>
      <c r="M75" s="34"/>
      <c r="N75" s="34">
        <f>I4</f>
        <v>695.84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40.909999999999997</v>
      </c>
      <c r="L76" s="34"/>
      <c r="M76" s="34"/>
      <c r="N76" s="34">
        <f>J4</f>
        <v>40.909999999999997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38.39</v>
      </c>
      <c r="L78" s="34"/>
      <c r="M78" s="34"/>
      <c r="N78" s="34">
        <f>K4</f>
        <v>38.39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1048.6100000000001</v>
      </c>
      <c r="L80" s="34">
        <f>SUM(L70:L79)</f>
        <v>0</v>
      </c>
      <c r="M80" s="34">
        <f>SUM(M70:M79)</f>
        <v>0</v>
      </c>
      <c r="N80" s="34">
        <f>SUM(N70:N79)</f>
        <v>1048.6100000000001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1048.6100000000001</v>
      </c>
      <c r="L81" s="34">
        <f t="shared" si="23"/>
        <v>0</v>
      </c>
      <c r="M81" s="34">
        <f t="shared" si="23"/>
        <v>0</v>
      </c>
      <c r="N81" s="34">
        <f t="shared" si="23"/>
        <v>1048.6100000000001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3431.84</v>
      </c>
      <c r="L82" s="34">
        <f>L69+L81</f>
        <v>0</v>
      </c>
      <c r="M82" s="34">
        <f>M69+M81</f>
        <v>0</v>
      </c>
      <c r="N82" s="34">
        <f>N69+N81</f>
        <v>3431.84</v>
      </c>
      <c r="O82" s="8"/>
      <c r="R82" s="14"/>
      <c r="Z82" s="15"/>
      <c r="AJ82" s="16"/>
    </row>
    <row r="83" spans="1:36" s="31" customFormat="1" ht="21.95" customHeight="1" x14ac:dyDescent="0.2">
      <c r="A83" s="275" t="s">
        <v>82</v>
      </c>
      <c r="B83" s="275"/>
      <c r="C83" s="275"/>
      <c r="D83" s="275"/>
      <c r="E83" s="275"/>
      <c r="F83" s="275"/>
      <c r="G83" s="275"/>
      <c r="H83" s="275"/>
      <c r="I83" s="275"/>
      <c r="J83" s="35">
        <f>J18+J31+J44+J57+J82</f>
        <v>65781.817999999999</v>
      </c>
      <c r="K83" s="35">
        <f>K18+K31+K44+K57+K82</f>
        <v>271107.272</v>
      </c>
      <c r="L83" s="35">
        <f>L18+L31+L44+L57+L82</f>
        <v>230236.36299999998</v>
      </c>
      <c r="M83" s="35">
        <f>M18+M31+M44+M57+M82</f>
        <v>98672.726999999999</v>
      </c>
      <c r="N83" s="38">
        <f>N18+N31+N44+N57+N82</f>
        <v>665798.17999999993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F53B510-62A1-4F29-986E-F2C444F11352}">
          <x14:formula1>
            <xm:f>'2026 COB breakdown_Kris'!$A$5:$A$103</xm:f>
          </x14:formula1>
          <xm:sqref>A3</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F897-7998-41E4-8F26-78287888B426}">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221</v>
      </c>
      <c r="B3" s="58" t="s">
        <v>158</v>
      </c>
      <c r="C3" s="59">
        <f>VLOOKUP($A3,COBTABLE,15, FALSE)</f>
        <v>3610.64</v>
      </c>
      <c r="D3" s="59">
        <f>VLOOKUP($A3,COBTABLE,16, FALSE)</f>
        <v>47.54</v>
      </c>
      <c r="E3" s="59">
        <f>VLOOKUP($A3,COBTABLE,17, FALSE)</f>
        <v>338.39</v>
      </c>
      <c r="F3" s="59">
        <f>VLOOKUP($A3,COBTABLE,18, FALSE)</f>
        <v>0</v>
      </c>
      <c r="G3" s="59">
        <f>VLOOKUP($A3,COBTABLE,19, FALSE)</f>
        <v>490.37</v>
      </c>
      <c r="H3" s="59">
        <f>VLOOKUP($A3,COBTABLE,20, FALSE)</f>
        <v>215.81</v>
      </c>
      <c r="I3" s="59">
        <f>VLOOKUP($A3,COBTABLE,21, FALSE)</f>
        <v>2778.79</v>
      </c>
      <c r="J3" s="59">
        <f>VLOOKUP($A3,COBTABLE,22, FALSE)</f>
        <v>163.37</v>
      </c>
      <c r="K3" s="59">
        <f>VLOOKUP($A3,COBTABLE,23, FALSE)</f>
        <v>153.31</v>
      </c>
      <c r="L3" s="59">
        <f>VLOOKUP($A3,COBTABLE,24, FALSE)</f>
        <v>1000.64</v>
      </c>
      <c r="M3" s="59">
        <f>VLOOKUP($A3,COBTABLE,25, FALSE)</f>
        <v>938.44999999999709</v>
      </c>
      <c r="N3" s="60">
        <f>VLOOKUP($A3, countrygrant,2,FALSE)</f>
        <v>456818.18</v>
      </c>
      <c r="O3" s="92">
        <f>SUM(C3:N3)</f>
        <v>466555.49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2647.81</v>
      </c>
      <c r="D4" s="59">
        <f>VLOOKUP($A3,COBTABLE,28, FALSE)</f>
        <v>34.86</v>
      </c>
      <c r="E4" s="59">
        <f>VLOOKUP($A3,COBTABLE,29, FALSE)</f>
        <v>248.15</v>
      </c>
      <c r="F4" s="59">
        <f>VLOOKUP($A3,COBTABLE,30, FALSE)</f>
        <v>0</v>
      </c>
      <c r="G4" s="59">
        <f>VLOOKUP($A3,COBTABLE,31, FALSE)</f>
        <v>359.61</v>
      </c>
      <c r="H4" s="59">
        <f>VLOOKUP($A3,COBTABLE,32, FALSE)</f>
        <v>158.26</v>
      </c>
      <c r="I4" s="59">
        <f>VLOOKUP($A3,COBTABLE,33, FALSE)</f>
        <v>2037.78</v>
      </c>
      <c r="J4" s="59">
        <f>VLOOKUP($A3,COBTABLE,34, FALSE)</f>
        <v>119.8</v>
      </c>
      <c r="K4" s="59">
        <f>VLOOKUP($A3,COBTABLE,35, FALSE)</f>
        <v>112.42</v>
      </c>
      <c r="L4" s="59">
        <f>VLOOKUP($A3,COBTABLE,36, FALSE)</f>
        <v>733.81</v>
      </c>
      <c r="M4" s="59">
        <f>VLOOKUP($A3,COBTABLE,37, FALSE)</f>
        <v>688.19999999999982</v>
      </c>
      <c r="N4" s="60">
        <f>VLOOKUP($A3, countrygrant,3,FALSE)</f>
        <v>335000</v>
      </c>
      <c r="O4" s="92">
        <f t="shared" ref="O4" si="0">SUM(C4:N4)</f>
        <v>342140.7</v>
      </c>
      <c r="P4" s="28"/>
      <c r="Q4" s="28"/>
      <c r="R4" s="28"/>
      <c r="S4" s="28"/>
      <c r="T4" s="28"/>
      <c r="U4" s="28"/>
      <c r="V4" s="28"/>
      <c r="W4" s="28"/>
      <c r="X4" s="28"/>
      <c r="Y4" s="28"/>
      <c r="Z4" s="28"/>
      <c r="AA4" s="28"/>
      <c r="AB4" s="28"/>
      <c r="AC4" s="28"/>
    </row>
    <row r="5" spans="1:36" s="53" customFormat="1" ht="12" customHeight="1" x14ac:dyDescent="0.25">
      <c r="A5" s="278"/>
      <c r="B5" s="61" t="s">
        <v>156</v>
      </c>
      <c r="C5" s="62">
        <f>SUM(C3:C4)</f>
        <v>6258.45</v>
      </c>
      <c r="D5" s="62">
        <f t="shared" ref="D5:O5" si="1">SUM(D3:D4)</f>
        <v>82.4</v>
      </c>
      <c r="E5" s="62">
        <f t="shared" si="1"/>
        <v>586.54</v>
      </c>
      <c r="F5" s="62">
        <f t="shared" si="1"/>
        <v>0</v>
      </c>
      <c r="G5" s="62">
        <f t="shared" si="1"/>
        <v>849.98</v>
      </c>
      <c r="H5" s="62">
        <f t="shared" si="1"/>
        <v>374.07</v>
      </c>
      <c r="I5" s="62">
        <f t="shared" si="1"/>
        <v>4816.57</v>
      </c>
      <c r="J5" s="62">
        <f t="shared" si="1"/>
        <v>283.17</v>
      </c>
      <c r="K5" s="62">
        <f t="shared" si="1"/>
        <v>265.73</v>
      </c>
      <c r="L5" s="62">
        <f t="shared" si="1"/>
        <v>1734.4499999999998</v>
      </c>
      <c r="M5" s="62">
        <f t="shared" si="1"/>
        <v>1626.6499999999969</v>
      </c>
      <c r="N5" s="62">
        <f t="shared" si="1"/>
        <v>791818.17999999993</v>
      </c>
      <c r="O5" s="62">
        <f t="shared" si="1"/>
        <v>808696.19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33500</v>
      </c>
      <c r="K28" s="34">
        <f>$N28*0.4</f>
        <v>134000</v>
      </c>
      <c r="L28" s="34">
        <f>$N28*0.35</f>
        <v>117249.99999999999</v>
      </c>
      <c r="M28" s="34">
        <f>$N28*0.15</f>
        <v>50250</v>
      </c>
      <c r="N28" s="34">
        <f>N4</f>
        <v>335000</v>
      </c>
      <c r="O28" s="8"/>
      <c r="P28" s="9">
        <f>VLOOKUP(H28,starratio4,4,FALSE)</f>
        <v>0</v>
      </c>
    </row>
    <row r="29" spans="1:36" ht="21.95" customHeight="1" x14ac:dyDescent="0.2">
      <c r="A29" s="262"/>
      <c r="B29" s="262"/>
      <c r="C29" s="263" t="s">
        <v>31</v>
      </c>
      <c r="D29" s="263"/>
      <c r="E29" s="263"/>
      <c r="F29" s="263"/>
      <c r="G29" s="263"/>
      <c r="H29" s="263"/>
      <c r="I29" s="263"/>
      <c r="J29" s="34">
        <f>SUM(J25:J28)</f>
        <v>33500</v>
      </c>
      <c r="K29" s="34">
        <f>SUM(K25:K28)</f>
        <v>134000</v>
      </c>
      <c r="L29" s="34">
        <f>SUM(L25:L28)</f>
        <v>117249.99999999999</v>
      </c>
      <c r="M29" s="34">
        <f>SUM(M25:M28)</f>
        <v>50250</v>
      </c>
      <c r="N29" s="34">
        <f>SUM(N25:N28)</f>
        <v>335000</v>
      </c>
      <c r="O29" s="8"/>
      <c r="P29" s="9"/>
    </row>
    <row r="30" spans="1:36" ht="21.95" customHeight="1" x14ac:dyDescent="0.2">
      <c r="A30" s="262"/>
      <c r="B30" s="263" t="s">
        <v>44</v>
      </c>
      <c r="C30" s="263"/>
      <c r="D30" s="263"/>
      <c r="E30" s="263"/>
      <c r="F30" s="263"/>
      <c r="G30" s="263"/>
      <c r="H30" s="263"/>
      <c r="I30" s="263"/>
      <c r="J30" s="34">
        <f>J29</f>
        <v>33500</v>
      </c>
      <c r="K30" s="34">
        <f t="shared" ref="K30:N30" si="9">K29</f>
        <v>134000</v>
      </c>
      <c r="L30" s="34">
        <f t="shared" si="9"/>
        <v>117249.99999999999</v>
      </c>
      <c r="M30" s="34">
        <f t="shared" si="9"/>
        <v>50250</v>
      </c>
      <c r="N30" s="34">
        <f t="shared" si="9"/>
        <v>335000</v>
      </c>
      <c r="O30" s="8"/>
      <c r="Q30" s="10"/>
      <c r="Z30" s="11"/>
      <c r="AC30" s="12"/>
      <c r="AD30" s="13"/>
    </row>
    <row r="31" spans="1:36" ht="21.95" customHeight="1" x14ac:dyDescent="0.2">
      <c r="A31" s="261" t="s">
        <v>45</v>
      </c>
      <c r="B31" s="261"/>
      <c r="C31" s="261"/>
      <c r="D31" s="261"/>
      <c r="E31" s="261"/>
      <c r="F31" s="261"/>
      <c r="G31" s="261"/>
      <c r="H31" s="261"/>
      <c r="I31" s="261"/>
      <c r="J31" s="34">
        <f>J24+J30</f>
        <v>79181.817999999999</v>
      </c>
      <c r="K31" s="34">
        <f>K24+K30</f>
        <v>316727.272</v>
      </c>
      <c r="L31" s="34">
        <f>L24+L30</f>
        <v>277136.36299999995</v>
      </c>
      <c r="M31" s="34">
        <f>M24+M30</f>
        <v>118772.727</v>
      </c>
      <c r="N31" s="34">
        <f>N24+N30</f>
        <v>791818.17999999993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3610.64</v>
      </c>
      <c r="L45" s="34"/>
      <c r="M45" s="34"/>
      <c r="N45" s="34">
        <f>ROUND($C$3*P45,2)</f>
        <v>3610.64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1000.64</v>
      </c>
      <c r="L47" s="34"/>
      <c r="M47" s="34"/>
      <c r="N47" s="34">
        <f>ROUND($L$3*P47,2)</f>
        <v>1000.64</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938.44999999999709</v>
      </c>
      <c r="L48" s="34"/>
      <c r="M48" s="34"/>
      <c r="N48" s="34">
        <f>M3-SUM(N10,N21,N35)</f>
        <v>938.44999999999709</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5549.7299999999968</v>
      </c>
      <c r="L49" s="34">
        <f>SUM(L45:L48)</f>
        <v>0</v>
      </c>
      <c r="M49" s="34">
        <f>SUM(M45:M48)</f>
        <v>0</v>
      </c>
      <c r="N49" s="34">
        <f>SUM(N45:N48)</f>
        <v>5549.7299999999968</v>
      </c>
      <c r="O49" s="8"/>
      <c r="P49" s="9"/>
    </row>
    <row r="50" spans="1:36" ht="21.95" customHeight="1" x14ac:dyDescent="0.2">
      <c r="A50" s="262"/>
      <c r="B50" s="261" t="s">
        <v>60</v>
      </c>
      <c r="C50" s="261"/>
      <c r="D50" s="261"/>
      <c r="E50" s="261"/>
      <c r="F50" s="261"/>
      <c r="G50" s="261"/>
      <c r="H50" s="261"/>
      <c r="I50" s="261"/>
      <c r="J50" s="34">
        <f>J49</f>
        <v>0</v>
      </c>
      <c r="K50" s="34">
        <f t="shared" ref="K50:N50" si="15">K49</f>
        <v>5549.7299999999968</v>
      </c>
      <c r="L50" s="34">
        <f t="shared" si="15"/>
        <v>0</v>
      </c>
      <c r="M50" s="34">
        <f t="shared" si="15"/>
        <v>0</v>
      </c>
      <c r="N50" s="34">
        <f t="shared" si="15"/>
        <v>5549.7299999999968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2647.81</v>
      </c>
      <c r="L51" s="34"/>
      <c r="M51" s="34"/>
      <c r="N51" s="34">
        <f>ROUND($C$4*P51,2)</f>
        <v>2647.81</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733.81</v>
      </c>
      <c r="L53" s="34"/>
      <c r="M53" s="34"/>
      <c r="N53" s="34">
        <f>ROUND($L$4*P53,2)</f>
        <v>733.81</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688.19999999999982</v>
      </c>
      <c r="L54" s="34"/>
      <c r="M54" s="34"/>
      <c r="N54" s="34">
        <f>M4-SUM(N15,N27,N41)</f>
        <v>688.19999999999982</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4069.8199999999997</v>
      </c>
      <c r="L55" s="34">
        <f>SUM(L51:L54)</f>
        <v>0</v>
      </c>
      <c r="M55" s="34">
        <f>SUM(M51:M54)</f>
        <v>0</v>
      </c>
      <c r="N55" s="34">
        <f>SUM(N51:N54)</f>
        <v>4069.8199999999997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4069.8199999999997</v>
      </c>
      <c r="L56" s="34">
        <f t="shared" si="17"/>
        <v>0</v>
      </c>
      <c r="M56" s="34">
        <f t="shared" si="17"/>
        <v>0</v>
      </c>
      <c r="N56" s="34">
        <f t="shared" si="17"/>
        <v>4069.8199999999997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9619.5499999999956</v>
      </c>
      <c r="L57" s="34">
        <f>L50+L56</f>
        <v>0</v>
      </c>
      <c r="M57" s="34">
        <f>M50+M56</f>
        <v>0</v>
      </c>
      <c r="N57" s="34">
        <f>N50+N56</f>
        <v>9619.5499999999956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47.54</v>
      </c>
      <c r="L59" s="34"/>
      <c r="M59" s="34"/>
      <c r="N59" s="34">
        <f>D3</f>
        <v>47.54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338.39</v>
      </c>
      <c r="L60" s="34"/>
      <c r="M60" s="34"/>
      <c r="N60" s="34">
        <f>E3</f>
        <v>338.39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490.37</v>
      </c>
      <c r="L61" s="34"/>
      <c r="M61" s="34"/>
      <c r="N61" s="34">
        <f>G3-SUM(N9,N20,N33,N46)</f>
        <v>490.37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215.81</v>
      </c>
      <c r="L62" s="34"/>
      <c r="M62" s="34"/>
      <c r="N62" s="34">
        <f>H3</f>
        <v>215.81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2778.79</v>
      </c>
      <c r="L63" s="34"/>
      <c r="M63" s="34"/>
      <c r="N63" s="34">
        <f>I3</f>
        <v>2778.79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163.37</v>
      </c>
      <c r="L64" s="34"/>
      <c r="M64" s="34"/>
      <c r="N64" s="34">
        <f>J3</f>
        <v>163.37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153.31</v>
      </c>
      <c r="L66" s="34"/>
      <c r="M66" s="34"/>
      <c r="N66" s="34">
        <f>K3</f>
        <v>153.31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4187.58</v>
      </c>
      <c r="L68" s="34">
        <f>SUM(L58:L67)</f>
        <v>0</v>
      </c>
      <c r="M68" s="34">
        <f>SUM(M58:M67)</f>
        <v>0</v>
      </c>
      <c r="N68" s="34">
        <f>SUM(N58:N67)</f>
        <v>4187.58</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4187.58</v>
      </c>
      <c r="L69" s="34">
        <f t="shared" si="20"/>
        <v>0</v>
      </c>
      <c r="M69" s="34">
        <f t="shared" si="20"/>
        <v>0</v>
      </c>
      <c r="N69" s="34">
        <f t="shared" si="20"/>
        <v>4187.58</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34.86</v>
      </c>
      <c r="L71" s="34"/>
      <c r="M71" s="34"/>
      <c r="N71" s="34">
        <f>D4</f>
        <v>34.86</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248.15</v>
      </c>
      <c r="L72" s="34"/>
      <c r="M72" s="34"/>
      <c r="N72" s="34">
        <f>E4</f>
        <v>248.15</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359.61</v>
      </c>
      <c r="L73" s="34"/>
      <c r="M73" s="34"/>
      <c r="N73" s="34">
        <f>G4-SUM(N14,N26,N39,N52)</f>
        <v>359.61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158.26</v>
      </c>
      <c r="L74" s="34"/>
      <c r="M74" s="34"/>
      <c r="N74" s="34">
        <f>H4</f>
        <v>158.26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2037.78</v>
      </c>
      <c r="L75" s="34"/>
      <c r="M75" s="34"/>
      <c r="N75" s="34">
        <f>I4</f>
        <v>2037.78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119.8</v>
      </c>
      <c r="L76" s="34"/>
      <c r="M76" s="34"/>
      <c r="N76" s="34">
        <f>J4</f>
        <v>119.8</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112.42</v>
      </c>
      <c r="L78" s="34"/>
      <c r="M78" s="34"/>
      <c r="N78" s="34">
        <f>K4</f>
        <v>112.42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3070.88</v>
      </c>
      <c r="L80" s="34">
        <f>SUM(L70:L79)</f>
        <v>0</v>
      </c>
      <c r="M80" s="34">
        <f>SUM(M70:M79)</f>
        <v>0</v>
      </c>
      <c r="N80" s="34">
        <f>SUM(N70:N79)</f>
        <v>3070.88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3070.88</v>
      </c>
      <c r="L81" s="34">
        <f t="shared" si="23"/>
        <v>0</v>
      </c>
      <c r="M81" s="34">
        <f t="shared" si="23"/>
        <v>0</v>
      </c>
      <c r="N81" s="34">
        <f t="shared" si="23"/>
        <v>3070.88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7258.46</v>
      </c>
      <c r="L82" s="34">
        <f>L69+L81</f>
        <v>0</v>
      </c>
      <c r="M82" s="34">
        <f>M69+M81</f>
        <v>0</v>
      </c>
      <c r="N82" s="34">
        <f>N69+N81</f>
        <v>7258.46</v>
      </c>
      <c r="O82" s="8"/>
      <c r="R82" s="14"/>
      <c r="Z82" s="15"/>
      <c r="AJ82" s="16"/>
    </row>
    <row r="83" spans="1:36" s="31" customFormat="1" ht="21.95" customHeight="1" x14ac:dyDescent="0.2">
      <c r="A83" s="275" t="s">
        <v>82</v>
      </c>
      <c r="B83" s="275"/>
      <c r="C83" s="275"/>
      <c r="D83" s="275"/>
      <c r="E83" s="275"/>
      <c r="F83" s="275"/>
      <c r="G83" s="275"/>
      <c r="H83" s="275"/>
      <c r="I83" s="275"/>
      <c r="J83" s="35">
        <f>J18+J31+J44+J57+J82</f>
        <v>79181.817999999999</v>
      </c>
      <c r="K83" s="35">
        <f>K18+K31+K44+K57+K82</f>
        <v>333605.28200000001</v>
      </c>
      <c r="L83" s="35">
        <f>L18+L31+L44+L57+L82</f>
        <v>277136.36299999995</v>
      </c>
      <c r="M83" s="35">
        <f>M18+M31+M44+M57+M82</f>
        <v>118772.727</v>
      </c>
      <c r="N83" s="38">
        <f>N18+N31+N44+N57+N82</f>
        <v>808696.19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6136FA6-316C-4F3B-859C-CEAB3A8A7292}">
          <x14:formula1>
            <xm:f>'2026 COB breakdown_Kris'!$A$5:$A$103</xm:f>
          </x14:formula1>
          <xm:sqref>A3</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535AA-EBE7-45F6-B79B-EB98D5C70D39}">
  <dimension ref="A1:AJ116"/>
  <sheetViews>
    <sheetView tabSelected="1" zoomScale="70" zoomScaleNormal="70" workbookViewId="0">
      <selection activeCell="A2" sqref="A2:O5"/>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12.28515625" style="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222</v>
      </c>
      <c r="B3" s="58" t="s">
        <v>158</v>
      </c>
      <c r="C3" s="59">
        <f>VLOOKUP($A3,COBTABLE,15, FALSE)</f>
        <v>7761.04</v>
      </c>
      <c r="D3" s="59">
        <f>VLOOKUP($A3,COBTABLE,16, FALSE)</f>
        <v>102.19</v>
      </c>
      <c r="E3" s="59">
        <f>VLOOKUP($A3,COBTABLE,17, FALSE)</f>
        <v>727.37</v>
      </c>
      <c r="F3" s="59">
        <f>VLOOKUP($A3,COBTABLE,18, FALSE)</f>
        <v>0</v>
      </c>
      <c r="G3" s="59">
        <f>VLOOKUP($A3,COBTABLE,19, FALSE)</f>
        <v>1054.05</v>
      </c>
      <c r="H3" s="59">
        <f>VLOOKUP($A3,COBTABLE,20, FALSE)</f>
        <v>463.89</v>
      </c>
      <c r="I3" s="59">
        <f>VLOOKUP($A3,COBTABLE,21, FALSE)</f>
        <v>5972.98</v>
      </c>
      <c r="J3" s="59">
        <f>VLOOKUP($A3,COBTABLE,22, FALSE)</f>
        <v>351.16</v>
      </c>
      <c r="K3" s="59">
        <f>VLOOKUP($A3,COBTABLE,23, FALSE)</f>
        <v>329.53</v>
      </c>
      <c r="L3" s="59">
        <f>VLOOKUP($A3,COBTABLE,24, FALSE)</f>
        <v>2150.87</v>
      </c>
      <c r="M3" s="59">
        <f>VLOOKUP($A3,COBTABLE,25, FALSE)</f>
        <v>2017.1500000000015</v>
      </c>
      <c r="N3" s="60">
        <f>VLOOKUP($A3, countrygrant,2,FALSE)</f>
        <v>456818.18</v>
      </c>
      <c r="O3" s="92">
        <f>SUM(C3:N3)</f>
        <v>477748.41</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1138.29</v>
      </c>
      <c r="D4" s="59">
        <f>VLOOKUP($A3,COBTABLE,28, FALSE)</f>
        <v>14.99</v>
      </c>
      <c r="E4" s="59">
        <f>VLOOKUP($A3,COBTABLE,29, FALSE)</f>
        <v>106.68</v>
      </c>
      <c r="F4" s="59">
        <f>VLOOKUP($A3,COBTABLE,30, FALSE)</f>
        <v>0</v>
      </c>
      <c r="G4" s="59">
        <f>VLOOKUP($A3,COBTABLE,31, FALSE)</f>
        <v>154.59</v>
      </c>
      <c r="H4" s="59">
        <f>VLOOKUP($A3,COBTABLE,32, FALSE)</f>
        <v>68.040000000000006</v>
      </c>
      <c r="I4" s="59">
        <f>VLOOKUP($A3,COBTABLE,33, FALSE)</f>
        <v>876.04</v>
      </c>
      <c r="J4" s="59">
        <f>VLOOKUP($A3,COBTABLE,34, FALSE)</f>
        <v>51.5</v>
      </c>
      <c r="K4" s="59">
        <f>VLOOKUP($A3,COBTABLE,35, FALSE)</f>
        <v>48.33</v>
      </c>
      <c r="L4" s="59">
        <f>VLOOKUP($A3,COBTABLE,36, FALSE)</f>
        <v>315.45999999999998</v>
      </c>
      <c r="M4" s="59">
        <f>VLOOKUP($A3,COBTABLE,37, FALSE)</f>
        <v>295.84999999999991</v>
      </c>
      <c r="N4" s="60">
        <f>VLOOKUP($A3, countrygrant,3,FALSE)</f>
        <v>67000</v>
      </c>
      <c r="O4" s="92">
        <f t="shared" ref="O4" si="0">SUM(C4:N4)</f>
        <v>70069.77</v>
      </c>
      <c r="P4" s="28"/>
      <c r="Q4" s="28"/>
      <c r="R4" s="28"/>
      <c r="S4" s="28"/>
      <c r="T4" s="28"/>
      <c r="U4" s="28"/>
      <c r="V4" s="28"/>
      <c r="W4" s="28"/>
      <c r="X4" s="28"/>
      <c r="Y4" s="28"/>
      <c r="Z4" s="28"/>
      <c r="AA4" s="28"/>
      <c r="AB4" s="28"/>
      <c r="AC4" s="28"/>
    </row>
    <row r="5" spans="1:36" s="53" customFormat="1" ht="12" customHeight="1" x14ac:dyDescent="0.25">
      <c r="A5" s="278"/>
      <c r="B5" s="61" t="s">
        <v>156</v>
      </c>
      <c r="C5" s="62">
        <f>SUM(C3:C4)</f>
        <v>8899.33</v>
      </c>
      <c r="D5" s="62">
        <f t="shared" ref="D5:O5" si="1">SUM(D3:D4)</f>
        <v>117.17999999999999</v>
      </c>
      <c r="E5" s="62">
        <f t="shared" si="1"/>
        <v>834.05</v>
      </c>
      <c r="F5" s="62">
        <f t="shared" si="1"/>
        <v>0</v>
      </c>
      <c r="G5" s="62">
        <f t="shared" si="1"/>
        <v>1208.6399999999999</v>
      </c>
      <c r="H5" s="62">
        <f t="shared" si="1"/>
        <v>531.92999999999995</v>
      </c>
      <c r="I5" s="62">
        <f t="shared" si="1"/>
        <v>6849.0199999999995</v>
      </c>
      <c r="J5" s="62">
        <f t="shared" si="1"/>
        <v>402.66</v>
      </c>
      <c r="K5" s="62">
        <f t="shared" si="1"/>
        <v>377.85999999999996</v>
      </c>
      <c r="L5" s="62">
        <f t="shared" si="1"/>
        <v>2466.33</v>
      </c>
      <c r="M5" s="62">
        <f t="shared" si="1"/>
        <v>2313.0000000000014</v>
      </c>
      <c r="N5" s="62">
        <f t="shared" si="1"/>
        <v>523818.18</v>
      </c>
      <c r="O5" s="62">
        <f t="shared" si="1"/>
        <v>547818.17999999993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v>
      </c>
      <c r="K28" s="34">
        <f>$N28*0.4</f>
        <v>26800</v>
      </c>
      <c r="L28" s="34">
        <f>$N28*0.35</f>
        <v>23450</v>
      </c>
      <c r="M28" s="34">
        <f>$N28*0.15</f>
        <v>10050</v>
      </c>
      <c r="N28" s="34">
        <f>N4</f>
        <v>67000</v>
      </c>
      <c r="O28" s="8"/>
      <c r="P28" s="9">
        <f>VLOOKUP(H28,starratio4,4,FALSE)</f>
        <v>0</v>
      </c>
    </row>
    <row r="29" spans="1:36" ht="21.95" customHeight="1" x14ac:dyDescent="0.2">
      <c r="A29" s="262"/>
      <c r="B29" s="262"/>
      <c r="C29" s="263" t="s">
        <v>31</v>
      </c>
      <c r="D29" s="263"/>
      <c r="E29" s="263"/>
      <c r="F29" s="263"/>
      <c r="G29" s="263"/>
      <c r="H29" s="263"/>
      <c r="I29" s="263"/>
      <c r="J29" s="34">
        <f>SUM(J25:J28)</f>
        <v>6700</v>
      </c>
      <c r="K29" s="34">
        <f>SUM(K25:K28)</f>
        <v>26800</v>
      </c>
      <c r="L29" s="34">
        <f>SUM(L25:L28)</f>
        <v>23450</v>
      </c>
      <c r="M29" s="34">
        <f>SUM(M25:M28)</f>
        <v>10050</v>
      </c>
      <c r="N29" s="34">
        <f>SUM(N25:N28)</f>
        <v>67000</v>
      </c>
      <c r="O29" s="8"/>
      <c r="P29" s="9"/>
    </row>
    <row r="30" spans="1:36" ht="21.95" customHeight="1" x14ac:dyDescent="0.2">
      <c r="A30" s="262"/>
      <c r="B30" s="263" t="s">
        <v>44</v>
      </c>
      <c r="C30" s="263"/>
      <c r="D30" s="263"/>
      <c r="E30" s="263"/>
      <c r="F30" s="263"/>
      <c r="G30" s="263"/>
      <c r="H30" s="263"/>
      <c r="I30" s="263"/>
      <c r="J30" s="34">
        <f>J29</f>
        <v>6700</v>
      </c>
      <c r="K30" s="34">
        <f t="shared" ref="K30:N30" si="9">K29</f>
        <v>26800</v>
      </c>
      <c r="L30" s="34">
        <f t="shared" si="9"/>
        <v>23450</v>
      </c>
      <c r="M30" s="34">
        <f t="shared" si="9"/>
        <v>10050</v>
      </c>
      <c r="N30" s="34">
        <f t="shared" si="9"/>
        <v>67000</v>
      </c>
      <c r="O30" s="8"/>
      <c r="Q30" s="10"/>
      <c r="Z30" s="11"/>
      <c r="AC30" s="12"/>
      <c r="AD30" s="13"/>
    </row>
    <row r="31" spans="1:36" ht="21.95" customHeight="1" x14ac:dyDescent="0.2">
      <c r="A31" s="261" t="s">
        <v>45</v>
      </c>
      <c r="B31" s="261"/>
      <c r="C31" s="261"/>
      <c r="D31" s="261"/>
      <c r="E31" s="261"/>
      <c r="F31" s="261"/>
      <c r="G31" s="261"/>
      <c r="H31" s="261"/>
      <c r="I31" s="261"/>
      <c r="J31" s="34">
        <f>J24+J30</f>
        <v>52381.817999999999</v>
      </c>
      <c r="K31" s="34">
        <f>K24+K30</f>
        <v>209527.272</v>
      </c>
      <c r="L31" s="34">
        <f>L24+L30</f>
        <v>183336.36299999998</v>
      </c>
      <c r="M31" s="34">
        <f>M24+M30</f>
        <v>78572.726999999999</v>
      </c>
      <c r="N31" s="34">
        <f>N24+N30</f>
        <v>523818.18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7761.04</v>
      </c>
      <c r="L45" s="34"/>
      <c r="M45" s="34"/>
      <c r="N45" s="34">
        <f>ROUND($C$3*P45,2)</f>
        <v>7761.04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2150.87</v>
      </c>
      <c r="L47" s="34"/>
      <c r="M47" s="34"/>
      <c r="N47" s="34">
        <f>ROUND($L$3*P47,2)</f>
        <v>2150.87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2017.1500000000015</v>
      </c>
      <c r="L48" s="34"/>
      <c r="M48" s="34"/>
      <c r="N48" s="34">
        <f>M3-SUM(N10,N21,N35)</f>
        <v>2017.1500000000015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11929.060000000001</v>
      </c>
      <c r="L49" s="34">
        <f>SUM(L45:L48)</f>
        <v>0</v>
      </c>
      <c r="M49" s="34">
        <f>SUM(M45:M48)</f>
        <v>0</v>
      </c>
      <c r="N49" s="34">
        <f>SUM(N45:N48)</f>
        <v>11929.060000000001</v>
      </c>
      <c r="O49" s="8"/>
      <c r="P49" s="9"/>
    </row>
    <row r="50" spans="1:36" ht="21.95" customHeight="1" x14ac:dyDescent="0.2">
      <c r="A50" s="262"/>
      <c r="B50" s="261" t="s">
        <v>60</v>
      </c>
      <c r="C50" s="261"/>
      <c r="D50" s="261"/>
      <c r="E50" s="261"/>
      <c r="F50" s="261"/>
      <c r="G50" s="261"/>
      <c r="H50" s="261"/>
      <c r="I50" s="261"/>
      <c r="J50" s="34">
        <f>J49</f>
        <v>0</v>
      </c>
      <c r="K50" s="34">
        <f t="shared" ref="K50:N50" si="15">K49</f>
        <v>11929.060000000001</v>
      </c>
      <c r="L50" s="34">
        <f t="shared" si="15"/>
        <v>0</v>
      </c>
      <c r="M50" s="34">
        <f t="shared" si="15"/>
        <v>0</v>
      </c>
      <c r="N50" s="34">
        <f t="shared" si="15"/>
        <v>11929.060000000001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1138.29</v>
      </c>
      <c r="L51" s="34"/>
      <c r="M51" s="34"/>
      <c r="N51" s="34">
        <f>ROUND($C$4*P51,2)</f>
        <v>1138.29</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315.45999999999998</v>
      </c>
      <c r="L53" s="34"/>
      <c r="M53" s="34"/>
      <c r="N53" s="34">
        <f>ROUND($L$4*P53,2)</f>
        <v>315.45999999999998</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295.84999999999991</v>
      </c>
      <c r="L54" s="34"/>
      <c r="M54" s="34"/>
      <c r="N54" s="34">
        <f>M4-SUM(N15,N27,N41)</f>
        <v>295.84999999999991</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1749.6</v>
      </c>
      <c r="L55" s="34">
        <f>SUM(L51:L54)</f>
        <v>0</v>
      </c>
      <c r="M55" s="34">
        <f>SUM(M51:M54)</f>
        <v>0</v>
      </c>
      <c r="N55" s="34">
        <f>SUM(N51:N54)</f>
        <v>1749.6</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1749.6</v>
      </c>
      <c r="L56" s="34">
        <f t="shared" si="17"/>
        <v>0</v>
      </c>
      <c r="M56" s="34">
        <f t="shared" si="17"/>
        <v>0</v>
      </c>
      <c r="N56" s="34">
        <f t="shared" si="17"/>
        <v>1749.6</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13678.660000000002</v>
      </c>
      <c r="L57" s="34">
        <f>L50+L56</f>
        <v>0</v>
      </c>
      <c r="M57" s="34">
        <f>M50+M56</f>
        <v>0</v>
      </c>
      <c r="N57" s="34">
        <f>N50+N56</f>
        <v>13678.660000000002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102.19</v>
      </c>
      <c r="L59" s="34"/>
      <c r="M59" s="34"/>
      <c r="N59" s="34">
        <f>D3</f>
        <v>102.19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727.37</v>
      </c>
      <c r="L60" s="34"/>
      <c r="M60" s="34"/>
      <c r="N60" s="34">
        <f>E3</f>
        <v>727.37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1054.05</v>
      </c>
      <c r="L61" s="34"/>
      <c r="M61" s="34"/>
      <c r="N61" s="34">
        <f>G3-SUM(N9,N20,N33,N46)</f>
        <v>1054.05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463.89</v>
      </c>
      <c r="L62" s="34"/>
      <c r="M62" s="34"/>
      <c r="N62" s="34">
        <f>H3</f>
        <v>463.89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5972.98</v>
      </c>
      <c r="L63" s="34"/>
      <c r="M63" s="34"/>
      <c r="N63" s="34">
        <f>I3</f>
        <v>5972.98</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351.16</v>
      </c>
      <c r="L64" s="34"/>
      <c r="M64" s="34"/>
      <c r="N64" s="34">
        <f>J3</f>
        <v>351.16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329.53</v>
      </c>
      <c r="L66" s="34"/>
      <c r="M66" s="34"/>
      <c r="N66" s="34">
        <f>K3</f>
        <v>329.53</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9001.17</v>
      </c>
      <c r="L68" s="34">
        <f>SUM(L58:L67)</f>
        <v>0</v>
      </c>
      <c r="M68" s="34">
        <f>SUM(M58:M67)</f>
        <v>0</v>
      </c>
      <c r="N68" s="34">
        <f>SUM(N58:N67)</f>
        <v>9001.17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9001.17</v>
      </c>
      <c r="L69" s="34">
        <f t="shared" si="20"/>
        <v>0</v>
      </c>
      <c r="M69" s="34">
        <f t="shared" si="20"/>
        <v>0</v>
      </c>
      <c r="N69" s="34">
        <f t="shared" si="20"/>
        <v>9001.17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14.99</v>
      </c>
      <c r="L71" s="34"/>
      <c r="M71" s="34"/>
      <c r="N71" s="34">
        <f>D4</f>
        <v>14.99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106.68</v>
      </c>
      <c r="L72" s="34"/>
      <c r="M72" s="34"/>
      <c r="N72" s="34">
        <f>E4</f>
        <v>106.68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154.59</v>
      </c>
      <c r="L73" s="34"/>
      <c r="M73" s="34"/>
      <c r="N73" s="34">
        <f>G4-SUM(N14,N26,N39,N52)</f>
        <v>154.59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68.040000000000006</v>
      </c>
      <c r="L74" s="34"/>
      <c r="M74" s="34"/>
      <c r="N74" s="34">
        <f>H4</f>
        <v>68.040000000000006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876.04</v>
      </c>
      <c r="L75" s="34"/>
      <c r="M75" s="34"/>
      <c r="N75" s="34">
        <f>I4</f>
        <v>876.04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51.5</v>
      </c>
      <c r="L76" s="34"/>
      <c r="M76" s="34"/>
      <c r="N76" s="34">
        <f>J4</f>
        <v>51.5</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48.33</v>
      </c>
      <c r="L78" s="34"/>
      <c r="M78" s="34"/>
      <c r="N78" s="34">
        <f>K4</f>
        <v>48.33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1320.1699999999998</v>
      </c>
      <c r="L80" s="34">
        <f>SUM(L70:L79)</f>
        <v>0</v>
      </c>
      <c r="M80" s="34">
        <f>SUM(M70:M79)</f>
        <v>0</v>
      </c>
      <c r="N80" s="34">
        <f>SUM(N70:N79)</f>
        <v>1320.1699999999998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1320.1699999999998</v>
      </c>
      <c r="L81" s="34">
        <f t="shared" si="23"/>
        <v>0</v>
      </c>
      <c r="M81" s="34">
        <f t="shared" si="23"/>
        <v>0</v>
      </c>
      <c r="N81" s="34">
        <f t="shared" si="23"/>
        <v>1320.1699999999998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10321.34</v>
      </c>
      <c r="L82" s="34">
        <f>L69+L81</f>
        <v>0</v>
      </c>
      <c r="M82" s="34">
        <f>M69+M81</f>
        <v>0</v>
      </c>
      <c r="N82" s="34">
        <f>N69+N81</f>
        <v>10321.34</v>
      </c>
      <c r="O82" s="8"/>
      <c r="R82" s="14"/>
      <c r="Z82" s="15"/>
      <c r="AJ82" s="16"/>
    </row>
    <row r="83" spans="1:36" s="31" customFormat="1" ht="21.95" customHeight="1" x14ac:dyDescent="0.2">
      <c r="A83" s="275" t="s">
        <v>82</v>
      </c>
      <c r="B83" s="275"/>
      <c r="C83" s="275"/>
      <c r="D83" s="275"/>
      <c r="E83" s="275"/>
      <c r="F83" s="275"/>
      <c r="G83" s="275"/>
      <c r="H83" s="275"/>
      <c r="I83" s="275"/>
      <c r="J83" s="35">
        <f>J18+J31+J44+J57+J82</f>
        <v>52381.817999999999</v>
      </c>
      <c r="K83" s="35">
        <f>K18+K31+K44+K57+K82</f>
        <v>233527.272</v>
      </c>
      <c r="L83" s="35">
        <f>L18+L31+L44+L57+L82</f>
        <v>183336.36299999998</v>
      </c>
      <c r="M83" s="35">
        <f>M18+M31+M44+M57+M82</f>
        <v>78572.726999999999</v>
      </c>
      <c r="N83" s="38">
        <f>N18+N31+N44+N57+N82</f>
        <v>547818.17999999993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CCE9C0-A39B-4434-91C0-4D41ECB69A15}">
          <x14:formula1>
            <xm:f>'2026 COB breakdown_Kris'!$A$5:$A$103</xm:f>
          </x14:formula1>
          <xm:sqref>A3</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9E1DA-9E40-448D-A34C-EFB3269FDAFE}">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223</v>
      </c>
      <c r="B3" s="58" t="s">
        <v>158</v>
      </c>
      <c r="C3" s="59">
        <f>VLOOKUP($A3,COBTABLE,15, FALSE)</f>
        <v>3300.27</v>
      </c>
      <c r="D3" s="59">
        <f>VLOOKUP($A3,COBTABLE,16, FALSE)</f>
        <v>43.45</v>
      </c>
      <c r="E3" s="59">
        <f>VLOOKUP($A3,COBTABLE,17, FALSE)</f>
        <v>309.3</v>
      </c>
      <c r="F3" s="59">
        <f>VLOOKUP($A3,COBTABLE,18, FALSE)</f>
        <v>0</v>
      </c>
      <c r="G3" s="59">
        <f>VLOOKUP($A3,COBTABLE,19, FALSE)</f>
        <v>448.22</v>
      </c>
      <c r="H3" s="59">
        <f>VLOOKUP($A3,COBTABLE,20, FALSE)</f>
        <v>197.26</v>
      </c>
      <c r="I3" s="59">
        <f>VLOOKUP($A3,COBTABLE,21, FALSE)</f>
        <v>2539.92</v>
      </c>
      <c r="J3" s="59">
        <f>VLOOKUP($A3,COBTABLE,22, FALSE)</f>
        <v>149.32</v>
      </c>
      <c r="K3" s="59">
        <f>VLOOKUP($A3,COBTABLE,23, FALSE)</f>
        <v>140.13</v>
      </c>
      <c r="L3" s="59">
        <f>VLOOKUP($A3,COBTABLE,24, FALSE)</f>
        <v>914.63</v>
      </c>
      <c r="M3" s="59">
        <f>VLOOKUP($A3,COBTABLE,25, FALSE)</f>
        <v>857.77000000000044</v>
      </c>
      <c r="N3" s="60">
        <f>VLOOKUP($A3, countrygrant,2,FALSE)</f>
        <v>456818.18</v>
      </c>
      <c r="O3" s="92">
        <f>SUM(C3:N3)</f>
        <v>465718.45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4840.3900000000003</v>
      </c>
      <c r="D4" s="59">
        <f>VLOOKUP($A3,COBTABLE,28, FALSE)</f>
        <v>63.73</v>
      </c>
      <c r="E4" s="59">
        <f>VLOOKUP($A3,COBTABLE,29, FALSE)</f>
        <v>453.64</v>
      </c>
      <c r="F4" s="59">
        <f>VLOOKUP($A3,COBTABLE,30, FALSE)</f>
        <v>0</v>
      </c>
      <c r="G4" s="59">
        <f>VLOOKUP($A3,COBTABLE,31, FALSE)</f>
        <v>657.39</v>
      </c>
      <c r="H4" s="59">
        <f>VLOOKUP($A3,COBTABLE,32, FALSE)</f>
        <v>289.32</v>
      </c>
      <c r="I4" s="59">
        <f>VLOOKUP($A3,COBTABLE,33, FALSE)</f>
        <v>3725.22</v>
      </c>
      <c r="J4" s="59">
        <f>VLOOKUP($A3,COBTABLE,34, FALSE)</f>
        <v>219.01</v>
      </c>
      <c r="K4" s="59">
        <f>VLOOKUP($A3,COBTABLE,35, FALSE)</f>
        <v>205.52</v>
      </c>
      <c r="L4" s="59">
        <f>VLOOKUP($A3,COBTABLE,36, FALSE)</f>
        <v>1341.45</v>
      </c>
      <c r="M4" s="59">
        <f>VLOOKUP($A3,COBTABLE,37, FALSE)</f>
        <v>1258.0599999999977</v>
      </c>
      <c r="N4" s="60">
        <f>VLOOKUP($A3, countrygrant,3,FALSE)</f>
        <v>670000</v>
      </c>
      <c r="O4" s="92">
        <f t="shared" ref="O4" si="0">SUM(C4:N4)</f>
        <v>683053.73</v>
      </c>
      <c r="P4" s="28"/>
      <c r="Q4" s="28"/>
      <c r="R4" s="28"/>
      <c r="S4" s="28"/>
      <c r="T4" s="28"/>
      <c r="U4" s="28"/>
      <c r="V4" s="28"/>
      <c r="W4" s="28"/>
      <c r="X4" s="28"/>
      <c r="Y4" s="28"/>
      <c r="Z4" s="28"/>
      <c r="AA4" s="28"/>
      <c r="AB4" s="28"/>
      <c r="AC4" s="28"/>
    </row>
    <row r="5" spans="1:36" s="53" customFormat="1" ht="12" customHeight="1" x14ac:dyDescent="0.25">
      <c r="A5" s="278"/>
      <c r="B5" s="61" t="s">
        <v>156</v>
      </c>
      <c r="C5" s="62">
        <f>SUM(C3:C4)</f>
        <v>8140.66</v>
      </c>
      <c r="D5" s="62">
        <f t="shared" ref="D5:O5" si="1">SUM(D3:D4)</f>
        <v>107.18</v>
      </c>
      <c r="E5" s="62">
        <f t="shared" si="1"/>
        <v>762.94</v>
      </c>
      <c r="F5" s="62">
        <f t="shared" si="1"/>
        <v>0</v>
      </c>
      <c r="G5" s="62">
        <f t="shared" si="1"/>
        <v>1105.6100000000001</v>
      </c>
      <c r="H5" s="62">
        <f t="shared" si="1"/>
        <v>486.58</v>
      </c>
      <c r="I5" s="62">
        <f t="shared" si="1"/>
        <v>6265.1399999999994</v>
      </c>
      <c r="J5" s="62">
        <f t="shared" si="1"/>
        <v>368.33</v>
      </c>
      <c r="K5" s="62">
        <f t="shared" si="1"/>
        <v>345.65</v>
      </c>
      <c r="L5" s="62">
        <f t="shared" si="1"/>
        <v>2256.08</v>
      </c>
      <c r="M5" s="62">
        <f t="shared" si="1"/>
        <v>2115.8299999999981</v>
      </c>
      <c r="N5" s="62">
        <f t="shared" si="1"/>
        <v>1126818.18</v>
      </c>
      <c r="O5" s="62">
        <f t="shared" si="1"/>
        <v>1148772.18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VLOOKUP(H28,starratio4,4,FALSE)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3300.27</v>
      </c>
      <c r="L45" s="34"/>
      <c r="M45" s="34"/>
      <c r="N45" s="34">
        <f>ROUND($C$3*P45,2)</f>
        <v>3300.27</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914.63</v>
      </c>
      <c r="L47" s="34"/>
      <c r="M47" s="34"/>
      <c r="N47" s="34">
        <f>ROUND($L$3*P47,2)</f>
        <v>914.63</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857.77000000000044</v>
      </c>
      <c r="L48" s="34"/>
      <c r="M48" s="34"/>
      <c r="N48" s="34">
        <f>M3-SUM(N10,N21,N35)</f>
        <v>857.77000000000044</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5072.67</v>
      </c>
      <c r="L49" s="34">
        <f>SUM(L45:L48)</f>
        <v>0</v>
      </c>
      <c r="M49" s="34">
        <f>SUM(M45:M48)</f>
        <v>0</v>
      </c>
      <c r="N49" s="34">
        <f>SUM(N45:N48)</f>
        <v>5072.67</v>
      </c>
      <c r="O49" s="8"/>
      <c r="P49" s="9"/>
    </row>
    <row r="50" spans="1:36" ht="21.95" customHeight="1" x14ac:dyDescent="0.2">
      <c r="A50" s="262"/>
      <c r="B50" s="261" t="s">
        <v>60</v>
      </c>
      <c r="C50" s="261"/>
      <c r="D50" s="261"/>
      <c r="E50" s="261"/>
      <c r="F50" s="261"/>
      <c r="G50" s="261"/>
      <c r="H50" s="261"/>
      <c r="I50" s="261"/>
      <c r="J50" s="34">
        <f>J49</f>
        <v>0</v>
      </c>
      <c r="K50" s="34">
        <f t="shared" ref="K50:N50" si="15">K49</f>
        <v>5072.67</v>
      </c>
      <c r="L50" s="34">
        <f t="shared" si="15"/>
        <v>0</v>
      </c>
      <c r="M50" s="34">
        <f t="shared" si="15"/>
        <v>0</v>
      </c>
      <c r="N50" s="34">
        <f t="shared" si="15"/>
        <v>5072.67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4840.3900000000003</v>
      </c>
      <c r="L51" s="34"/>
      <c r="M51" s="34"/>
      <c r="N51" s="34">
        <f>ROUND($C$4*P51,2)</f>
        <v>4840.3900000000003</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1341.45</v>
      </c>
      <c r="L53" s="34"/>
      <c r="M53" s="34"/>
      <c r="N53" s="34">
        <f>ROUND($L$4*P53,2)</f>
        <v>1341.45</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1258.0599999999977</v>
      </c>
      <c r="L54" s="34"/>
      <c r="M54" s="34"/>
      <c r="N54" s="34">
        <f>M4-SUM(N15,N27,N41)</f>
        <v>1258.0599999999977</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7439.8999999999978</v>
      </c>
      <c r="L55" s="34">
        <f>SUM(L51:L54)</f>
        <v>0</v>
      </c>
      <c r="M55" s="34">
        <f>SUM(M51:M54)</f>
        <v>0</v>
      </c>
      <c r="N55" s="34">
        <f>SUM(N51:N54)</f>
        <v>7439.8999999999978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7439.8999999999978</v>
      </c>
      <c r="L56" s="34">
        <f t="shared" si="17"/>
        <v>0</v>
      </c>
      <c r="M56" s="34">
        <f t="shared" si="17"/>
        <v>0</v>
      </c>
      <c r="N56" s="34">
        <f t="shared" si="17"/>
        <v>7439.8999999999978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12512.569999999998</v>
      </c>
      <c r="L57" s="34">
        <f>L50+L56</f>
        <v>0</v>
      </c>
      <c r="M57" s="34">
        <f>M50+M56</f>
        <v>0</v>
      </c>
      <c r="N57" s="34">
        <f>N50+N56</f>
        <v>12512.569999999998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43.45</v>
      </c>
      <c r="L59" s="34"/>
      <c r="M59" s="34"/>
      <c r="N59" s="34">
        <f>D3</f>
        <v>43.45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309.3</v>
      </c>
      <c r="L60" s="34"/>
      <c r="M60" s="34"/>
      <c r="N60" s="34">
        <f>E3</f>
        <v>309.3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448.22</v>
      </c>
      <c r="L61" s="34"/>
      <c r="M61" s="34"/>
      <c r="N61" s="34">
        <f>G3-SUM(N9,N20,N33,N46)</f>
        <v>448.22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197.26</v>
      </c>
      <c r="L62" s="34"/>
      <c r="M62" s="34"/>
      <c r="N62" s="34">
        <f>H3</f>
        <v>197.26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2539.92</v>
      </c>
      <c r="L63" s="34"/>
      <c r="M63" s="34"/>
      <c r="N63" s="34">
        <f>I3</f>
        <v>2539.92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149.32</v>
      </c>
      <c r="L64" s="34"/>
      <c r="M64" s="34"/>
      <c r="N64" s="34">
        <f>J3</f>
        <v>149.32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140.13</v>
      </c>
      <c r="L66" s="34"/>
      <c r="M66" s="34"/>
      <c r="N66" s="34">
        <f>K3</f>
        <v>140.13</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3827.6000000000004</v>
      </c>
      <c r="L68" s="34">
        <f>SUM(L58:L67)</f>
        <v>0</v>
      </c>
      <c r="M68" s="34">
        <f>SUM(M58:M67)</f>
        <v>0</v>
      </c>
      <c r="N68" s="34">
        <f>SUM(N58:N67)</f>
        <v>3827.6000000000004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3827.6000000000004</v>
      </c>
      <c r="L69" s="34">
        <f t="shared" si="20"/>
        <v>0</v>
      </c>
      <c r="M69" s="34">
        <f t="shared" si="20"/>
        <v>0</v>
      </c>
      <c r="N69" s="34">
        <f t="shared" si="20"/>
        <v>3827.6000000000004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63.73</v>
      </c>
      <c r="L71" s="34"/>
      <c r="M71" s="34"/>
      <c r="N71" s="34">
        <f>D4</f>
        <v>63.73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453.64</v>
      </c>
      <c r="L72" s="34"/>
      <c r="M72" s="34"/>
      <c r="N72" s="34">
        <f>E4</f>
        <v>453.64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657.39</v>
      </c>
      <c r="L73" s="34"/>
      <c r="M73" s="34"/>
      <c r="N73" s="34">
        <f>G4-SUM(N14,N26,N39,N52)</f>
        <v>657.39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289.32</v>
      </c>
      <c r="L74" s="34"/>
      <c r="M74" s="34"/>
      <c r="N74" s="34">
        <f>H4</f>
        <v>289.32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3725.22</v>
      </c>
      <c r="L75" s="34"/>
      <c r="M75" s="34"/>
      <c r="N75" s="34">
        <f>I4</f>
        <v>3725.22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219.01</v>
      </c>
      <c r="L76" s="34"/>
      <c r="M76" s="34"/>
      <c r="N76" s="34">
        <f>J4</f>
        <v>219.01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205.52</v>
      </c>
      <c r="L78" s="34"/>
      <c r="M78" s="34"/>
      <c r="N78" s="34">
        <f>K4</f>
        <v>205.52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5613.83</v>
      </c>
      <c r="L80" s="34">
        <f>SUM(L70:L79)</f>
        <v>0</v>
      </c>
      <c r="M80" s="34">
        <f>SUM(M70:M79)</f>
        <v>0</v>
      </c>
      <c r="N80" s="34">
        <f>SUM(N70:N79)</f>
        <v>5613.83</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5613.83</v>
      </c>
      <c r="L81" s="34">
        <f t="shared" si="23"/>
        <v>0</v>
      </c>
      <c r="M81" s="34">
        <f t="shared" si="23"/>
        <v>0</v>
      </c>
      <c r="N81" s="34">
        <f t="shared" si="23"/>
        <v>5613.83</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9441.43</v>
      </c>
      <c r="L82" s="34">
        <f>L69+L81</f>
        <v>0</v>
      </c>
      <c r="M82" s="34">
        <f>M69+M81</f>
        <v>0</v>
      </c>
      <c r="N82" s="34">
        <f>N69+N81</f>
        <v>9441.43</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472681.272</v>
      </c>
      <c r="L83" s="35">
        <f>L18+L31+L44+L57+L82</f>
        <v>394386.36299999995</v>
      </c>
      <c r="M83" s="35">
        <f>M18+M31+M44+M57+M82</f>
        <v>169022.72700000001</v>
      </c>
      <c r="N83" s="38">
        <f>N18+N31+N44+N57+N82</f>
        <v>1148772.18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5BF7123-2CDC-4628-BAB8-FB9DFEB0C88C}">
          <x14:formula1>
            <xm:f>'2026 COB breakdown_Kris'!$A$5:$A$103</xm:f>
          </x14:formula1>
          <xm:sqref>A3</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9EA60-3B9A-4556-BF50-0826A757FCF6}">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224</v>
      </c>
      <c r="B3" s="58" t="s">
        <v>158</v>
      </c>
      <c r="C3" s="59">
        <f>VLOOKUP($A3,COBTABLE,15, FALSE)</f>
        <v>5169.66</v>
      </c>
      <c r="D3" s="59">
        <f>VLOOKUP($A3,COBTABLE,16, FALSE)</f>
        <v>68.069999999999993</v>
      </c>
      <c r="E3" s="59">
        <f>VLOOKUP($A3,COBTABLE,17, FALSE)</f>
        <v>484.5</v>
      </c>
      <c r="F3" s="59">
        <f>VLOOKUP($A3,COBTABLE,18, FALSE)</f>
        <v>1840.4899999999998</v>
      </c>
      <c r="G3" s="59">
        <f>VLOOKUP($A3,COBTABLE,19, FALSE)</f>
        <v>702.11</v>
      </c>
      <c r="H3" s="59">
        <f>VLOOKUP($A3,COBTABLE,20, FALSE)</f>
        <v>309</v>
      </c>
      <c r="I3" s="59">
        <f>VLOOKUP($A3,COBTABLE,21, FALSE)</f>
        <v>3978.63</v>
      </c>
      <c r="J3" s="59">
        <f>VLOOKUP($A3,COBTABLE,22, FALSE)</f>
        <v>233.91</v>
      </c>
      <c r="K3" s="59">
        <f>VLOOKUP($A3,COBTABLE,23, FALSE)</f>
        <v>219.5</v>
      </c>
      <c r="L3" s="59">
        <f>VLOOKUP($A3,COBTABLE,24, FALSE)</f>
        <v>1432.7</v>
      </c>
      <c r="M3" s="59">
        <f>VLOOKUP($A3,COBTABLE,25, FALSE)</f>
        <v>1343.6399999999994</v>
      </c>
      <c r="N3" s="60">
        <f>VLOOKUP($A3, countrygrant,2,FALSE)</f>
        <v>456818.18</v>
      </c>
      <c r="O3" s="92">
        <f>SUM(C3:N3)</f>
        <v>472600.39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6065.74</v>
      </c>
      <c r="D4" s="59">
        <f>VLOOKUP($A3,COBTABLE,28, FALSE)</f>
        <v>79.87</v>
      </c>
      <c r="E4" s="59">
        <f>VLOOKUP($A3,COBTABLE,29, FALSE)</f>
        <v>568.48</v>
      </c>
      <c r="F4" s="59">
        <f>VLOOKUP($A3,COBTABLE,30, FALSE)</f>
        <v>2159.5100000000002</v>
      </c>
      <c r="G4" s="59">
        <f>VLOOKUP($A3,COBTABLE,31, FALSE)</f>
        <v>823.8</v>
      </c>
      <c r="H4" s="59">
        <f>VLOOKUP($A3,COBTABLE,32, FALSE)</f>
        <v>362.56</v>
      </c>
      <c r="I4" s="59">
        <f>VLOOKUP($A3,COBTABLE,33, FALSE)</f>
        <v>4668.26</v>
      </c>
      <c r="J4" s="59">
        <f>VLOOKUP($A3,COBTABLE,34, FALSE)</f>
        <v>274.45</v>
      </c>
      <c r="K4" s="59">
        <f>VLOOKUP($A3,COBTABLE,35, FALSE)</f>
        <v>257.54000000000002</v>
      </c>
      <c r="L4" s="59">
        <f>VLOOKUP($A3,COBTABLE,36, FALSE)</f>
        <v>1681.04</v>
      </c>
      <c r="M4" s="59">
        <f>VLOOKUP($A3,COBTABLE,37, FALSE)</f>
        <v>1576.5400000000009</v>
      </c>
      <c r="N4" s="60">
        <f>VLOOKUP($A3, countrygrant,3,FALSE)</f>
        <v>536000</v>
      </c>
      <c r="O4" s="92">
        <f t="shared" ref="O4" si="0">SUM(C4:N4)</f>
        <v>554517.79</v>
      </c>
      <c r="P4" s="28"/>
      <c r="Q4" s="28"/>
      <c r="R4" s="28"/>
      <c r="S4" s="28"/>
      <c r="T4" s="28"/>
      <c r="U4" s="28"/>
      <c r="V4" s="28"/>
      <c r="W4" s="28"/>
      <c r="X4" s="28"/>
      <c r="Y4" s="28"/>
      <c r="Z4" s="28"/>
      <c r="AA4" s="28"/>
      <c r="AB4" s="28"/>
      <c r="AC4" s="28"/>
    </row>
    <row r="5" spans="1:36" s="53" customFormat="1" ht="12" customHeight="1" x14ac:dyDescent="0.25">
      <c r="A5" s="278"/>
      <c r="B5" s="61" t="s">
        <v>156</v>
      </c>
      <c r="C5" s="62">
        <f>SUM(C3:C4)</f>
        <v>11235.4</v>
      </c>
      <c r="D5" s="62">
        <f t="shared" ref="D5:O5" si="1">SUM(D3:D4)</f>
        <v>147.94</v>
      </c>
      <c r="E5" s="62">
        <f t="shared" si="1"/>
        <v>1052.98</v>
      </c>
      <c r="F5" s="62">
        <f t="shared" si="1"/>
        <v>4000</v>
      </c>
      <c r="G5" s="62">
        <f t="shared" si="1"/>
        <v>1525.9099999999999</v>
      </c>
      <c r="H5" s="62">
        <f t="shared" si="1"/>
        <v>671.56</v>
      </c>
      <c r="I5" s="62">
        <f t="shared" si="1"/>
        <v>8646.89</v>
      </c>
      <c r="J5" s="62">
        <f t="shared" si="1"/>
        <v>508.36</v>
      </c>
      <c r="K5" s="62">
        <f t="shared" si="1"/>
        <v>477.04</v>
      </c>
      <c r="L5" s="62">
        <f t="shared" si="1"/>
        <v>3113.74</v>
      </c>
      <c r="M5" s="62">
        <f t="shared" si="1"/>
        <v>2920.1800000000003</v>
      </c>
      <c r="N5" s="62">
        <f t="shared" si="1"/>
        <v>992818.17999999993</v>
      </c>
      <c r="O5" s="62">
        <f t="shared" si="1"/>
        <v>1027118.18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VLOOKUP(H28,starratio4,4,FALSE)</f>
        <v>0</v>
      </c>
    </row>
    <row r="29" spans="1:36" ht="21.95" customHeight="1" x14ac:dyDescent="0.2">
      <c r="A29" s="262"/>
      <c r="B29" s="262"/>
      <c r="C29" s="263" t="s">
        <v>31</v>
      </c>
      <c r="D29" s="263"/>
      <c r="E29" s="263"/>
      <c r="F29" s="263"/>
      <c r="G29" s="263"/>
      <c r="H29" s="263"/>
      <c r="I29" s="263"/>
      <c r="J29" s="34">
        <f>SUM(J25:J28)</f>
        <v>53600</v>
      </c>
      <c r="K29" s="34">
        <f>SUM(K25:K28)</f>
        <v>214400</v>
      </c>
      <c r="L29" s="34">
        <f>SUM(L25:L28)</f>
        <v>187600</v>
      </c>
      <c r="M29" s="34">
        <f>SUM(M25:M28)</f>
        <v>80400</v>
      </c>
      <c r="N29" s="34">
        <f>SUM(N25:N28)</f>
        <v>536000</v>
      </c>
      <c r="O29" s="8"/>
      <c r="P29" s="9"/>
    </row>
    <row r="30" spans="1:36" ht="21.95" customHeight="1" x14ac:dyDescent="0.2">
      <c r="A30" s="262"/>
      <c r="B30" s="263" t="s">
        <v>44</v>
      </c>
      <c r="C30" s="263"/>
      <c r="D30" s="263"/>
      <c r="E30" s="263"/>
      <c r="F30" s="263"/>
      <c r="G30" s="263"/>
      <c r="H30" s="263"/>
      <c r="I30" s="263"/>
      <c r="J30" s="34">
        <f>J29</f>
        <v>53600</v>
      </c>
      <c r="K30" s="34">
        <f t="shared" ref="K30:N30" si="9">K29</f>
        <v>214400</v>
      </c>
      <c r="L30" s="34">
        <f t="shared" si="9"/>
        <v>187600</v>
      </c>
      <c r="M30" s="34">
        <f t="shared" si="9"/>
        <v>80400</v>
      </c>
      <c r="N30" s="34">
        <f t="shared" si="9"/>
        <v>536000</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397127.272</v>
      </c>
      <c r="L31" s="34">
        <f>L24+L30</f>
        <v>347486.36300000001</v>
      </c>
      <c r="M31" s="34">
        <f>M24+M30</f>
        <v>148922.72700000001</v>
      </c>
      <c r="N31" s="34">
        <f>N24+N30</f>
        <v>992818.17999999993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5169.66</v>
      </c>
      <c r="L45" s="34"/>
      <c r="M45" s="34"/>
      <c r="N45" s="34">
        <f>ROUND($C$3*P45,2)</f>
        <v>5169.66</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1432.7</v>
      </c>
      <c r="L47" s="34"/>
      <c r="M47" s="34"/>
      <c r="N47" s="34">
        <f>ROUND($L$3*P47,2)</f>
        <v>1432.7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1343.6399999999994</v>
      </c>
      <c r="L48" s="34"/>
      <c r="M48" s="34"/>
      <c r="N48" s="34">
        <f>M3-SUM(N10,N21,N35)</f>
        <v>1343.6399999999994</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7945.9999999999991</v>
      </c>
      <c r="L49" s="34">
        <f>SUM(L45:L48)</f>
        <v>0</v>
      </c>
      <c r="M49" s="34">
        <f>SUM(M45:M48)</f>
        <v>0</v>
      </c>
      <c r="N49" s="34">
        <f>SUM(N45:N48)</f>
        <v>7945.9999999999991</v>
      </c>
      <c r="O49" s="8"/>
      <c r="P49" s="9"/>
    </row>
    <row r="50" spans="1:36" ht="21.95" customHeight="1" x14ac:dyDescent="0.2">
      <c r="A50" s="262"/>
      <c r="B50" s="261" t="s">
        <v>60</v>
      </c>
      <c r="C50" s="261"/>
      <c r="D50" s="261"/>
      <c r="E50" s="261"/>
      <c r="F50" s="261"/>
      <c r="G50" s="261"/>
      <c r="H50" s="261"/>
      <c r="I50" s="261"/>
      <c r="J50" s="34">
        <f>J49</f>
        <v>0</v>
      </c>
      <c r="K50" s="34">
        <f t="shared" ref="K50:N50" si="15">K49</f>
        <v>7945.9999999999991</v>
      </c>
      <c r="L50" s="34">
        <f t="shared" si="15"/>
        <v>0</v>
      </c>
      <c r="M50" s="34">
        <f t="shared" si="15"/>
        <v>0</v>
      </c>
      <c r="N50" s="34">
        <f t="shared" si="15"/>
        <v>7945.9999999999991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6065.74</v>
      </c>
      <c r="L51" s="34"/>
      <c r="M51" s="34"/>
      <c r="N51" s="34">
        <f>ROUND($C$4*P51,2)</f>
        <v>6065.74</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1681.04</v>
      </c>
      <c r="L53" s="34"/>
      <c r="M53" s="34"/>
      <c r="N53" s="34">
        <f>ROUND($L$4*P53,2)</f>
        <v>1681.04</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1576.5400000000009</v>
      </c>
      <c r="L54" s="34"/>
      <c r="M54" s="34"/>
      <c r="N54" s="34">
        <f>M4-SUM(N15,N27,N41)</f>
        <v>1576.5400000000009</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9323.32</v>
      </c>
      <c r="L55" s="34">
        <f>SUM(L51:L54)</f>
        <v>0</v>
      </c>
      <c r="M55" s="34">
        <f>SUM(M51:M54)</f>
        <v>0</v>
      </c>
      <c r="N55" s="34">
        <f>SUM(N51:N54)</f>
        <v>9323.32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9323.32</v>
      </c>
      <c r="L56" s="34">
        <f t="shared" si="17"/>
        <v>0</v>
      </c>
      <c r="M56" s="34">
        <f t="shared" si="17"/>
        <v>0</v>
      </c>
      <c r="N56" s="34">
        <f t="shared" si="17"/>
        <v>9323.32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17269.32</v>
      </c>
      <c r="L57" s="34">
        <f>L50+L56</f>
        <v>0</v>
      </c>
      <c r="M57" s="34">
        <f>M50+M56</f>
        <v>0</v>
      </c>
      <c r="N57" s="34">
        <f>N50+N56</f>
        <v>17269.32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68.069999999999993</v>
      </c>
      <c r="L59" s="34"/>
      <c r="M59" s="34"/>
      <c r="N59" s="34">
        <f>D3</f>
        <v>68.069999999999993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484.5</v>
      </c>
      <c r="L60" s="34"/>
      <c r="M60" s="34"/>
      <c r="N60" s="34">
        <f>E3</f>
        <v>484.5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702.11</v>
      </c>
      <c r="L61" s="34"/>
      <c r="M61" s="34"/>
      <c r="N61" s="34">
        <f>G3-SUM(N9,N20,N33,N46)</f>
        <v>702.11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309</v>
      </c>
      <c r="L62" s="34"/>
      <c r="M62" s="34"/>
      <c r="N62" s="34">
        <f>H3</f>
        <v>309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3978.63</v>
      </c>
      <c r="L63" s="34"/>
      <c r="M63" s="34"/>
      <c r="N63" s="34">
        <f>I3</f>
        <v>3978.63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233.91</v>
      </c>
      <c r="L64" s="34"/>
      <c r="M64" s="34"/>
      <c r="N64" s="34">
        <f>J3</f>
        <v>233.91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1840.4899999999998</v>
      </c>
      <c r="L65" s="34"/>
      <c r="M65" s="34"/>
      <c r="N65" s="34">
        <f>F3</f>
        <v>1840.4899999999998</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219.5</v>
      </c>
      <c r="L66" s="34"/>
      <c r="M66" s="34"/>
      <c r="N66" s="34">
        <f>K3</f>
        <v>219.5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7836.2099999999991</v>
      </c>
      <c r="L68" s="34">
        <f>SUM(L58:L67)</f>
        <v>0</v>
      </c>
      <c r="M68" s="34">
        <f>SUM(M58:M67)</f>
        <v>0</v>
      </c>
      <c r="N68" s="34">
        <f>SUM(N58:N67)</f>
        <v>7836.2099999999991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7836.2099999999991</v>
      </c>
      <c r="L69" s="34">
        <f t="shared" si="20"/>
        <v>0</v>
      </c>
      <c r="M69" s="34">
        <f t="shared" si="20"/>
        <v>0</v>
      </c>
      <c r="N69" s="34">
        <f t="shared" si="20"/>
        <v>7836.2099999999991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79.87</v>
      </c>
      <c r="L71" s="34"/>
      <c r="M71" s="34"/>
      <c r="N71" s="34">
        <f>D4</f>
        <v>79.87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568.48</v>
      </c>
      <c r="L72" s="34"/>
      <c r="M72" s="34"/>
      <c r="N72" s="34">
        <f>E4</f>
        <v>568.48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823.8</v>
      </c>
      <c r="L73" s="34"/>
      <c r="M73" s="34"/>
      <c r="N73" s="34">
        <f>G4-SUM(N14,N26,N39,N52)</f>
        <v>823.8</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362.56</v>
      </c>
      <c r="L74" s="34"/>
      <c r="M74" s="34"/>
      <c r="N74" s="34">
        <f>H4</f>
        <v>362.56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4668.26</v>
      </c>
      <c r="L75" s="34"/>
      <c r="M75" s="34"/>
      <c r="N75" s="34">
        <f>I4</f>
        <v>4668.26</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274.45</v>
      </c>
      <c r="L76" s="34"/>
      <c r="M76" s="34"/>
      <c r="N76" s="34">
        <f>J4</f>
        <v>274.45</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2159.5100000000002</v>
      </c>
      <c r="L77" s="34"/>
      <c r="M77" s="34"/>
      <c r="N77" s="34">
        <f>F4</f>
        <v>2159.5100000000002</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257.54000000000002</v>
      </c>
      <c r="L78" s="34"/>
      <c r="M78" s="34"/>
      <c r="N78" s="34">
        <f>K4</f>
        <v>257.54000000000002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9194.4700000000012</v>
      </c>
      <c r="L80" s="34">
        <f>SUM(L70:L79)</f>
        <v>0</v>
      </c>
      <c r="M80" s="34">
        <f>SUM(M70:M79)</f>
        <v>0</v>
      </c>
      <c r="N80" s="34">
        <f>SUM(N70:N79)</f>
        <v>9194.4700000000012</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9194.4700000000012</v>
      </c>
      <c r="L81" s="34">
        <f t="shared" si="23"/>
        <v>0</v>
      </c>
      <c r="M81" s="34">
        <f t="shared" si="23"/>
        <v>0</v>
      </c>
      <c r="N81" s="34">
        <f t="shared" si="23"/>
        <v>9194.4700000000012</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17030.68</v>
      </c>
      <c r="L82" s="34">
        <f>L69+L81</f>
        <v>0</v>
      </c>
      <c r="M82" s="34">
        <f>M69+M81</f>
        <v>0</v>
      </c>
      <c r="N82" s="34">
        <f>N69+N81</f>
        <v>17030.68</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431427.272</v>
      </c>
      <c r="L83" s="35">
        <f>L18+L31+L44+L57+L82</f>
        <v>347486.36300000001</v>
      </c>
      <c r="M83" s="35">
        <f>M18+M31+M44+M57+M82</f>
        <v>148922.72700000001</v>
      </c>
      <c r="N83" s="38">
        <f>N18+N31+N44+N57+N82</f>
        <v>1027118.1799999999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06BDFD9-AB04-48CA-991A-EBDBC0DF0156}">
          <x14:formula1>
            <xm:f>'2026 COB breakdown_Kris'!$A$5:$A$103</xm:f>
          </x14:formula1>
          <xm:sqref>A3</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28B9C-9394-44B6-91C7-3BBF0D4551D6}">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225</v>
      </c>
      <c r="B3" s="58" t="s">
        <v>158</v>
      </c>
      <c r="C3" s="59">
        <f>VLOOKUP($A3,COBTABLE,15, FALSE)</f>
        <v>7033.25</v>
      </c>
      <c r="D3" s="59">
        <f>VLOOKUP($A3,COBTABLE,16, FALSE)</f>
        <v>92.61</v>
      </c>
      <c r="E3" s="59">
        <f>VLOOKUP($A3,COBTABLE,17, FALSE)</f>
        <v>659.16</v>
      </c>
      <c r="F3" s="59">
        <f>VLOOKUP($A3,COBTABLE,18, FALSE)</f>
        <v>0</v>
      </c>
      <c r="G3" s="59">
        <f>VLOOKUP($A3,COBTABLE,19, FALSE)</f>
        <v>955.21</v>
      </c>
      <c r="H3" s="59">
        <f>VLOOKUP($A3,COBTABLE,20, FALSE)</f>
        <v>420.39</v>
      </c>
      <c r="I3" s="59">
        <f>VLOOKUP($A3,COBTABLE,21, FALSE)</f>
        <v>5412.86</v>
      </c>
      <c r="J3" s="59">
        <f>VLOOKUP($A3,COBTABLE,22, FALSE)</f>
        <v>318.23</v>
      </c>
      <c r="K3" s="59">
        <f>VLOOKUP($A3,COBTABLE,23, FALSE)</f>
        <v>298.63</v>
      </c>
      <c r="L3" s="59">
        <f>VLOOKUP($A3,COBTABLE,24, FALSE)</f>
        <v>1949.17</v>
      </c>
      <c r="M3" s="59">
        <f>VLOOKUP($A3,COBTABLE,25, FALSE)</f>
        <v>1827.9900000000016</v>
      </c>
      <c r="N3" s="60">
        <f>VLOOKUP($A3, countrygrant,2,FALSE)</f>
        <v>456818.18</v>
      </c>
      <c r="O3" s="92">
        <f>SUM(C3:N3)</f>
        <v>475785.68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5157.71</v>
      </c>
      <c r="D4" s="59">
        <f>VLOOKUP($A3,COBTABLE,28, FALSE)</f>
        <v>67.91</v>
      </c>
      <c r="E4" s="59">
        <f>VLOOKUP($A3,COBTABLE,29, FALSE)</f>
        <v>483.38</v>
      </c>
      <c r="F4" s="59">
        <f>VLOOKUP($A3,COBTABLE,30, FALSE)</f>
        <v>0</v>
      </c>
      <c r="G4" s="59">
        <f>VLOOKUP($A3,COBTABLE,31, FALSE)</f>
        <v>700.48</v>
      </c>
      <c r="H4" s="59">
        <f>VLOOKUP($A3,COBTABLE,32, FALSE)</f>
        <v>308.27999999999997</v>
      </c>
      <c r="I4" s="59">
        <f>VLOOKUP($A3,COBTABLE,33, FALSE)</f>
        <v>3969.44</v>
      </c>
      <c r="J4" s="59">
        <f>VLOOKUP($A3,COBTABLE,34, FALSE)</f>
        <v>233.37</v>
      </c>
      <c r="K4" s="59">
        <f>VLOOKUP($A3,COBTABLE,35, FALSE)</f>
        <v>218.99</v>
      </c>
      <c r="L4" s="59">
        <f>VLOOKUP($A3,COBTABLE,36, FALSE)</f>
        <v>1429.4</v>
      </c>
      <c r="M4" s="59">
        <f>VLOOKUP($A3,COBTABLE,37, FALSE)</f>
        <v>1340.5400000000009</v>
      </c>
      <c r="N4" s="60">
        <f>VLOOKUP($A3, countrygrant,3,FALSE)</f>
        <v>335000</v>
      </c>
      <c r="O4" s="92">
        <f t="shared" ref="O4" si="0">SUM(C4:N4)</f>
        <v>348909.5</v>
      </c>
      <c r="P4" s="28"/>
      <c r="Q4" s="28"/>
      <c r="R4" s="28"/>
      <c r="S4" s="28"/>
      <c r="T4" s="28"/>
      <c r="U4" s="28"/>
      <c r="V4" s="28"/>
      <c r="W4" s="28"/>
      <c r="X4" s="28"/>
      <c r="Y4" s="28"/>
      <c r="Z4" s="28"/>
      <c r="AA4" s="28"/>
      <c r="AB4" s="28"/>
      <c r="AC4" s="28"/>
    </row>
    <row r="5" spans="1:36" s="53" customFormat="1" ht="12" customHeight="1" x14ac:dyDescent="0.25">
      <c r="A5" s="278"/>
      <c r="B5" s="61" t="s">
        <v>156</v>
      </c>
      <c r="C5" s="62">
        <f>SUM(C3:C4)</f>
        <v>12190.96</v>
      </c>
      <c r="D5" s="62">
        <f t="shared" ref="D5:O5" si="1">SUM(D3:D4)</f>
        <v>160.51999999999998</v>
      </c>
      <c r="E5" s="62">
        <f t="shared" si="1"/>
        <v>1142.54</v>
      </c>
      <c r="F5" s="62">
        <f t="shared" si="1"/>
        <v>0</v>
      </c>
      <c r="G5" s="62">
        <f t="shared" si="1"/>
        <v>1655.69</v>
      </c>
      <c r="H5" s="62">
        <f t="shared" si="1"/>
        <v>728.67</v>
      </c>
      <c r="I5" s="62">
        <f t="shared" si="1"/>
        <v>9382.2999999999993</v>
      </c>
      <c r="J5" s="62">
        <f t="shared" si="1"/>
        <v>551.6</v>
      </c>
      <c r="K5" s="62">
        <f t="shared" si="1"/>
        <v>517.62</v>
      </c>
      <c r="L5" s="62">
        <f t="shared" si="1"/>
        <v>3378.57</v>
      </c>
      <c r="M5" s="62">
        <f t="shared" si="1"/>
        <v>3168.5300000000025</v>
      </c>
      <c r="N5" s="62">
        <f t="shared" si="1"/>
        <v>791818.17999999993</v>
      </c>
      <c r="O5" s="62">
        <f t="shared" si="1"/>
        <v>824695.17999999993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33500</v>
      </c>
      <c r="K28" s="34">
        <f>$N28*0.4</f>
        <v>134000</v>
      </c>
      <c r="L28" s="34">
        <f>$N28*0.35</f>
        <v>117249.99999999999</v>
      </c>
      <c r="M28" s="34">
        <f>$N28*0.15</f>
        <v>50250</v>
      </c>
      <c r="N28" s="34">
        <f>N4</f>
        <v>335000</v>
      </c>
      <c r="O28" s="8"/>
      <c r="P28" s="9">
        <f>VLOOKUP(H28,starratio4,4,FALSE)</f>
        <v>0</v>
      </c>
    </row>
    <row r="29" spans="1:36" ht="21.95" customHeight="1" x14ac:dyDescent="0.2">
      <c r="A29" s="262"/>
      <c r="B29" s="262"/>
      <c r="C29" s="263" t="s">
        <v>31</v>
      </c>
      <c r="D29" s="263"/>
      <c r="E29" s="263"/>
      <c r="F29" s="263"/>
      <c r="G29" s="263"/>
      <c r="H29" s="263"/>
      <c r="I29" s="263"/>
      <c r="J29" s="34">
        <f>SUM(J25:J28)</f>
        <v>33500</v>
      </c>
      <c r="K29" s="34">
        <f>SUM(K25:K28)</f>
        <v>134000</v>
      </c>
      <c r="L29" s="34">
        <f>SUM(L25:L28)</f>
        <v>117249.99999999999</v>
      </c>
      <c r="M29" s="34">
        <f>SUM(M25:M28)</f>
        <v>50250</v>
      </c>
      <c r="N29" s="34">
        <f>SUM(N25:N28)</f>
        <v>335000</v>
      </c>
      <c r="O29" s="8"/>
      <c r="P29" s="9"/>
    </row>
    <row r="30" spans="1:36" ht="21.95" customHeight="1" x14ac:dyDescent="0.2">
      <c r="A30" s="262"/>
      <c r="B30" s="263" t="s">
        <v>44</v>
      </c>
      <c r="C30" s="263"/>
      <c r="D30" s="263"/>
      <c r="E30" s="263"/>
      <c r="F30" s="263"/>
      <c r="G30" s="263"/>
      <c r="H30" s="263"/>
      <c r="I30" s="263"/>
      <c r="J30" s="34">
        <f>J29</f>
        <v>33500</v>
      </c>
      <c r="K30" s="34">
        <f t="shared" ref="K30:N30" si="9">K29</f>
        <v>134000</v>
      </c>
      <c r="L30" s="34">
        <f t="shared" si="9"/>
        <v>117249.99999999999</v>
      </c>
      <c r="M30" s="34">
        <f t="shared" si="9"/>
        <v>50250</v>
      </c>
      <c r="N30" s="34">
        <f t="shared" si="9"/>
        <v>335000</v>
      </c>
      <c r="O30" s="8"/>
      <c r="Q30" s="10"/>
      <c r="Z30" s="11"/>
      <c r="AC30" s="12"/>
      <c r="AD30" s="13"/>
    </row>
    <row r="31" spans="1:36" ht="21.95" customHeight="1" x14ac:dyDescent="0.2">
      <c r="A31" s="261" t="s">
        <v>45</v>
      </c>
      <c r="B31" s="261"/>
      <c r="C31" s="261"/>
      <c r="D31" s="261"/>
      <c r="E31" s="261"/>
      <c r="F31" s="261"/>
      <c r="G31" s="261"/>
      <c r="H31" s="261"/>
      <c r="I31" s="261"/>
      <c r="J31" s="34">
        <f>J24+J30</f>
        <v>79181.817999999999</v>
      </c>
      <c r="K31" s="34">
        <f>K24+K30</f>
        <v>316727.272</v>
      </c>
      <c r="L31" s="34">
        <f>L24+L30</f>
        <v>277136.36299999995</v>
      </c>
      <c r="M31" s="34">
        <f>M24+M30</f>
        <v>118772.727</v>
      </c>
      <c r="N31" s="34">
        <f>N24+N30</f>
        <v>791818.17999999993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7033.25</v>
      </c>
      <c r="L45" s="34"/>
      <c r="M45" s="34"/>
      <c r="N45" s="34">
        <f>ROUND($C$3*P45,2)</f>
        <v>7033.25</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1949.17</v>
      </c>
      <c r="L47" s="34"/>
      <c r="M47" s="34"/>
      <c r="N47" s="34">
        <f>ROUND($L$3*P47,2)</f>
        <v>1949.17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1827.9900000000016</v>
      </c>
      <c r="L48" s="34"/>
      <c r="M48" s="34"/>
      <c r="N48" s="34">
        <f>M3-SUM(N10,N21,N35)</f>
        <v>1827.9900000000016</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10810.410000000002</v>
      </c>
      <c r="L49" s="34">
        <f>SUM(L45:L48)</f>
        <v>0</v>
      </c>
      <c r="M49" s="34">
        <f>SUM(M45:M48)</f>
        <v>0</v>
      </c>
      <c r="N49" s="34">
        <f>SUM(N45:N48)</f>
        <v>10810.410000000002</v>
      </c>
      <c r="O49" s="8"/>
      <c r="P49" s="9"/>
    </row>
    <row r="50" spans="1:36" ht="21.95" customHeight="1" x14ac:dyDescent="0.2">
      <c r="A50" s="262"/>
      <c r="B50" s="261" t="s">
        <v>60</v>
      </c>
      <c r="C50" s="261"/>
      <c r="D50" s="261"/>
      <c r="E50" s="261"/>
      <c r="F50" s="261"/>
      <c r="G50" s="261"/>
      <c r="H50" s="261"/>
      <c r="I50" s="261"/>
      <c r="J50" s="34">
        <f>J49</f>
        <v>0</v>
      </c>
      <c r="K50" s="34">
        <f t="shared" ref="K50:N50" si="15">K49</f>
        <v>10810.410000000002</v>
      </c>
      <c r="L50" s="34">
        <f t="shared" si="15"/>
        <v>0</v>
      </c>
      <c r="M50" s="34">
        <f t="shared" si="15"/>
        <v>0</v>
      </c>
      <c r="N50" s="34">
        <f t="shared" si="15"/>
        <v>10810.410000000002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5157.71</v>
      </c>
      <c r="L51" s="34"/>
      <c r="M51" s="34"/>
      <c r="N51" s="34">
        <f>ROUND($C$4*P51,2)</f>
        <v>5157.71</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1429.4</v>
      </c>
      <c r="L53" s="34"/>
      <c r="M53" s="34"/>
      <c r="N53" s="34">
        <f>ROUND($L$4*P53,2)</f>
        <v>1429.4</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1340.5400000000009</v>
      </c>
      <c r="L54" s="34"/>
      <c r="M54" s="34"/>
      <c r="N54" s="34">
        <f>M4-SUM(N15,N27,N41)</f>
        <v>1340.5400000000009</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7927.6500000000015</v>
      </c>
      <c r="L55" s="34">
        <f>SUM(L51:L54)</f>
        <v>0</v>
      </c>
      <c r="M55" s="34">
        <f>SUM(M51:M54)</f>
        <v>0</v>
      </c>
      <c r="N55" s="34">
        <f>SUM(N51:N54)</f>
        <v>7927.6500000000015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7927.6500000000015</v>
      </c>
      <c r="L56" s="34">
        <f t="shared" si="17"/>
        <v>0</v>
      </c>
      <c r="M56" s="34">
        <f t="shared" si="17"/>
        <v>0</v>
      </c>
      <c r="N56" s="34">
        <f t="shared" si="17"/>
        <v>7927.6500000000015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18738.060000000005</v>
      </c>
      <c r="L57" s="34">
        <f>L50+L56</f>
        <v>0</v>
      </c>
      <c r="M57" s="34">
        <f>M50+M56</f>
        <v>0</v>
      </c>
      <c r="N57" s="34">
        <f>N50+N56</f>
        <v>18738.060000000005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92.61</v>
      </c>
      <c r="L59" s="34"/>
      <c r="M59" s="34"/>
      <c r="N59" s="34">
        <f>D3</f>
        <v>92.61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659.16</v>
      </c>
      <c r="L60" s="34"/>
      <c r="M60" s="34"/>
      <c r="N60" s="34">
        <f>E3</f>
        <v>659.16</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955.21</v>
      </c>
      <c r="L61" s="34"/>
      <c r="M61" s="34"/>
      <c r="N61" s="34">
        <f>G3-SUM(N9,N20,N33,N46)</f>
        <v>955.21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420.39</v>
      </c>
      <c r="L62" s="34"/>
      <c r="M62" s="34"/>
      <c r="N62" s="34">
        <f>H3</f>
        <v>420.39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5412.86</v>
      </c>
      <c r="L63" s="34"/>
      <c r="M63" s="34"/>
      <c r="N63" s="34">
        <f>I3</f>
        <v>5412.86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318.23</v>
      </c>
      <c r="L64" s="34"/>
      <c r="M64" s="34"/>
      <c r="N64" s="34">
        <f>J3</f>
        <v>318.23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298.63</v>
      </c>
      <c r="L66" s="34"/>
      <c r="M66" s="34"/>
      <c r="N66" s="34">
        <f>K3</f>
        <v>298.63</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8157.0899999999992</v>
      </c>
      <c r="L68" s="34">
        <f>SUM(L58:L67)</f>
        <v>0</v>
      </c>
      <c r="M68" s="34">
        <f>SUM(M58:M67)</f>
        <v>0</v>
      </c>
      <c r="N68" s="34">
        <f>SUM(N58:N67)</f>
        <v>8157.0899999999992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8157.0899999999992</v>
      </c>
      <c r="L69" s="34">
        <f t="shared" si="20"/>
        <v>0</v>
      </c>
      <c r="M69" s="34">
        <f t="shared" si="20"/>
        <v>0</v>
      </c>
      <c r="N69" s="34">
        <f t="shared" si="20"/>
        <v>8157.0899999999992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67.91</v>
      </c>
      <c r="L71" s="34"/>
      <c r="M71" s="34"/>
      <c r="N71" s="34">
        <f>D4</f>
        <v>67.91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483.38</v>
      </c>
      <c r="L72" s="34"/>
      <c r="M72" s="34"/>
      <c r="N72" s="34">
        <f>E4</f>
        <v>483.38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700.48</v>
      </c>
      <c r="L73" s="34"/>
      <c r="M73" s="34"/>
      <c r="N73" s="34">
        <f>G4-SUM(N14,N26,N39,N52)</f>
        <v>700.48</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308.27999999999997</v>
      </c>
      <c r="L74" s="34"/>
      <c r="M74" s="34"/>
      <c r="N74" s="34">
        <f>H4</f>
        <v>308.27999999999997</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3969.44</v>
      </c>
      <c r="L75" s="34"/>
      <c r="M75" s="34"/>
      <c r="N75" s="34">
        <f>I4</f>
        <v>3969.44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233.37</v>
      </c>
      <c r="L76" s="34"/>
      <c r="M76" s="34"/>
      <c r="N76" s="34">
        <f>J4</f>
        <v>233.37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218.99</v>
      </c>
      <c r="L78" s="34"/>
      <c r="M78" s="34"/>
      <c r="N78" s="34">
        <f>K4</f>
        <v>218.99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5981.8499999999995</v>
      </c>
      <c r="L80" s="34">
        <f>SUM(L70:L79)</f>
        <v>0</v>
      </c>
      <c r="M80" s="34">
        <f>SUM(M70:M79)</f>
        <v>0</v>
      </c>
      <c r="N80" s="34">
        <f>SUM(N70:N79)</f>
        <v>5981.8499999999995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5981.8499999999995</v>
      </c>
      <c r="L81" s="34">
        <f t="shared" si="23"/>
        <v>0</v>
      </c>
      <c r="M81" s="34">
        <f t="shared" si="23"/>
        <v>0</v>
      </c>
      <c r="N81" s="34">
        <f t="shared" si="23"/>
        <v>5981.8499999999995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14138.939999999999</v>
      </c>
      <c r="L82" s="34">
        <f>L69+L81</f>
        <v>0</v>
      </c>
      <c r="M82" s="34">
        <f>M69+M81</f>
        <v>0</v>
      </c>
      <c r="N82" s="34">
        <f>N69+N81</f>
        <v>14138.939999999999</v>
      </c>
      <c r="O82" s="8"/>
      <c r="R82" s="14"/>
      <c r="Z82" s="15"/>
      <c r="AJ82" s="16"/>
    </row>
    <row r="83" spans="1:36" s="31" customFormat="1" ht="21.95" customHeight="1" x14ac:dyDescent="0.2">
      <c r="A83" s="275" t="s">
        <v>82</v>
      </c>
      <c r="B83" s="275"/>
      <c r="C83" s="275"/>
      <c r="D83" s="275"/>
      <c r="E83" s="275"/>
      <c r="F83" s="275"/>
      <c r="G83" s="275"/>
      <c r="H83" s="275"/>
      <c r="I83" s="275"/>
      <c r="J83" s="35">
        <f>J18+J31+J44+J57+J82</f>
        <v>79181.817999999999</v>
      </c>
      <c r="K83" s="35">
        <f>K18+K31+K44+K57+K82</f>
        <v>349604.272</v>
      </c>
      <c r="L83" s="35">
        <f>L18+L31+L44+L57+L82</f>
        <v>277136.36299999995</v>
      </c>
      <c r="M83" s="35">
        <f>M18+M31+M44+M57+M82</f>
        <v>118772.727</v>
      </c>
      <c r="N83" s="38">
        <f>N18+N31+N44+N57+N82</f>
        <v>824695.17999999993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831BB1C-1B8C-4C0E-802B-F677024327CF}">
          <x14:formula1>
            <xm:f>'2026 COB breakdown_Kris'!$A$5:$A$103</xm:f>
          </x14:formula1>
          <xm:sqref>A3</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894CC-9E7A-4928-9DAE-2B0A94FD4AA9}">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226</v>
      </c>
      <c r="B3" s="58" t="s">
        <v>158</v>
      </c>
      <c r="C3" s="59">
        <f>VLOOKUP($A3,COBTABLE,15, FALSE)</f>
        <v>4271.49</v>
      </c>
      <c r="D3" s="59">
        <f>VLOOKUP($A3,COBTABLE,16, FALSE)</f>
        <v>56.24</v>
      </c>
      <c r="E3" s="59">
        <f>VLOOKUP($A3,COBTABLE,17, FALSE)</f>
        <v>400.33</v>
      </c>
      <c r="F3" s="59">
        <f>VLOOKUP($A3,COBTABLE,18, FALSE)</f>
        <v>0</v>
      </c>
      <c r="G3" s="59">
        <f>VLOOKUP($A3,COBTABLE,19, FALSE)</f>
        <v>580.12</v>
      </c>
      <c r="H3" s="59">
        <f>VLOOKUP($A3,COBTABLE,20, FALSE)</f>
        <v>255.31</v>
      </c>
      <c r="I3" s="59">
        <f>VLOOKUP($A3,COBTABLE,21, FALSE)</f>
        <v>3287.39</v>
      </c>
      <c r="J3" s="59">
        <f>VLOOKUP($A3,COBTABLE,22, FALSE)</f>
        <v>193.27</v>
      </c>
      <c r="K3" s="59">
        <f>VLOOKUP($A3,COBTABLE,23, FALSE)</f>
        <v>181.36</v>
      </c>
      <c r="L3" s="59">
        <f>VLOOKUP($A3,COBTABLE,24, FALSE)</f>
        <v>1183.79</v>
      </c>
      <c r="M3" s="59">
        <f>VLOOKUP($A3,COBTABLE,25, FALSE)</f>
        <v>1110.2099999999991</v>
      </c>
      <c r="N3" s="60">
        <f>VLOOKUP($A3, countrygrant,2,FALSE)</f>
        <v>456818.18</v>
      </c>
      <c r="O3" s="92">
        <f>SUM(C3:N3)</f>
        <v>468337.69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6264.86</v>
      </c>
      <c r="D4" s="59">
        <f>VLOOKUP($A3,COBTABLE,28, FALSE)</f>
        <v>82.49</v>
      </c>
      <c r="E4" s="59">
        <f>VLOOKUP($A3,COBTABLE,29, FALSE)</f>
        <v>587.14</v>
      </c>
      <c r="F4" s="59">
        <f>VLOOKUP($A3,COBTABLE,30, FALSE)</f>
        <v>0</v>
      </c>
      <c r="G4" s="59">
        <f>VLOOKUP($A3,COBTABLE,31, FALSE)</f>
        <v>850.85</v>
      </c>
      <c r="H4" s="59">
        <f>VLOOKUP($A3,COBTABLE,32, FALSE)</f>
        <v>374.46</v>
      </c>
      <c r="I4" s="59">
        <f>VLOOKUP($A3,COBTABLE,33, FALSE)</f>
        <v>4821.51</v>
      </c>
      <c r="J4" s="59">
        <f>VLOOKUP($A3,COBTABLE,34, FALSE)</f>
        <v>283.45999999999998</v>
      </c>
      <c r="K4" s="59">
        <f>VLOOKUP($A3,COBTABLE,35, FALSE)</f>
        <v>266</v>
      </c>
      <c r="L4" s="59">
        <f>VLOOKUP($A3,COBTABLE,36, FALSE)</f>
        <v>1736.23</v>
      </c>
      <c r="M4" s="59">
        <f>VLOOKUP($A3,COBTABLE,37, FALSE)</f>
        <v>1628.2900000000009</v>
      </c>
      <c r="N4" s="60">
        <f>VLOOKUP($A3, countrygrant,3,FALSE)</f>
        <v>670000</v>
      </c>
      <c r="O4" s="92">
        <f t="shared" ref="O4" si="0">SUM(C4:N4)</f>
        <v>686895.29</v>
      </c>
      <c r="P4" s="28"/>
      <c r="Q4" s="28"/>
      <c r="R4" s="28"/>
      <c r="S4" s="28"/>
      <c r="T4" s="28"/>
      <c r="U4" s="28"/>
      <c r="V4" s="28"/>
      <c r="W4" s="28"/>
      <c r="X4" s="28"/>
      <c r="Y4" s="28"/>
      <c r="Z4" s="28"/>
      <c r="AA4" s="28"/>
      <c r="AB4" s="28"/>
      <c r="AC4" s="28"/>
    </row>
    <row r="5" spans="1:36" s="53" customFormat="1" ht="12" customHeight="1" x14ac:dyDescent="0.25">
      <c r="A5" s="278"/>
      <c r="B5" s="61" t="s">
        <v>156</v>
      </c>
      <c r="C5" s="62">
        <f>SUM(C3:C4)</f>
        <v>10536.349999999999</v>
      </c>
      <c r="D5" s="62">
        <f t="shared" ref="D5:O5" si="1">SUM(D3:D4)</f>
        <v>138.72999999999999</v>
      </c>
      <c r="E5" s="62">
        <f t="shared" si="1"/>
        <v>987.47</v>
      </c>
      <c r="F5" s="62">
        <f t="shared" si="1"/>
        <v>0</v>
      </c>
      <c r="G5" s="62">
        <f t="shared" si="1"/>
        <v>1430.97</v>
      </c>
      <c r="H5" s="62">
        <f t="shared" si="1"/>
        <v>629.77</v>
      </c>
      <c r="I5" s="62">
        <f t="shared" si="1"/>
        <v>8108.9</v>
      </c>
      <c r="J5" s="62">
        <f t="shared" si="1"/>
        <v>476.73</v>
      </c>
      <c r="K5" s="62">
        <f t="shared" si="1"/>
        <v>447.36</v>
      </c>
      <c r="L5" s="62">
        <f t="shared" si="1"/>
        <v>2920.02</v>
      </c>
      <c r="M5" s="62">
        <f t="shared" si="1"/>
        <v>2738.5</v>
      </c>
      <c r="N5" s="62">
        <f t="shared" si="1"/>
        <v>1126818.18</v>
      </c>
      <c r="O5" s="62">
        <f t="shared" si="1"/>
        <v>1155232.98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VLOOKUP(H28,starratio4,4,FALSE)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4271.49</v>
      </c>
      <c r="L45" s="34"/>
      <c r="M45" s="34"/>
      <c r="N45" s="34">
        <f>ROUND($C$3*P45,2)</f>
        <v>4271.49</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1183.79</v>
      </c>
      <c r="L47" s="34"/>
      <c r="M47" s="34"/>
      <c r="N47" s="34">
        <f>ROUND($L$3*P47,2)</f>
        <v>1183.79</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1110.2099999999991</v>
      </c>
      <c r="L48" s="34"/>
      <c r="M48" s="34"/>
      <c r="N48" s="34">
        <f>M3-SUM(N10,N21,N35)</f>
        <v>1110.2099999999991</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6565.4899999999989</v>
      </c>
      <c r="L49" s="34">
        <f>SUM(L45:L48)</f>
        <v>0</v>
      </c>
      <c r="M49" s="34">
        <f>SUM(M45:M48)</f>
        <v>0</v>
      </c>
      <c r="N49" s="34">
        <f>SUM(N45:N48)</f>
        <v>6565.4899999999989</v>
      </c>
      <c r="O49" s="8"/>
      <c r="P49" s="9"/>
    </row>
    <row r="50" spans="1:36" ht="21.95" customHeight="1" x14ac:dyDescent="0.2">
      <c r="A50" s="262"/>
      <c r="B50" s="261" t="s">
        <v>60</v>
      </c>
      <c r="C50" s="261"/>
      <c r="D50" s="261"/>
      <c r="E50" s="261"/>
      <c r="F50" s="261"/>
      <c r="G50" s="261"/>
      <c r="H50" s="261"/>
      <c r="I50" s="261"/>
      <c r="J50" s="34">
        <f>J49</f>
        <v>0</v>
      </c>
      <c r="K50" s="34">
        <f t="shared" ref="K50:N50" si="15">K49</f>
        <v>6565.4899999999989</v>
      </c>
      <c r="L50" s="34">
        <f t="shared" si="15"/>
        <v>0</v>
      </c>
      <c r="M50" s="34">
        <f t="shared" si="15"/>
        <v>0</v>
      </c>
      <c r="N50" s="34">
        <f t="shared" si="15"/>
        <v>6565.4899999999989</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6264.86</v>
      </c>
      <c r="L51" s="34"/>
      <c r="M51" s="34"/>
      <c r="N51" s="34">
        <f>ROUND($C$4*P51,2)</f>
        <v>6264.86</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1736.23</v>
      </c>
      <c r="L53" s="34"/>
      <c r="M53" s="34"/>
      <c r="N53" s="34">
        <f>ROUND($L$4*P53,2)</f>
        <v>1736.23</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1628.2900000000009</v>
      </c>
      <c r="L54" s="34"/>
      <c r="M54" s="34"/>
      <c r="N54" s="34">
        <f>M4-SUM(N15,N27,N41)</f>
        <v>1628.2900000000009</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9629.380000000001</v>
      </c>
      <c r="L55" s="34">
        <f>SUM(L51:L54)</f>
        <v>0</v>
      </c>
      <c r="M55" s="34">
        <f>SUM(M51:M54)</f>
        <v>0</v>
      </c>
      <c r="N55" s="34">
        <f>SUM(N51:N54)</f>
        <v>9629.380000000001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9629.380000000001</v>
      </c>
      <c r="L56" s="34">
        <f t="shared" si="17"/>
        <v>0</v>
      </c>
      <c r="M56" s="34">
        <f t="shared" si="17"/>
        <v>0</v>
      </c>
      <c r="N56" s="34">
        <f t="shared" si="17"/>
        <v>9629.380000000001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16194.869999999999</v>
      </c>
      <c r="L57" s="34">
        <f>L50+L56</f>
        <v>0</v>
      </c>
      <c r="M57" s="34">
        <f>M50+M56</f>
        <v>0</v>
      </c>
      <c r="N57" s="34">
        <f>N50+N56</f>
        <v>16194.869999999999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56.24</v>
      </c>
      <c r="L59" s="34"/>
      <c r="M59" s="34"/>
      <c r="N59" s="34">
        <f>D3</f>
        <v>56.24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400.33</v>
      </c>
      <c r="L60" s="34"/>
      <c r="M60" s="34"/>
      <c r="N60" s="34">
        <f>E3</f>
        <v>400.33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580.12</v>
      </c>
      <c r="L61" s="34"/>
      <c r="M61" s="34"/>
      <c r="N61" s="34">
        <f>G3-SUM(N9,N20,N33,N46)</f>
        <v>580.12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255.31</v>
      </c>
      <c r="L62" s="34"/>
      <c r="M62" s="34"/>
      <c r="N62" s="34">
        <f>H3</f>
        <v>255.31</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3287.39</v>
      </c>
      <c r="L63" s="34"/>
      <c r="M63" s="34"/>
      <c r="N63" s="34">
        <f>I3</f>
        <v>3287.39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193.27</v>
      </c>
      <c r="L64" s="34"/>
      <c r="M64" s="34"/>
      <c r="N64" s="34">
        <f>J3</f>
        <v>193.27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181.36</v>
      </c>
      <c r="L66" s="34"/>
      <c r="M66" s="34"/>
      <c r="N66" s="34">
        <f>K3</f>
        <v>181.36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4954.0199999999995</v>
      </c>
      <c r="L68" s="34">
        <f>SUM(L58:L67)</f>
        <v>0</v>
      </c>
      <c r="M68" s="34">
        <f>SUM(M58:M67)</f>
        <v>0</v>
      </c>
      <c r="N68" s="34">
        <f>SUM(N58:N67)</f>
        <v>4954.0199999999995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4954.0199999999995</v>
      </c>
      <c r="L69" s="34">
        <f t="shared" si="20"/>
        <v>0</v>
      </c>
      <c r="M69" s="34">
        <f t="shared" si="20"/>
        <v>0</v>
      </c>
      <c r="N69" s="34">
        <f t="shared" si="20"/>
        <v>4954.0199999999995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82.49</v>
      </c>
      <c r="L71" s="34"/>
      <c r="M71" s="34"/>
      <c r="N71" s="34">
        <f>D4</f>
        <v>82.49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587.14</v>
      </c>
      <c r="L72" s="34"/>
      <c r="M72" s="34"/>
      <c r="N72" s="34">
        <f>E4</f>
        <v>587.14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850.85</v>
      </c>
      <c r="L73" s="34"/>
      <c r="M73" s="34"/>
      <c r="N73" s="34">
        <f>G4-SUM(N14,N26,N39,N52)</f>
        <v>850.85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374.46</v>
      </c>
      <c r="L74" s="34"/>
      <c r="M74" s="34"/>
      <c r="N74" s="34">
        <f>H4</f>
        <v>374.46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4821.51</v>
      </c>
      <c r="L75" s="34"/>
      <c r="M75" s="34"/>
      <c r="N75" s="34">
        <f>I4</f>
        <v>4821.51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283.45999999999998</v>
      </c>
      <c r="L76" s="34"/>
      <c r="M76" s="34"/>
      <c r="N76" s="34">
        <f>J4</f>
        <v>283.45999999999998</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266</v>
      </c>
      <c r="L78" s="34"/>
      <c r="M78" s="34"/>
      <c r="N78" s="34">
        <f>K4</f>
        <v>266</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7265.9100000000008</v>
      </c>
      <c r="L80" s="34">
        <f>SUM(L70:L79)</f>
        <v>0</v>
      </c>
      <c r="M80" s="34">
        <f>SUM(M70:M79)</f>
        <v>0</v>
      </c>
      <c r="N80" s="34">
        <f>SUM(N70:N79)</f>
        <v>7265.9100000000008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7265.9100000000008</v>
      </c>
      <c r="L81" s="34">
        <f t="shared" si="23"/>
        <v>0</v>
      </c>
      <c r="M81" s="34">
        <f t="shared" si="23"/>
        <v>0</v>
      </c>
      <c r="N81" s="34">
        <f t="shared" si="23"/>
        <v>7265.9100000000008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12219.93</v>
      </c>
      <c r="L82" s="34">
        <f>L69+L81</f>
        <v>0</v>
      </c>
      <c r="M82" s="34">
        <f>M69+M81</f>
        <v>0</v>
      </c>
      <c r="N82" s="34">
        <f>N69+N81</f>
        <v>12219.93</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479142.07199999999</v>
      </c>
      <c r="L83" s="35">
        <f>L18+L31+L44+L57+L82</f>
        <v>394386.36299999995</v>
      </c>
      <c r="M83" s="35">
        <f>M18+M31+M44+M57+M82</f>
        <v>169022.72700000001</v>
      </c>
      <c r="N83" s="38">
        <f>N18+N31+N44+N57+N82</f>
        <v>1155232.98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25250DE-1CD5-4BCE-8A56-B535ADCF6424}">
          <x14:formula1>
            <xm:f>'2026 COB breakdown_Kris'!$A$5:$A$103</xm:f>
          </x14:formula1>
          <xm:sqref>A3</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07C24-5DE6-4E7D-8FF0-31E5B2C859C8}">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227</v>
      </c>
      <c r="B3" s="58" t="s">
        <v>158</v>
      </c>
      <c r="C3" s="59">
        <f>VLOOKUP($A3,COBTABLE,15, FALSE)</f>
        <v>9303.09</v>
      </c>
      <c r="D3" s="59">
        <f>VLOOKUP($A3,COBTABLE,16, FALSE)</f>
        <v>122.49</v>
      </c>
      <c r="E3" s="59">
        <f>VLOOKUP($A3,COBTABLE,17, FALSE)</f>
        <v>871.89</v>
      </c>
      <c r="F3" s="59">
        <f>VLOOKUP($A3,COBTABLE,18, FALSE)</f>
        <v>0</v>
      </c>
      <c r="G3" s="59">
        <f>VLOOKUP($A3,COBTABLE,19, FALSE)</f>
        <v>1263.48</v>
      </c>
      <c r="H3" s="59">
        <f>VLOOKUP($A3,COBTABLE,20, FALSE)</f>
        <v>556.05999999999995</v>
      </c>
      <c r="I3" s="59">
        <f>VLOOKUP($A3,COBTABLE,21, FALSE)</f>
        <v>7159.76</v>
      </c>
      <c r="J3" s="59">
        <f>VLOOKUP($A3,COBTABLE,22, FALSE)</f>
        <v>420.93</v>
      </c>
      <c r="K3" s="59">
        <f>VLOOKUP($A3,COBTABLE,23, FALSE)</f>
        <v>395</v>
      </c>
      <c r="L3" s="59">
        <f>VLOOKUP($A3,COBTABLE,24, FALSE)</f>
        <v>2578.23</v>
      </c>
      <c r="M3" s="59">
        <f>VLOOKUP($A3,COBTABLE,25, FALSE)</f>
        <v>2417.950000000008</v>
      </c>
      <c r="N3" s="60">
        <f>VLOOKUP($A3, countrygrant,2,FALSE)</f>
        <v>456818.18</v>
      </c>
      <c r="O3" s="92">
        <f>SUM(C3:N3)</f>
        <v>481907.06</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3517.51</v>
      </c>
      <c r="D4" s="59">
        <f>VLOOKUP($A3,COBTABLE,28, FALSE)</f>
        <v>46.32</v>
      </c>
      <c r="E4" s="59">
        <f>VLOOKUP($A3,COBTABLE,29, FALSE)</f>
        <v>329.66</v>
      </c>
      <c r="F4" s="59">
        <f>VLOOKUP($A3,COBTABLE,30, FALSE)</f>
        <v>0</v>
      </c>
      <c r="G4" s="59">
        <f>VLOOKUP($A3,COBTABLE,31, FALSE)</f>
        <v>477.72</v>
      </c>
      <c r="H4" s="59">
        <f>VLOOKUP($A3,COBTABLE,32, FALSE)</f>
        <v>210.25</v>
      </c>
      <c r="I4" s="59">
        <f>VLOOKUP($A3,COBTABLE,33, FALSE)</f>
        <v>2707.11</v>
      </c>
      <c r="J4" s="59">
        <f>VLOOKUP($A3,COBTABLE,34, FALSE)</f>
        <v>159.16</v>
      </c>
      <c r="K4" s="59">
        <f>VLOOKUP($A3,COBTABLE,35, FALSE)</f>
        <v>149.35</v>
      </c>
      <c r="L4" s="59">
        <f>VLOOKUP($A3,COBTABLE,36, FALSE)</f>
        <v>974.83</v>
      </c>
      <c r="M4" s="59">
        <f>VLOOKUP($A3,COBTABLE,37, FALSE)</f>
        <v>914.21999999999935</v>
      </c>
      <c r="N4" s="60">
        <f>VLOOKUP($A3, countrygrant,3,FALSE)</f>
        <v>172723.32</v>
      </c>
      <c r="O4" s="92">
        <f t="shared" ref="O4" si="0">SUM(C4:N4)</f>
        <v>182209.45</v>
      </c>
      <c r="P4" s="28"/>
      <c r="Q4" s="28"/>
      <c r="R4" s="28"/>
      <c r="S4" s="28"/>
      <c r="T4" s="28"/>
      <c r="U4" s="28"/>
      <c r="V4" s="28"/>
      <c r="W4" s="28"/>
      <c r="X4" s="28"/>
      <c r="Y4" s="28"/>
      <c r="Z4" s="28"/>
      <c r="AA4" s="28"/>
      <c r="AB4" s="28"/>
      <c r="AC4" s="28"/>
    </row>
    <row r="5" spans="1:36" s="53" customFormat="1" ht="12" customHeight="1" x14ac:dyDescent="0.25">
      <c r="A5" s="278"/>
      <c r="B5" s="61" t="s">
        <v>156</v>
      </c>
      <c r="C5" s="62">
        <f>SUM(C3:C4)</f>
        <v>12820.6</v>
      </c>
      <c r="D5" s="62">
        <f t="shared" ref="D5:O5" si="1">SUM(D3:D4)</f>
        <v>168.81</v>
      </c>
      <c r="E5" s="62">
        <f t="shared" si="1"/>
        <v>1201.55</v>
      </c>
      <c r="F5" s="62">
        <f t="shared" si="1"/>
        <v>0</v>
      </c>
      <c r="G5" s="62">
        <f t="shared" si="1"/>
        <v>1741.2</v>
      </c>
      <c r="H5" s="62">
        <f t="shared" si="1"/>
        <v>766.31</v>
      </c>
      <c r="I5" s="62">
        <f t="shared" si="1"/>
        <v>9866.8700000000008</v>
      </c>
      <c r="J5" s="62">
        <f t="shared" si="1"/>
        <v>580.09</v>
      </c>
      <c r="K5" s="62">
        <f t="shared" si="1"/>
        <v>544.35</v>
      </c>
      <c r="L5" s="62">
        <f t="shared" si="1"/>
        <v>3553.06</v>
      </c>
      <c r="M5" s="62">
        <f t="shared" si="1"/>
        <v>3332.1700000000073</v>
      </c>
      <c r="N5" s="62">
        <f t="shared" si="1"/>
        <v>629541.5</v>
      </c>
      <c r="O5" s="62">
        <f t="shared" si="1"/>
        <v>664116.51</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17272.332000000002</v>
      </c>
      <c r="K28" s="34">
        <f>$N28*0.4</f>
        <v>69089.328000000009</v>
      </c>
      <c r="L28" s="34">
        <f>$N28*0.35</f>
        <v>60453.161999999997</v>
      </c>
      <c r="M28" s="34">
        <f>$N28*0.15</f>
        <v>25908.498</v>
      </c>
      <c r="N28" s="34">
        <f>N4</f>
        <v>172723.32</v>
      </c>
      <c r="O28" s="8"/>
      <c r="P28" s="9">
        <f>VLOOKUP(H28,starratio4,4,FALSE)</f>
        <v>0</v>
      </c>
    </row>
    <row r="29" spans="1:36" ht="21.95" customHeight="1" x14ac:dyDescent="0.2">
      <c r="A29" s="262"/>
      <c r="B29" s="262"/>
      <c r="C29" s="263" t="s">
        <v>31</v>
      </c>
      <c r="D29" s="263"/>
      <c r="E29" s="263"/>
      <c r="F29" s="263"/>
      <c r="G29" s="263"/>
      <c r="H29" s="263"/>
      <c r="I29" s="263"/>
      <c r="J29" s="34">
        <f>SUM(J25:J28)</f>
        <v>17272.332000000002</v>
      </c>
      <c r="K29" s="34">
        <f>SUM(K25:K28)</f>
        <v>69089.328000000009</v>
      </c>
      <c r="L29" s="34">
        <f>SUM(L25:L28)</f>
        <v>60453.161999999997</v>
      </c>
      <c r="M29" s="34">
        <f>SUM(M25:M28)</f>
        <v>25908.498</v>
      </c>
      <c r="N29" s="34">
        <f>SUM(N25:N28)</f>
        <v>172723.32</v>
      </c>
      <c r="O29" s="8"/>
      <c r="P29" s="9"/>
    </row>
    <row r="30" spans="1:36" ht="21.95" customHeight="1" x14ac:dyDescent="0.2">
      <c r="A30" s="262"/>
      <c r="B30" s="263" t="s">
        <v>44</v>
      </c>
      <c r="C30" s="263"/>
      <c r="D30" s="263"/>
      <c r="E30" s="263"/>
      <c r="F30" s="263"/>
      <c r="G30" s="263"/>
      <c r="H30" s="263"/>
      <c r="I30" s="263"/>
      <c r="J30" s="34">
        <f>J29</f>
        <v>17272.332000000002</v>
      </c>
      <c r="K30" s="34">
        <f t="shared" ref="K30:N30" si="9">K29</f>
        <v>69089.328000000009</v>
      </c>
      <c r="L30" s="34">
        <f t="shared" si="9"/>
        <v>60453.161999999997</v>
      </c>
      <c r="M30" s="34">
        <f t="shared" si="9"/>
        <v>25908.498</v>
      </c>
      <c r="N30" s="34">
        <f t="shared" si="9"/>
        <v>172723.32</v>
      </c>
      <c r="O30" s="8"/>
      <c r="Q30" s="10"/>
      <c r="Z30" s="11"/>
      <c r="AC30" s="12"/>
      <c r="AD30" s="13"/>
    </row>
    <row r="31" spans="1:36" ht="21.95" customHeight="1" x14ac:dyDescent="0.2">
      <c r="A31" s="261" t="s">
        <v>45</v>
      </c>
      <c r="B31" s="261"/>
      <c r="C31" s="261"/>
      <c r="D31" s="261"/>
      <c r="E31" s="261"/>
      <c r="F31" s="261"/>
      <c r="G31" s="261"/>
      <c r="H31" s="261"/>
      <c r="I31" s="261"/>
      <c r="J31" s="34">
        <f>J24+J30</f>
        <v>62954.15</v>
      </c>
      <c r="K31" s="34">
        <f>K24+K30</f>
        <v>251816.6</v>
      </c>
      <c r="L31" s="34">
        <f>L24+L30</f>
        <v>220339.52499999997</v>
      </c>
      <c r="M31" s="34">
        <f>M24+M30</f>
        <v>94431.225000000006</v>
      </c>
      <c r="N31" s="34">
        <f>N24+N30</f>
        <v>629541.5</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9303.09</v>
      </c>
      <c r="L45" s="34"/>
      <c r="M45" s="34"/>
      <c r="N45" s="34">
        <f>ROUND($C$3*P45,2)</f>
        <v>9303.09</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2578.23</v>
      </c>
      <c r="L47" s="34"/>
      <c r="M47" s="34"/>
      <c r="N47" s="34">
        <f>ROUND($L$3*P47,2)</f>
        <v>2578.23</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2417.950000000008</v>
      </c>
      <c r="L48" s="34"/>
      <c r="M48" s="34"/>
      <c r="N48" s="34">
        <f>M3-SUM(N10,N21,N35)</f>
        <v>2417.950000000008</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14299.270000000008</v>
      </c>
      <c r="L49" s="34">
        <f>SUM(L45:L48)</f>
        <v>0</v>
      </c>
      <c r="M49" s="34">
        <f>SUM(M45:M48)</f>
        <v>0</v>
      </c>
      <c r="N49" s="34">
        <f>SUM(N45:N48)</f>
        <v>14299.270000000008</v>
      </c>
      <c r="O49" s="8"/>
      <c r="P49" s="9"/>
    </row>
    <row r="50" spans="1:36" ht="21.95" customHeight="1" x14ac:dyDescent="0.2">
      <c r="A50" s="262"/>
      <c r="B50" s="261" t="s">
        <v>60</v>
      </c>
      <c r="C50" s="261"/>
      <c r="D50" s="261"/>
      <c r="E50" s="261"/>
      <c r="F50" s="261"/>
      <c r="G50" s="261"/>
      <c r="H50" s="261"/>
      <c r="I50" s="261"/>
      <c r="J50" s="34">
        <f>J49</f>
        <v>0</v>
      </c>
      <c r="K50" s="34">
        <f t="shared" ref="K50:N50" si="15">K49</f>
        <v>14299.270000000008</v>
      </c>
      <c r="L50" s="34">
        <f t="shared" si="15"/>
        <v>0</v>
      </c>
      <c r="M50" s="34">
        <f t="shared" si="15"/>
        <v>0</v>
      </c>
      <c r="N50" s="34">
        <f t="shared" si="15"/>
        <v>14299.270000000008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3517.51</v>
      </c>
      <c r="L51" s="34"/>
      <c r="M51" s="34"/>
      <c r="N51" s="34">
        <f>ROUND($C$4*P51,2)</f>
        <v>3517.51</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974.83</v>
      </c>
      <c r="L53" s="34"/>
      <c r="M53" s="34"/>
      <c r="N53" s="34">
        <f>ROUND($L$4*P53,2)</f>
        <v>974.83</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914.21999999999935</v>
      </c>
      <c r="L54" s="34"/>
      <c r="M54" s="34"/>
      <c r="N54" s="34">
        <f>M4-SUM(N15,N27,N41)</f>
        <v>914.21999999999935</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5406.5599999999995</v>
      </c>
      <c r="L55" s="34">
        <f>SUM(L51:L54)</f>
        <v>0</v>
      </c>
      <c r="M55" s="34">
        <f>SUM(M51:M54)</f>
        <v>0</v>
      </c>
      <c r="N55" s="34">
        <f>SUM(N51:N54)</f>
        <v>5406.5599999999995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5406.5599999999995</v>
      </c>
      <c r="L56" s="34">
        <f t="shared" si="17"/>
        <v>0</v>
      </c>
      <c r="M56" s="34">
        <f t="shared" si="17"/>
        <v>0</v>
      </c>
      <c r="N56" s="34">
        <f t="shared" si="17"/>
        <v>5406.5599999999995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19705.830000000009</v>
      </c>
      <c r="L57" s="34">
        <f>L50+L56</f>
        <v>0</v>
      </c>
      <c r="M57" s="34">
        <f>M50+M56</f>
        <v>0</v>
      </c>
      <c r="N57" s="34">
        <f>N50+N56</f>
        <v>19705.830000000009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122.49</v>
      </c>
      <c r="L59" s="34"/>
      <c r="M59" s="34"/>
      <c r="N59" s="34">
        <f>D3</f>
        <v>122.49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871.89</v>
      </c>
      <c r="L60" s="34"/>
      <c r="M60" s="34"/>
      <c r="N60" s="34">
        <f>E3</f>
        <v>871.89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1263.48</v>
      </c>
      <c r="L61" s="34"/>
      <c r="M61" s="34"/>
      <c r="N61" s="34">
        <f>G3-SUM(N9,N20,N33,N46)</f>
        <v>1263.48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556.05999999999995</v>
      </c>
      <c r="L62" s="34"/>
      <c r="M62" s="34"/>
      <c r="N62" s="34">
        <f>H3</f>
        <v>556.05999999999995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7159.76</v>
      </c>
      <c r="L63" s="34"/>
      <c r="M63" s="34"/>
      <c r="N63" s="34">
        <f>I3</f>
        <v>7159.76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420.93</v>
      </c>
      <c r="L64" s="34"/>
      <c r="M64" s="34"/>
      <c r="N64" s="34">
        <f>J3</f>
        <v>420.93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395</v>
      </c>
      <c r="L66" s="34"/>
      <c r="M66" s="34"/>
      <c r="N66" s="34">
        <f>K3</f>
        <v>395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10789.61</v>
      </c>
      <c r="L68" s="34">
        <f>SUM(L58:L67)</f>
        <v>0</v>
      </c>
      <c r="M68" s="34">
        <f>SUM(M58:M67)</f>
        <v>0</v>
      </c>
      <c r="N68" s="34">
        <f>SUM(N58:N67)</f>
        <v>10789.61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10789.61</v>
      </c>
      <c r="L69" s="34">
        <f t="shared" si="20"/>
        <v>0</v>
      </c>
      <c r="M69" s="34">
        <f t="shared" si="20"/>
        <v>0</v>
      </c>
      <c r="N69" s="34">
        <f t="shared" si="20"/>
        <v>10789.61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46.32</v>
      </c>
      <c r="L71" s="34"/>
      <c r="M71" s="34"/>
      <c r="N71" s="34">
        <f>D4</f>
        <v>46.32</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329.66</v>
      </c>
      <c r="L72" s="34"/>
      <c r="M72" s="34"/>
      <c r="N72" s="34">
        <f>E4</f>
        <v>329.66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477.72</v>
      </c>
      <c r="L73" s="34"/>
      <c r="M73" s="34"/>
      <c r="N73" s="34">
        <f>G4-SUM(N14,N26,N39,N52)</f>
        <v>477.72</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210.25</v>
      </c>
      <c r="L74" s="34"/>
      <c r="M74" s="34"/>
      <c r="N74" s="34">
        <f>H4</f>
        <v>210.25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2707.11</v>
      </c>
      <c r="L75" s="34"/>
      <c r="M75" s="34"/>
      <c r="N75" s="34">
        <f>I4</f>
        <v>2707.11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159.16</v>
      </c>
      <c r="L76" s="34"/>
      <c r="M76" s="34"/>
      <c r="N76" s="34">
        <f>J4</f>
        <v>159.16</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149.35</v>
      </c>
      <c r="L78" s="34"/>
      <c r="M78" s="34"/>
      <c r="N78" s="34">
        <f>K4</f>
        <v>149.35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4079.57</v>
      </c>
      <c r="L80" s="34">
        <f>SUM(L70:L79)</f>
        <v>0</v>
      </c>
      <c r="M80" s="34">
        <f>SUM(M70:M79)</f>
        <v>0</v>
      </c>
      <c r="N80" s="34">
        <f>SUM(N70:N79)</f>
        <v>4079.57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4079.57</v>
      </c>
      <c r="L81" s="34">
        <f t="shared" si="23"/>
        <v>0</v>
      </c>
      <c r="M81" s="34">
        <f t="shared" si="23"/>
        <v>0</v>
      </c>
      <c r="N81" s="34">
        <f t="shared" si="23"/>
        <v>4079.57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14869.18</v>
      </c>
      <c r="L82" s="34">
        <f>L69+L81</f>
        <v>0</v>
      </c>
      <c r="M82" s="34">
        <f>M69+M81</f>
        <v>0</v>
      </c>
      <c r="N82" s="34">
        <f>N69+N81</f>
        <v>14869.18</v>
      </c>
      <c r="O82" s="8"/>
      <c r="R82" s="14"/>
      <c r="Z82" s="15"/>
      <c r="AJ82" s="16"/>
    </row>
    <row r="83" spans="1:36" s="31" customFormat="1" ht="21.95" customHeight="1" x14ac:dyDescent="0.2">
      <c r="A83" s="275" t="s">
        <v>82</v>
      </c>
      <c r="B83" s="275"/>
      <c r="C83" s="275"/>
      <c r="D83" s="275"/>
      <c r="E83" s="275"/>
      <c r="F83" s="275"/>
      <c r="G83" s="275"/>
      <c r="H83" s="275"/>
      <c r="I83" s="275"/>
      <c r="J83" s="35">
        <f>J18+J31+J44+J57+J82</f>
        <v>62954.15</v>
      </c>
      <c r="K83" s="35">
        <f>K18+K31+K44+K57+K82</f>
        <v>286391.61</v>
      </c>
      <c r="L83" s="35">
        <f>L18+L31+L44+L57+L82</f>
        <v>220339.52499999997</v>
      </c>
      <c r="M83" s="35">
        <f>M18+M31+M44+M57+M82</f>
        <v>94431.225000000006</v>
      </c>
      <c r="N83" s="38">
        <f>N18+N31+N44+N57+N82</f>
        <v>664116.51</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35734F3-555D-460C-AFB7-28BA588D12EA}">
          <x14:formula1>
            <xm:f>'2026 COB breakdown_Kris'!$A$5:$A$103</xm:f>
          </x14:formula1>
          <xm:sqref>A3</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40CB-7A86-4F09-B7F2-5FB192F88B62}">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228</v>
      </c>
      <c r="B3" s="58" t="s">
        <v>158</v>
      </c>
      <c r="C3" s="59">
        <f>VLOOKUP($A3,COBTABLE,15, FALSE)</f>
        <v>6396.39</v>
      </c>
      <c r="D3" s="59">
        <f>VLOOKUP($A3,COBTABLE,16, FALSE)</f>
        <v>84.22</v>
      </c>
      <c r="E3" s="59">
        <f>VLOOKUP($A3,COBTABLE,17, FALSE)</f>
        <v>599.47</v>
      </c>
      <c r="F3" s="59">
        <f>VLOOKUP($A3,COBTABLE,18, FALSE)</f>
        <v>0</v>
      </c>
      <c r="G3" s="59">
        <f>VLOOKUP($A3,COBTABLE,19, FALSE)</f>
        <v>868.71</v>
      </c>
      <c r="H3" s="59">
        <f>VLOOKUP($A3,COBTABLE,20, FALSE)</f>
        <v>382.32</v>
      </c>
      <c r="I3" s="59">
        <f>VLOOKUP($A3,COBTABLE,21, FALSE)</f>
        <v>4922.7299999999996</v>
      </c>
      <c r="J3" s="59">
        <f>VLOOKUP($A3,COBTABLE,22, FALSE)</f>
        <v>289.41000000000003</v>
      </c>
      <c r="K3" s="59">
        <f>VLOOKUP($A3,COBTABLE,23, FALSE)</f>
        <v>271.58999999999997</v>
      </c>
      <c r="L3" s="59">
        <f>VLOOKUP($A3,COBTABLE,24, FALSE)</f>
        <v>1772.67</v>
      </c>
      <c r="M3" s="59">
        <f>VLOOKUP($A3,COBTABLE,25, FALSE)</f>
        <v>1662.4899999999998</v>
      </c>
      <c r="N3" s="60">
        <f>VLOOKUP($A3, countrygrant,2,FALSE)</f>
        <v>456818.18</v>
      </c>
      <c r="O3" s="92">
        <f>SUM(C3:N3)</f>
        <v>474068.18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6396.39</v>
      </c>
      <c r="D5" s="62">
        <f t="shared" ref="D5:O5" si="1">SUM(D3:D4)</f>
        <v>84.22</v>
      </c>
      <c r="E5" s="62">
        <f t="shared" si="1"/>
        <v>599.47</v>
      </c>
      <c r="F5" s="62">
        <f t="shared" si="1"/>
        <v>0</v>
      </c>
      <c r="G5" s="62">
        <f t="shared" si="1"/>
        <v>868.71</v>
      </c>
      <c r="H5" s="62">
        <f t="shared" si="1"/>
        <v>382.32</v>
      </c>
      <c r="I5" s="62">
        <f t="shared" si="1"/>
        <v>4922.7299999999996</v>
      </c>
      <c r="J5" s="62">
        <f t="shared" si="1"/>
        <v>289.41000000000003</v>
      </c>
      <c r="K5" s="62">
        <f t="shared" si="1"/>
        <v>271.58999999999997</v>
      </c>
      <c r="L5" s="62">
        <f t="shared" si="1"/>
        <v>1772.67</v>
      </c>
      <c r="M5" s="62">
        <f t="shared" si="1"/>
        <v>1662.4899999999998</v>
      </c>
      <c r="N5" s="62">
        <f t="shared" si="1"/>
        <v>456818.18</v>
      </c>
      <c r="O5" s="62">
        <f t="shared" si="1"/>
        <v>474068.18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6396.39</v>
      </c>
      <c r="L45" s="34"/>
      <c r="M45" s="34"/>
      <c r="N45" s="34">
        <f>ROUND($C$3*P45,2)</f>
        <v>6396.39</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1772.67</v>
      </c>
      <c r="L47" s="34"/>
      <c r="M47" s="34"/>
      <c r="N47" s="34">
        <f>ROUND($L$3*P47,2)</f>
        <v>1772.67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1662.4899999999998</v>
      </c>
      <c r="L48" s="34"/>
      <c r="M48" s="34"/>
      <c r="N48" s="34">
        <f>M3-SUM(N10,N21,N35)</f>
        <v>1662.4899999999998</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9831.5499999999993</v>
      </c>
      <c r="L49" s="34">
        <f>SUM(L45:L48)</f>
        <v>0</v>
      </c>
      <c r="M49" s="34">
        <f>SUM(M45:M48)</f>
        <v>0</v>
      </c>
      <c r="N49" s="34">
        <f>SUM(N45:N48)</f>
        <v>9831.5499999999993</v>
      </c>
      <c r="O49" s="8"/>
      <c r="P49" s="9"/>
    </row>
    <row r="50" spans="1:36" ht="21.95" customHeight="1" x14ac:dyDescent="0.2">
      <c r="A50" s="262"/>
      <c r="B50" s="261" t="s">
        <v>60</v>
      </c>
      <c r="C50" s="261"/>
      <c r="D50" s="261"/>
      <c r="E50" s="261"/>
      <c r="F50" s="261"/>
      <c r="G50" s="261"/>
      <c r="H50" s="261"/>
      <c r="I50" s="261"/>
      <c r="J50" s="34">
        <f>J49</f>
        <v>0</v>
      </c>
      <c r="K50" s="34">
        <f t="shared" ref="K50:N50" si="15">K49</f>
        <v>9831.5499999999993</v>
      </c>
      <c r="L50" s="34">
        <f t="shared" si="15"/>
        <v>0</v>
      </c>
      <c r="M50" s="34">
        <f t="shared" si="15"/>
        <v>0</v>
      </c>
      <c r="N50" s="34">
        <f t="shared" si="15"/>
        <v>9831.5499999999993</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9831.5499999999993</v>
      </c>
      <c r="L57" s="34">
        <f>L50+L56</f>
        <v>0</v>
      </c>
      <c r="M57" s="34">
        <f>M50+M56</f>
        <v>0</v>
      </c>
      <c r="N57" s="34">
        <f>N50+N56</f>
        <v>9831.5499999999993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84.22</v>
      </c>
      <c r="L59" s="34"/>
      <c r="M59" s="34"/>
      <c r="N59" s="34">
        <f>D3</f>
        <v>84.22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599.47</v>
      </c>
      <c r="L60" s="34"/>
      <c r="M60" s="34"/>
      <c r="N60" s="34">
        <f>E3</f>
        <v>599.47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868.71</v>
      </c>
      <c r="L61" s="34"/>
      <c r="M61" s="34"/>
      <c r="N61" s="34">
        <f>G3-SUM(N9,N20,N33,N46)</f>
        <v>868.71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382.32</v>
      </c>
      <c r="L62" s="34"/>
      <c r="M62" s="34"/>
      <c r="N62" s="34">
        <f>H3</f>
        <v>382.32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4922.7299999999996</v>
      </c>
      <c r="L63" s="34"/>
      <c r="M63" s="34"/>
      <c r="N63" s="34">
        <f>I3</f>
        <v>4922.7299999999996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289.41000000000003</v>
      </c>
      <c r="L64" s="34"/>
      <c r="M64" s="34"/>
      <c r="N64" s="34">
        <f>J3</f>
        <v>289.41000000000003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271.58999999999997</v>
      </c>
      <c r="L66" s="34"/>
      <c r="M66" s="34"/>
      <c r="N66" s="34">
        <f>K3</f>
        <v>271.58999999999997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7418.45</v>
      </c>
      <c r="L68" s="34">
        <f>SUM(L58:L67)</f>
        <v>0</v>
      </c>
      <c r="M68" s="34">
        <f>SUM(M58:M67)</f>
        <v>0</v>
      </c>
      <c r="N68" s="34">
        <f>SUM(N58:N67)</f>
        <v>7418.45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7418.45</v>
      </c>
      <c r="L69" s="34">
        <f t="shared" si="20"/>
        <v>0</v>
      </c>
      <c r="M69" s="34">
        <f t="shared" si="20"/>
        <v>0</v>
      </c>
      <c r="N69" s="34">
        <f t="shared" si="20"/>
        <v>7418.45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7418.45</v>
      </c>
      <c r="L82" s="34">
        <f>L69+L81</f>
        <v>0</v>
      </c>
      <c r="M82" s="34">
        <f>M69+M81</f>
        <v>0</v>
      </c>
      <c r="N82" s="34">
        <f>N69+N81</f>
        <v>7418.45</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199977.272</v>
      </c>
      <c r="L83" s="35">
        <f>L18+L31+L44+L57+L82</f>
        <v>159886.36299999998</v>
      </c>
      <c r="M83" s="35">
        <f>M18+M31+M44+M57+M82</f>
        <v>68522.726999999999</v>
      </c>
      <c r="N83" s="38">
        <f>N18+N31+N44+N57+N82</f>
        <v>474068.18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1E140E2-1AEE-4F4A-8DAF-2FDBDC7EA93D}">
          <x14:formula1>
            <xm:f>'2026 COB breakdown_Kris'!$A$5:$A$103</xm:f>
          </x14:formula1>
          <xm:sqref>A3</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F00C7-17ED-4C19-BD9F-05F2EFB8C982}">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229</v>
      </c>
      <c r="B3" s="58" t="s">
        <v>158</v>
      </c>
      <c r="C3" s="59">
        <f>VLOOKUP($A3,COBTABLE,15, FALSE)</f>
        <v>12232.04</v>
      </c>
      <c r="D3" s="59">
        <f>VLOOKUP($A3,COBTABLE,16, FALSE)</f>
        <v>161.06</v>
      </c>
      <c r="E3" s="59">
        <f>VLOOKUP($A3,COBTABLE,17, FALSE)</f>
        <v>1146.3900000000001</v>
      </c>
      <c r="F3" s="59">
        <f>VLOOKUP($A3,COBTABLE,18, FALSE)</f>
        <v>0</v>
      </c>
      <c r="G3" s="59">
        <f>VLOOKUP($A3,COBTABLE,19, FALSE)</f>
        <v>1661.27</v>
      </c>
      <c r="H3" s="59">
        <f>VLOOKUP($A3,COBTABLE,20, FALSE)</f>
        <v>731.12</v>
      </c>
      <c r="I3" s="59">
        <f>VLOOKUP($A3,COBTABLE,21, FALSE)</f>
        <v>9413.91</v>
      </c>
      <c r="J3" s="59">
        <f>VLOOKUP($A3,COBTABLE,22, FALSE)</f>
        <v>553.45000000000005</v>
      </c>
      <c r="K3" s="59">
        <f>VLOOKUP($A3,COBTABLE,23, FALSE)</f>
        <v>519.36</v>
      </c>
      <c r="L3" s="59">
        <f>VLOOKUP($A3,COBTABLE,24, FALSE)</f>
        <v>3389.95</v>
      </c>
      <c r="M3" s="59">
        <f>VLOOKUP($A3,COBTABLE,25, FALSE)</f>
        <v>3179.2299999999959</v>
      </c>
      <c r="N3" s="60">
        <f>VLOOKUP($A3, countrygrant,2,FALSE)</f>
        <v>456818.18</v>
      </c>
      <c r="O3" s="92">
        <f>SUM(C3:N3)</f>
        <v>489805.95999999996</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1794.03</v>
      </c>
      <c r="D4" s="59">
        <f>VLOOKUP($A3,COBTABLE,28, FALSE)</f>
        <v>23.62</v>
      </c>
      <c r="E4" s="59">
        <f>VLOOKUP($A3,COBTABLE,29, FALSE)</f>
        <v>168.14</v>
      </c>
      <c r="F4" s="59">
        <f>VLOOKUP($A3,COBTABLE,30, FALSE)</f>
        <v>0</v>
      </c>
      <c r="G4" s="59">
        <f>VLOOKUP($A3,COBTABLE,31, FALSE)</f>
        <v>243.65</v>
      </c>
      <c r="H4" s="59">
        <f>VLOOKUP($A3,COBTABLE,32, FALSE)</f>
        <v>107.23</v>
      </c>
      <c r="I4" s="59">
        <f>VLOOKUP($A3,COBTABLE,33, FALSE)</f>
        <v>1380.71</v>
      </c>
      <c r="J4" s="59">
        <f>VLOOKUP($A3,COBTABLE,34, FALSE)</f>
        <v>81.17</v>
      </c>
      <c r="K4" s="59">
        <f>VLOOKUP($A3,COBTABLE,35, FALSE)</f>
        <v>76.17</v>
      </c>
      <c r="L4" s="59">
        <f>VLOOKUP($A3,COBTABLE,36, FALSE)</f>
        <v>497.19</v>
      </c>
      <c r="M4" s="59">
        <f>VLOOKUP($A3,COBTABLE,37, FALSE)</f>
        <v>466.30000000000018</v>
      </c>
      <c r="N4" s="60">
        <f>VLOOKUP($A3, countrygrant,3,FALSE)</f>
        <v>67000</v>
      </c>
      <c r="O4" s="92">
        <f t="shared" ref="O4" si="0">SUM(C4:N4)</f>
        <v>71838.210000000006</v>
      </c>
      <c r="P4" s="28"/>
      <c r="Q4" s="28"/>
      <c r="R4" s="28"/>
      <c r="S4" s="28"/>
      <c r="T4" s="28"/>
      <c r="U4" s="28"/>
      <c r="V4" s="28"/>
      <c r="W4" s="28"/>
      <c r="X4" s="28"/>
      <c r="Y4" s="28"/>
      <c r="Z4" s="28"/>
      <c r="AA4" s="28"/>
      <c r="AB4" s="28"/>
      <c r="AC4" s="28"/>
    </row>
    <row r="5" spans="1:36" s="53" customFormat="1" ht="12" customHeight="1" x14ac:dyDescent="0.25">
      <c r="A5" s="278"/>
      <c r="B5" s="61" t="s">
        <v>156</v>
      </c>
      <c r="C5" s="62">
        <f>SUM(C3:C4)</f>
        <v>14026.070000000002</v>
      </c>
      <c r="D5" s="62">
        <f t="shared" ref="D5:O5" si="1">SUM(D3:D4)</f>
        <v>184.68</v>
      </c>
      <c r="E5" s="62">
        <f t="shared" si="1"/>
        <v>1314.5300000000002</v>
      </c>
      <c r="F5" s="62">
        <f t="shared" si="1"/>
        <v>0</v>
      </c>
      <c r="G5" s="62">
        <f t="shared" si="1"/>
        <v>1904.92</v>
      </c>
      <c r="H5" s="62">
        <f t="shared" si="1"/>
        <v>838.35</v>
      </c>
      <c r="I5" s="62">
        <f t="shared" si="1"/>
        <v>10794.619999999999</v>
      </c>
      <c r="J5" s="62">
        <f t="shared" si="1"/>
        <v>634.62</v>
      </c>
      <c r="K5" s="62">
        <f t="shared" si="1"/>
        <v>595.53</v>
      </c>
      <c r="L5" s="62">
        <f t="shared" si="1"/>
        <v>3887.14</v>
      </c>
      <c r="M5" s="62">
        <f t="shared" si="1"/>
        <v>3645.5299999999961</v>
      </c>
      <c r="N5" s="62">
        <f t="shared" si="1"/>
        <v>523818.18</v>
      </c>
      <c r="O5" s="62">
        <f t="shared" si="1"/>
        <v>561644.16999999993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v>
      </c>
      <c r="K28" s="34">
        <f>$N28*0.4</f>
        <v>26800</v>
      </c>
      <c r="L28" s="34">
        <f>$N28*0.35</f>
        <v>23450</v>
      </c>
      <c r="M28" s="34">
        <f>$N28*0.15</f>
        <v>10050</v>
      </c>
      <c r="N28" s="34">
        <f>N4</f>
        <v>67000</v>
      </c>
      <c r="O28" s="8"/>
      <c r="P28" s="9">
        <f>VLOOKUP(H28,starratio4,4,FALSE)</f>
        <v>0</v>
      </c>
    </row>
    <row r="29" spans="1:36" ht="21.95" customHeight="1" x14ac:dyDescent="0.2">
      <c r="A29" s="262"/>
      <c r="B29" s="262"/>
      <c r="C29" s="263" t="s">
        <v>31</v>
      </c>
      <c r="D29" s="263"/>
      <c r="E29" s="263"/>
      <c r="F29" s="263"/>
      <c r="G29" s="263"/>
      <c r="H29" s="263"/>
      <c r="I29" s="263"/>
      <c r="J29" s="34">
        <f>SUM(J25:J28)</f>
        <v>6700</v>
      </c>
      <c r="K29" s="34">
        <f>SUM(K25:K28)</f>
        <v>26800</v>
      </c>
      <c r="L29" s="34">
        <f>SUM(L25:L28)</f>
        <v>23450</v>
      </c>
      <c r="M29" s="34">
        <f>SUM(M25:M28)</f>
        <v>10050</v>
      </c>
      <c r="N29" s="34">
        <f>SUM(N25:N28)</f>
        <v>67000</v>
      </c>
      <c r="O29" s="8"/>
      <c r="P29" s="9"/>
    </row>
    <row r="30" spans="1:36" ht="21.95" customHeight="1" x14ac:dyDescent="0.2">
      <c r="A30" s="262"/>
      <c r="B30" s="263" t="s">
        <v>44</v>
      </c>
      <c r="C30" s="263"/>
      <c r="D30" s="263"/>
      <c r="E30" s="263"/>
      <c r="F30" s="263"/>
      <c r="G30" s="263"/>
      <c r="H30" s="263"/>
      <c r="I30" s="263"/>
      <c r="J30" s="34">
        <f>J29</f>
        <v>6700</v>
      </c>
      <c r="K30" s="34">
        <f t="shared" ref="K30:N30" si="9">K29</f>
        <v>26800</v>
      </c>
      <c r="L30" s="34">
        <f t="shared" si="9"/>
        <v>23450</v>
      </c>
      <c r="M30" s="34">
        <f t="shared" si="9"/>
        <v>10050</v>
      </c>
      <c r="N30" s="34">
        <f t="shared" si="9"/>
        <v>67000</v>
      </c>
      <c r="O30" s="8"/>
      <c r="Q30" s="10"/>
      <c r="Z30" s="11"/>
      <c r="AC30" s="12"/>
      <c r="AD30" s="13"/>
    </row>
    <row r="31" spans="1:36" ht="21.95" customHeight="1" x14ac:dyDescent="0.2">
      <c r="A31" s="261" t="s">
        <v>45</v>
      </c>
      <c r="B31" s="261"/>
      <c r="C31" s="261"/>
      <c r="D31" s="261"/>
      <c r="E31" s="261"/>
      <c r="F31" s="261"/>
      <c r="G31" s="261"/>
      <c r="H31" s="261"/>
      <c r="I31" s="261"/>
      <c r="J31" s="34">
        <f>J24+J30</f>
        <v>52381.817999999999</v>
      </c>
      <c r="K31" s="34">
        <f>K24+K30</f>
        <v>209527.272</v>
      </c>
      <c r="L31" s="34">
        <f>L24+L30</f>
        <v>183336.36299999998</v>
      </c>
      <c r="M31" s="34">
        <f>M24+M30</f>
        <v>78572.726999999999</v>
      </c>
      <c r="N31" s="34">
        <f>N24+N30</f>
        <v>523818.18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12232.04</v>
      </c>
      <c r="L45" s="34"/>
      <c r="M45" s="34"/>
      <c r="N45" s="34">
        <f>ROUND($C$3*P45,2)</f>
        <v>12232.04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3389.95</v>
      </c>
      <c r="L47" s="34"/>
      <c r="M47" s="34"/>
      <c r="N47" s="34">
        <f>ROUND($L$3*P47,2)</f>
        <v>3389.95</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3179.2299999999959</v>
      </c>
      <c r="L48" s="34"/>
      <c r="M48" s="34"/>
      <c r="N48" s="34">
        <f>M3-SUM(N10,N21,N35)</f>
        <v>3179.2299999999959</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18801.219999999998</v>
      </c>
      <c r="L49" s="34">
        <f>SUM(L45:L48)</f>
        <v>0</v>
      </c>
      <c r="M49" s="34">
        <f>SUM(M45:M48)</f>
        <v>0</v>
      </c>
      <c r="N49" s="34">
        <f>SUM(N45:N48)</f>
        <v>18801.219999999998</v>
      </c>
      <c r="O49" s="8"/>
      <c r="P49" s="9"/>
    </row>
    <row r="50" spans="1:36" ht="21.95" customHeight="1" x14ac:dyDescent="0.2">
      <c r="A50" s="262"/>
      <c r="B50" s="261" t="s">
        <v>60</v>
      </c>
      <c r="C50" s="261"/>
      <c r="D50" s="261"/>
      <c r="E50" s="261"/>
      <c r="F50" s="261"/>
      <c r="G50" s="261"/>
      <c r="H50" s="261"/>
      <c r="I50" s="261"/>
      <c r="J50" s="34">
        <f>J49</f>
        <v>0</v>
      </c>
      <c r="K50" s="34">
        <f t="shared" ref="K50:N50" si="15">K49</f>
        <v>18801.219999999998</v>
      </c>
      <c r="L50" s="34">
        <f t="shared" si="15"/>
        <v>0</v>
      </c>
      <c r="M50" s="34">
        <f t="shared" si="15"/>
        <v>0</v>
      </c>
      <c r="N50" s="34">
        <f t="shared" si="15"/>
        <v>18801.219999999998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1794.03</v>
      </c>
      <c r="L51" s="34"/>
      <c r="M51" s="34"/>
      <c r="N51" s="34">
        <f>ROUND($C$4*P51,2)</f>
        <v>1794.03</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497.19</v>
      </c>
      <c r="L53" s="34"/>
      <c r="M53" s="34"/>
      <c r="N53" s="34">
        <f>ROUND($L$4*P53,2)</f>
        <v>497.19</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466.30000000000018</v>
      </c>
      <c r="L54" s="34"/>
      <c r="M54" s="34"/>
      <c r="N54" s="34">
        <f>M4-SUM(N15,N27,N41)</f>
        <v>466.30000000000018</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2757.52</v>
      </c>
      <c r="L55" s="34">
        <f>SUM(L51:L54)</f>
        <v>0</v>
      </c>
      <c r="M55" s="34">
        <f>SUM(M51:M54)</f>
        <v>0</v>
      </c>
      <c r="N55" s="34">
        <f>SUM(N51:N54)</f>
        <v>2757.52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2757.52</v>
      </c>
      <c r="L56" s="34">
        <f t="shared" si="17"/>
        <v>0</v>
      </c>
      <c r="M56" s="34">
        <f t="shared" si="17"/>
        <v>0</v>
      </c>
      <c r="N56" s="34">
        <f t="shared" si="17"/>
        <v>2757.52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21558.739999999998</v>
      </c>
      <c r="L57" s="34">
        <f>L50+L56</f>
        <v>0</v>
      </c>
      <c r="M57" s="34">
        <f>M50+M56</f>
        <v>0</v>
      </c>
      <c r="N57" s="34">
        <f>N50+N56</f>
        <v>21558.739999999998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161.06</v>
      </c>
      <c r="L59" s="34"/>
      <c r="M59" s="34"/>
      <c r="N59" s="34">
        <f>D3</f>
        <v>161.06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1146.3900000000001</v>
      </c>
      <c r="L60" s="34"/>
      <c r="M60" s="34"/>
      <c r="N60" s="34">
        <f>E3</f>
        <v>1146.3900000000001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1661.27</v>
      </c>
      <c r="L61" s="34"/>
      <c r="M61" s="34"/>
      <c r="N61" s="34">
        <f>G3-SUM(N9,N20,N33,N46)</f>
        <v>1661.27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731.12</v>
      </c>
      <c r="L62" s="34"/>
      <c r="M62" s="34"/>
      <c r="N62" s="34">
        <f>H3</f>
        <v>731.12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9413.91</v>
      </c>
      <c r="L63" s="34"/>
      <c r="M63" s="34"/>
      <c r="N63" s="34">
        <f>I3</f>
        <v>9413.91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553.45000000000005</v>
      </c>
      <c r="L64" s="34"/>
      <c r="M64" s="34"/>
      <c r="N64" s="34">
        <f>J3</f>
        <v>553.45000000000005</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519.36</v>
      </c>
      <c r="L66" s="34"/>
      <c r="M66" s="34"/>
      <c r="N66" s="34">
        <f>K3</f>
        <v>519.36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14186.560000000001</v>
      </c>
      <c r="L68" s="34">
        <f>SUM(L58:L67)</f>
        <v>0</v>
      </c>
      <c r="M68" s="34">
        <f>SUM(M58:M67)</f>
        <v>0</v>
      </c>
      <c r="N68" s="34">
        <f>SUM(N58:N67)</f>
        <v>14186.560000000001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14186.560000000001</v>
      </c>
      <c r="L69" s="34">
        <f t="shared" si="20"/>
        <v>0</v>
      </c>
      <c r="M69" s="34">
        <f t="shared" si="20"/>
        <v>0</v>
      </c>
      <c r="N69" s="34">
        <f t="shared" si="20"/>
        <v>14186.560000000001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23.62</v>
      </c>
      <c r="L71" s="34"/>
      <c r="M71" s="34"/>
      <c r="N71" s="34">
        <f>D4</f>
        <v>23.62</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168.14</v>
      </c>
      <c r="L72" s="34"/>
      <c r="M72" s="34"/>
      <c r="N72" s="34">
        <f>E4</f>
        <v>168.14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243.65</v>
      </c>
      <c r="L73" s="34"/>
      <c r="M73" s="34"/>
      <c r="N73" s="34">
        <f>G4-SUM(N14,N26,N39,N52)</f>
        <v>243.65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107.23</v>
      </c>
      <c r="L74" s="34"/>
      <c r="M74" s="34"/>
      <c r="N74" s="34">
        <f>H4</f>
        <v>107.23</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1380.71</v>
      </c>
      <c r="L75" s="34"/>
      <c r="M75" s="34"/>
      <c r="N75" s="34">
        <f>I4</f>
        <v>1380.71</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81.17</v>
      </c>
      <c r="L76" s="34"/>
      <c r="M76" s="34"/>
      <c r="N76" s="34">
        <f>J4</f>
        <v>81.17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76.17</v>
      </c>
      <c r="L78" s="34"/>
      <c r="M78" s="34"/>
      <c r="N78" s="34">
        <f>K4</f>
        <v>76.17</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2080.69</v>
      </c>
      <c r="L80" s="34">
        <f>SUM(L70:L79)</f>
        <v>0</v>
      </c>
      <c r="M80" s="34">
        <f>SUM(M70:M79)</f>
        <v>0</v>
      </c>
      <c r="N80" s="34">
        <f>SUM(N70:N79)</f>
        <v>2080.69</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2080.69</v>
      </c>
      <c r="L81" s="34">
        <f t="shared" si="23"/>
        <v>0</v>
      </c>
      <c r="M81" s="34">
        <f t="shared" si="23"/>
        <v>0</v>
      </c>
      <c r="N81" s="34">
        <f t="shared" si="23"/>
        <v>2080.69</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16267.250000000002</v>
      </c>
      <c r="L82" s="34">
        <f>L69+L81</f>
        <v>0</v>
      </c>
      <c r="M82" s="34">
        <f>M69+M81</f>
        <v>0</v>
      </c>
      <c r="N82" s="34">
        <f>N69+N81</f>
        <v>16267.250000000002</v>
      </c>
      <c r="O82" s="8"/>
      <c r="R82" s="14"/>
      <c r="Z82" s="15"/>
      <c r="AJ82" s="16"/>
    </row>
    <row r="83" spans="1:36" s="31" customFormat="1" ht="21.95" customHeight="1" x14ac:dyDescent="0.2">
      <c r="A83" s="275" t="s">
        <v>82</v>
      </c>
      <c r="B83" s="275"/>
      <c r="C83" s="275"/>
      <c r="D83" s="275"/>
      <c r="E83" s="275"/>
      <c r="F83" s="275"/>
      <c r="G83" s="275"/>
      <c r="H83" s="275"/>
      <c r="I83" s="275"/>
      <c r="J83" s="35">
        <f>J18+J31+J44+J57+J82</f>
        <v>52381.817999999999</v>
      </c>
      <c r="K83" s="35">
        <f>K18+K31+K44+K57+K82</f>
        <v>247353.26199999999</v>
      </c>
      <c r="L83" s="35">
        <f>L18+L31+L44+L57+L82</f>
        <v>183336.36299999998</v>
      </c>
      <c r="M83" s="35">
        <f>M18+M31+M44+M57+M82</f>
        <v>78572.726999999999</v>
      </c>
      <c r="N83" s="38">
        <f>N18+N31+N44+N57+N82</f>
        <v>561644.17000000004</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9F40FA7-99A2-4CAB-A5B0-04BCC1856CB7}">
          <x14:formula1>
            <xm:f>'2026 COB breakdown_Kris'!$A$5:$A$103</xm:f>
          </x14:formula1>
          <xm:sqref>A3</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FC429-07BE-4F31-9D49-CEF78F7A018E}">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230</v>
      </c>
      <c r="B3" s="58" t="s">
        <v>158</v>
      </c>
      <c r="C3" s="59">
        <f>VLOOKUP($A3,COBTABLE,15, FALSE)</f>
        <v>5761.94</v>
      </c>
      <c r="D3" s="59">
        <f>VLOOKUP($A3,COBTABLE,16, FALSE)</f>
        <v>75.87</v>
      </c>
      <c r="E3" s="59">
        <f>VLOOKUP($A3,COBTABLE,17, FALSE)</f>
        <v>540.01</v>
      </c>
      <c r="F3" s="59">
        <f>VLOOKUP($A3,COBTABLE,18, FALSE)</f>
        <v>0</v>
      </c>
      <c r="G3" s="59">
        <f>VLOOKUP($A3,COBTABLE,19, FALSE)</f>
        <v>782.55</v>
      </c>
      <c r="H3" s="59">
        <f>VLOOKUP($A3,COBTABLE,20, FALSE)</f>
        <v>344.4</v>
      </c>
      <c r="I3" s="59">
        <f>VLOOKUP($A3,COBTABLE,21, FALSE)</f>
        <v>4434.45</v>
      </c>
      <c r="J3" s="59">
        <f>VLOOKUP($A3,COBTABLE,22, FALSE)</f>
        <v>260.70999999999998</v>
      </c>
      <c r="K3" s="59">
        <f>VLOOKUP($A3,COBTABLE,23, FALSE)</f>
        <v>244.65</v>
      </c>
      <c r="L3" s="59">
        <f>VLOOKUP($A3,COBTABLE,24, FALSE)</f>
        <v>1596.85</v>
      </c>
      <c r="M3" s="59">
        <f>VLOOKUP($A3,COBTABLE,25, FALSE)</f>
        <v>1497.5700000000015</v>
      </c>
      <c r="N3" s="60">
        <f>VLOOKUP($A3, countrygrant,2,FALSE)</f>
        <v>456818.18</v>
      </c>
      <c r="O3" s="92">
        <f>SUM(C3:N3)</f>
        <v>472357.18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5761.94</v>
      </c>
      <c r="D5" s="62">
        <f t="shared" ref="D5:O5" si="1">SUM(D3:D4)</f>
        <v>75.87</v>
      </c>
      <c r="E5" s="62">
        <f t="shared" si="1"/>
        <v>540.01</v>
      </c>
      <c r="F5" s="62">
        <f t="shared" si="1"/>
        <v>0</v>
      </c>
      <c r="G5" s="62">
        <f t="shared" si="1"/>
        <v>782.55</v>
      </c>
      <c r="H5" s="62">
        <f t="shared" si="1"/>
        <v>344.4</v>
      </c>
      <c r="I5" s="62">
        <f t="shared" si="1"/>
        <v>4434.45</v>
      </c>
      <c r="J5" s="62">
        <f t="shared" si="1"/>
        <v>260.70999999999998</v>
      </c>
      <c r="K5" s="62">
        <f t="shared" si="1"/>
        <v>244.65</v>
      </c>
      <c r="L5" s="62">
        <f t="shared" si="1"/>
        <v>1596.85</v>
      </c>
      <c r="M5" s="62">
        <f t="shared" si="1"/>
        <v>1497.5700000000015</v>
      </c>
      <c r="N5" s="62">
        <f t="shared" si="1"/>
        <v>456818.18</v>
      </c>
      <c r="O5" s="62">
        <f t="shared" si="1"/>
        <v>472357.18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5761.94</v>
      </c>
      <c r="L45" s="34"/>
      <c r="M45" s="34"/>
      <c r="N45" s="34">
        <f>ROUND($C$3*P45,2)</f>
        <v>5761.94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1596.85</v>
      </c>
      <c r="L47" s="34"/>
      <c r="M47" s="34"/>
      <c r="N47" s="34">
        <f>ROUND($L$3*P47,2)</f>
        <v>1596.85</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1497.5700000000015</v>
      </c>
      <c r="L48" s="34"/>
      <c r="M48" s="34"/>
      <c r="N48" s="34">
        <f>M3-SUM(N10,N21,N35)</f>
        <v>1497.5700000000015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8856.36</v>
      </c>
      <c r="L49" s="34">
        <f>SUM(L45:L48)</f>
        <v>0</v>
      </c>
      <c r="M49" s="34">
        <f>SUM(M45:M48)</f>
        <v>0</v>
      </c>
      <c r="N49" s="34">
        <f>SUM(N45:N48)</f>
        <v>8856.36</v>
      </c>
      <c r="O49" s="8"/>
      <c r="P49" s="9"/>
    </row>
    <row r="50" spans="1:36" ht="21.95" customHeight="1" x14ac:dyDescent="0.2">
      <c r="A50" s="262"/>
      <c r="B50" s="261" t="s">
        <v>60</v>
      </c>
      <c r="C50" s="261"/>
      <c r="D50" s="261"/>
      <c r="E50" s="261"/>
      <c r="F50" s="261"/>
      <c r="G50" s="261"/>
      <c r="H50" s="261"/>
      <c r="I50" s="261"/>
      <c r="J50" s="34">
        <f>J49</f>
        <v>0</v>
      </c>
      <c r="K50" s="34">
        <f t="shared" ref="K50:N50" si="15">K49</f>
        <v>8856.36</v>
      </c>
      <c r="L50" s="34">
        <f t="shared" si="15"/>
        <v>0</v>
      </c>
      <c r="M50" s="34">
        <f t="shared" si="15"/>
        <v>0</v>
      </c>
      <c r="N50" s="34">
        <f t="shared" si="15"/>
        <v>8856.36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8856.36</v>
      </c>
      <c r="L57" s="34">
        <f>L50+L56</f>
        <v>0</v>
      </c>
      <c r="M57" s="34">
        <f>M50+M56</f>
        <v>0</v>
      </c>
      <c r="N57" s="34">
        <f>N50+N56</f>
        <v>8856.36</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75.87</v>
      </c>
      <c r="L59" s="34"/>
      <c r="M59" s="34"/>
      <c r="N59" s="34">
        <f>D3</f>
        <v>75.87</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540.01</v>
      </c>
      <c r="L60" s="34"/>
      <c r="M60" s="34"/>
      <c r="N60" s="34">
        <f>E3</f>
        <v>540.01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782.55</v>
      </c>
      <c r="L61" s="34"/>
      <c r="M61" s="34"/>
      <c r="N61" s="34">
        <f>G3-SUM(N9,N20,N33,N46)</f>
        <v>782.55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344.4</v>
      </c>
      <c r="L62" s="34"/>
      <c r="M62" s="34"/>
      <c r="N62" s="34">
        <f>H3</f>
        <v>344.4</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4434.45</v>
      </c>
      <c r="L63" s="34"/>
      <c r="M63" s="34"/>
      <c r="N63" s="34">
        <f>I3</f>
        <v>4434.45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260.70999999999998</v>
      </c>
      <c r="L64" s="34"/>
      <c r="M64" s="34"/>
      <c r="N64" s="34">
        <f>J3</f>
        <v>260.70999999999998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244.65</v>
      </c>
      <c r="L66" s="34"/>
      <c r="M66" s="34"/>
      <c r="N66" s="34">
        <f>K3</f>
        <v>244.65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6682.6399999999994</v>
      </c>
      <c r="L68" s="34">
        <f>SUM(L58:L67)</f>
        <v>0</v>
      </c>
      <c r="M68" s="34">
        <f>SUM(M58:M67)</f>
        <v>0</v>
      </c>
      <c r="N68" s="34">
        <f>SUM(N58:N67)</f>
        <v>6682.6399999999994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6682.6399999999994</v>
      </c>
      <c r="L69" s="34">
        <f t="shared" si="20"/>
        <v>0</v>
      </c>
      <c r="M69" s="34">
        <f t="shared" si="20"/>
        <v>0</v>
      </c>
      <c r="N69" s="34">
        <f t="shared" si="20"/>
        <v>6682.6399999999994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6682.6399999999994</v>
      </c>
      <c r="L82" s="34">
        <f>L69+L81</f>
        <v>0</v>
      </c>
      <c r="M82" s="34">
        <f>M69+M81</f>
        <v>0</v>
      </c>
      <c r="N82" s="34">
        <f>N69+N81</f>
        <v>6682.6399999999994</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198266.272</v>
      </c>
      <c r="L83" s="35">
        <f>L18+L31+L44+L57+L82</f>
        <v>159886.36299999998</v>
      </c>
      <c r="M83" s="35">
        <f>M18+M31+M44+M57+M82</f>
        <v>68522.726999999999</v>
      </c>
      <c r="N83" s="38">
        <f>N18+N31+N44+N57+N82</f>
        <v>472357.18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441B199-E955-4A7C-BBED-5AD9D6B9AFBE}">
          <x14:formula1>
            <xm:f>'2026 COB breakdown_Kris'!$A$5:$A$103</xm:f>
          </x14:formula1>
          <xm:sqref>A3</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61002-22DC-4644-BA70-C4E5603E4197}">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231</v>
      </c>
      <c r="B3" s="58" t="s">
        <v>158</v>
      </c>
      <c r="C3" s="59">
        <f>VLOOKUP($A3,COBTABLE,15, FALSE)</f>
        <v>6655.12</v>
      </c>
      <c r="D3" s="59">
        <f>VLOOKUP($A3,COBTABLE,16, FALSE)</f>
        <v>87.63</v>
      </c>
      <c r="E3" s="59">
        <f>VLOOKUP($A3,COBTABLE,17, FALSE)</f>
        <v>623.72</v>
      </c>
      <c r="F3" s="59">
        <f>VLOOKUP($A3,COBTABLE,18, FALSE)</f>
        <v>0</v>
      </c>
      <c r="G3" s="59">
        <f>VLOOKUP($A3,COBTABLE,19, FALSE)</f>
        <v>903.85</v>
      </c>
      <c r="H3" s="59">
        <f>VLOOKUP($A3,COBTABLE,20, FALSE)</f>
        <v>397.78</v>
      </c>
      <c r="I3" s="59">
        <f>VLOOKUP($A3,COBTABLE,21, FALSE)</f>
        <v>5121.8500000000004</v>
      </c>
      <c r="J3" s="59">
        <f>VLOOKUP($A3,COBTABLE,22, FALSE)</f>
        <v>301.12</v>
      </c>
      <c r="K3" s="59">
        <f>VLOOKUP($A3,COBTABLE,23, FALSE)</f>
        <v>282.57</v>
      </c>
      <c r="L3" s="59">
        <f>VLOOKUP($A3,COBTABLE,24, FALSE)</f>
        <v>1844.38</v>
      </c>
      <c r="M3" s="59">
        <f>VLOOKUP($A3,COBTABLE,25, FALSE)</f>
        <v>1729.7299999999959</v>
      </c>
      <c r="N3" s="60">
        <f>VLOOKUP($A3, countrygrant,2,FALSE)</f>
        <v>456818.18</v>
      </c>
      <c r="O3" s="92">
        <f>SUM(C3:N3)</f>
        <v>474765.93</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9754.86</v>
      </c>
      <c r="D4" s="59">
        <f>VLOOKUP($A3,COBTABLE,28, FALSE)</f>
        <v>128.44</v>
      </c>
      <c r="E4" s="59">
        <f>VLOOKUP($A3,COBTABLE,29, FALSE)</f>
        <v>914.23</v>
      </c>
      <c r="F4" s="59">
        <f>VLOOKUP($A3,COBTABLE,30, FALSE)</f>
        <v>0</v>
      </c>
      <c r="G4" s="59">
        <f>VLOOKUP($A3,COBTABLE,31, FALSE)</f>
        <v>1324.83</v>
      </c>
      <c r="H4" s="59">
        <f>VLOOKUP($A3,COBTABLE,32, FALSE)</f>
        <v>583.05999999999995</v>
      </c>
      <c r="I4" s="59">
        <f>VLOOKUP($A3,COBTABLE,33, FALSE)</f>
        <v>7507.45</v>
      </c>
      <c r="J4" s="59">
        <f>VLOOKUP($A3,COBTABLE,34, FALSE)</f>
        <v>441.37</v>
      </c>
      <c r="K4" s="59">
        <f>VLOOKUP($A3,COBTABLE,35, FALSE)</f>
        <v>414.18</v>
      </c>
      <c r="L4" s="59">
        <f>VLOOKUP($A3,COBTABLE,36, FALSE)</f>
        <v>2703.44</v>
      </c>
      <c r="M4" s="59">
        <f>VLOOKUP($A3,COBTABLE,37, FALSE)</f>
        <v>2535.3800000000047</v>
      </c>
      <c r="N4" s="60">
        <f>VLOOKUP($A3, countrygrant,3,FALSE)</f>
        <v>669589.29</v>
      </c>
      <c r="O4" s="92">
        <f t="shared" ref="O4" si="0">SUM(C4:N4)</f>
        <v>695896.53</v>
      </c>
      <c r="P4" s="28"/>
      <c r="Q4" s="28"/>
      <c r="R4" s="28"/>
      <c r="S4" s="28"/>
      <c r="T4" s="28"/>
      <c r="U4" s="28"/>
      <c r="V4" s="28"/>
      <c r="W4" s="28"/>
      <c r="X4" s="28"/>
      <c r="Y4" s="28"/>
      <c r="Z4" s="28"/>
      <c r="AA4" s="28"/>
      <c r="AB4" s="28"/>
      <c r="AC4" s="28"/>
    </row>
    <row r="5" spans="1:36" s="53" customFormat="1" ht="12" customHeight="1" x14ac:dyDescent="0.25">
      <c r="A5" s="278"/>
      <c r="B5" s="61" t="s">
        <v>156</v>
      </c>
      <c r="C5" s="62">
        <f>SUM(C3:C4)</f>
        <v>16409.98</v>
      </c>
      <c r="D5" s="62">
        <f t="shared" ref="D5:O5" si="1">SUM(D3:D4)</f>
        <v>216.07</v>
      </c>
      <c r="E5" s="62">
        <f t="shared" si="1"/>
        <v>1537.95</v>
      </c>
      <c r="F5" s="62">
        <f t="shared" si="1"/>
        <v>0</v>
      </c>
      <c r="G5" s="62">
        <f t="shared" si="1"/>
        <v>2228.6799999999998</v>
      </c>
      <c r="H5" s="62">
        <f t="shared" si="1"/>
        <v>980.83999999999992</v>
      </c>
      <c r="I5" s="62">
        <f t="shared" si="1"/>
        <v>12629.3</v>
      </c>
      <c r="J5" s="62">
        <f t="shared" si="1"/>
        <v>742.49</v>
      </c>
      <c r="K5" s="62">
        <f t="shared" si="1"/>
        <v>696.75</v>
      </c>
      <c r="L5" s="62">
        <f t="shared" si="1"/>
        <v>4547.82</v>
      </c>
      <c r="M5" s="62">
        <f t="shared" si="1"/>
        <v>4265.1100000000006</v>
      </c>
      <c r="N5" s="62">
        <f t="shared" si="1"/>
        <v>1126407.47</v>
      </c>
      <c r="O5" s="62">
        <f t="shared" si="1"/>
        <v>1170662.46</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66958.929000000004</v>
      </c>
      <c r="K28" s="34">
        <f>$N28*0.4</f>
        <v>267835.71600000001</v>
      </c>
      <c r="L28" s="34">
        <f>$N28*0.35</f>
        <v>234356.25149999998</v>
      </c>
      <c r="M28" s="34">
        <f>$N28*0.15</f>
        <v>100438.39350000001</v>
      </c>
      <c r="N28" s="34">
        <f>N4</f>
        <v>669589.29</v>
      </c>
      <c r="O28" s="8"/>
      <c r="P28" s="9">
        <f>VLOOKUP(H28,starratio4,4,FALSE)</f>
        <v>0</v>
      </c>
    </row>
    <row r="29" spans="1:36" ht="21.95" customHeight="1" x14ac:dyDescent="0.2">
      <c r="A29" s="262"/>
      <c r="B29" s="262"/>
      <c r="C29" s="263" t="s">
        <v>31</v>
      </c>
      <c r="D29" s="263"/>
      <c r="E29" s="263"/>
      <c r="F29" s="263"/>
      <c r="G29" s="263"/>
      <c r="H29" s="263"/>
      <c r="I29" s="263"/>
      <c r="J29" s="34">
        <f>SUM(J25:J28)</f>
        <v>66958.929000000004</v>
      </c>
      <c r="K29" s="34">
        <f>SUM(K25:K28)</f>
        <v>267835.71600000001</v>
      </c>
      <c r="L29" s="34">
        <f>SUM(L25:L28)</f>
        <v>234356.25149999998</v>
      </c>
      <c r="M29" s="34">
        <f>SUM(M25:M28)</f>
        <v>100438.39350000001</v>
      </c>
      <c r="N29" s="34">
        <f>SUM(N25:N28)</f>
        <v>669589.29</v>
      </c>
      <c r="O29" s="8"/>
      <c r="P29" s="9"/>
    </row>
    <row r="30" spans="1:36" ht="21.95" customHeight="1" x14ac:dyDescent="0.2">
      <c r="A30" s="262"/>
      <c r="B30" s="263" t="s">
        <v>44</v>
      </c>
      <c r="C30" s="263"/>
      <c r="D30" s="263"/>
      <c r="E30" s="263"/>
      <c r="F30" s="263"/>
      <c r="G30" s="263"/>
      <c r="H30" s="263"/>
      <c r="I30" s="263"/>
      <c r="J30" s="34">
        <f>J29</f>
        <v>66958.929000000004</v>
      </c>
      <c r="K30" s="34">
        <f t="shared" ref="K30:N30" si="9">K29</f>
        <v>267835.71600000001</v>
      </c>
      <c r="L30" s="34">
        <f t="shared" si="9"/>
        <v>234356.25149999998</v>
      </c>
      <c r="M30" s="34">
        <f t="shared" si="9"/>
        <v>100438.39350000001</v>
      </c>
      <c r="N30" s="34">
        <f t="shared" si="9"/>
        <v>669589.29</v>
      </c>
      <c r="O30" s="8"/>
      <c r="Q30" s="10"/>
      <c r="Z30" s="11"/>
      <c r="AC30" s="12"/>
      <c r="AD30" s="13"/>
    </row>
    <row r="31" spans="1:36" ht="21.95" customHeight="1" x14ac:dyDescent="0.2">
      <c r="A31" s="261" t="s">
        <v>45</v>
      </c>
      <c r="B31" s="261"/>
      <c r="C31" s="261"/>
      <c r="D31" s="261"/>
      <c r="E31" s="261"/>
      <c r="F31" s="261"/>
      <c r="G31" s="261"/>
      <c r="H31" s="261"/>
      <c r="I31" s="261"/>
      <c r="J31" s="34">
        <f>J24+J30</f>
        <v>112640.747</v>
      </c>
      <c r="K31" s="34">
        <f>K24+K30</f>
        <v>450562.98800000001</v>
      </c>
      <c r="L31" s="34">
        <f>L24+L30</f>
        <v>394242.61449999997</v>
      </c>
      <c r="M31" s="34">
        <f>M24+M30</f>
        <v>168961.12050000002</v>
      </c>
      <c r="N31" s="34">
        <f>N24+N30</f>
        <v>1126407.47</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6655.12</v>
      </c>
      <c r="L45" s="34"/>
      <c r="M45" s="34"/>
      <c r="N45" s="34">
        <f>ROUND($C$3*P45,2)</f>
        <v>6655.12</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1844.38</v>
      </c>
      <c r="L47" s="34"/>
      <c r="M47" s="34"/>
      <c r="N47" s="34">
        <f>ROUND($L$3*P47,2)</f>
        <v>1844.38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1729.7299999999959</v>
      </c>
      <c r="L48" s="34"/>
      <c r="M48" s="34"/>
      <c r="N48" s="34">
        <f>M3-SUM(N10,N21,N35)</f>
        <v>1729.7299999999959</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10229.229999999996</v>
      </c>
      <c r="L49" s="34">
        <f>SUM(L45:L48)</f>
        <v>0</v>
      </c>
      <c r="M49" s="34">
        <f>SUM(M45:M48)</f>
        <v>0</v>
      </c>
      <c r="N49" s="34">
        <f>SUM(N45:N48)</f>
        <v>10229.229999999996</v>
      </c>
      <c r="O49" s="8"/>
      <c r="P49" s="9"/>
    </row>
    <row r="50" spans="1:36" ht="21.95" customHeight="1" x14ac:dyDescent="0.2">
      <c r="A50" s="262"/>
      <c r="B50" s="261" t="s">
        <v>60</v>
      </c>
      <c r="C50" s="261"/>
      <c r="D50" s="261"/>
      <c r="E50" s="261"/>
      <c r="F50" s="261"/>
      <c r="G50" s="261"/>
      <c r="H50" s="261"/>
      <c r="I50" s="261"/>
      <c r="J50" s="34">
        <f>J49</f>
        <v>0</v>
      </c>
      <c r="K50" s="34">
        <f t="shared" ref="K50:N50" si="15">K49</f>
        <v>10229.229999999996</v>
      </c>
      <c r="L50" s="34">
        <f t="shared" si="15"/>
        <v>0</v>
      </c>
      <c r="M50" s="34">
        <f t="shared" si="15"/>
        <v>0</v>
      </c>
      <c r="N50" s="34">
        <f t="shared" si="15"/>
        <v>10229.229999999996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9754.86</v>
      </c>
      <c r="L51" s="34"/>
      <c r="M51" s="34"/>
      <c r="N51" s="34">
        <f>ROUND($C$4*P51,2)</f>
        <v>9754.86</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2703.44</v>
      </c>
      <c r="L53" s="34"/>
      <c r="M53" s="34"/>
      <c r="N53" s="34">
        <f>ROUND($L$4*P53,2)</f>
        <v>2703.44</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2535.3800000000047</v>
      </c>
      <c r="L54" s="34"/>
      <c r="M54" s="34"/>
      <c r="N54" s="34">
        <f>M4-SUM(N15,N27,N41)</f>
        <v>2535.3800000000047</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14993.680000000006</v>
      </c>
      <c r="L55" s="34">
        <f>SUM(L51:L54)</f>
        <v>0</v>
      </c>
      <c r="M55" s="34">
        <f>SUM(M51:M54)</f>
        <v>0</v>
      </c>
      <c r="N55" s="34">
        <f>SUM(N51:N54)</f>
        <v>14993.680000000006</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14993.680000000006</v>
      </c>
      <c r="L56" s="34">
        <f t="shared" si="17"/>
        <v>0</v>
      </c>
      <c r="M56" s="34">
        <f t="shared" si="17"/>
        <v>0</v>
      </c>
      <c r="N56" s="34">
        <f t="shared" si="17"/>
        <v>14993.680000000006</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25222.910000000003</v>
      </c>
      <c r="L57" s="34">
        <f>L50+L56</f>
        <v>0</v>
      </c>
      <c r="M57" s="34">
        <f>M50+M56</f>
        <v>0</v>
      </c>
      <c r="N57" s="34">
        <f>N50+N56</f>
        <v>25222.910000000003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87.63</v>
      </c>
      <c r="L59" s="34"/>
      <c r="M59" s="34"/>
      <c r="N59" s="34">
        <f>D3</f>
        <v>87.63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623.72</v>
      </c>
      <c r="L60" s="34"/>
      <c r="M60" s="34"/>
      <c r="N60" s="34">
        <f>E3</f>
        <v>623.72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903.85</v>
      </c>
      <c r="L61" s="34"/>
      <c r="M61" s="34"/>
      <c r="N61" s="34">
        <f>G3-SUM(N9,N20,N33,N46)</f>
        <v>903.85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397.78</v>
      </c>
      <c r="L62" s="34"/>
      <c r="M62" s="34"/>
      <c r="N62" s="34">
        <f>H3</f>
        <v>397.78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5121.8500000000004</v>
      </c>
      <c r="L63" s="34"/>
      <c r="M63" s="34"/>
      <c r="N63" s="34">
        <f>I3</f>
        <v>5121.8500000000004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301.12</v>
      </c>
      <c r="L64" s="34"/>
      <c r="M64" s="34"/>
      <c r="N64" s="34">
        <f>J3</f>
        <v>301.12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282.57</v>
      </c>
      <c r="L66" s="34"/>
      <c r="M66" s="34"/>
      <c r="N66" s="34">
        <f>K3</f>
        <v>282.57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7718.5199999999995</v>
      </c>
      <c r="L68" s="34">
        <f>SUM(L58:L67)</f>
        <v>0</v>
      </c>
      <c r="M68" s="34">
        <f>SUM(M58:M67)</f>
        <v>0</v>
      </c>
      <c r="N68" s="34">
        <f>SUM(N58:N67)</f>
        <v>7718.5199999999995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7718.5199999999995</v>
      </c>
      <c r="L69" s="34">
        <f t="shared" si="20"/>
        <v>0</v>
      </c>
      <c r="M69" s="34">
        <f t="shared" si="20"/>
        <v>0</v>
      </c>
      <c r="N69" s="34">
        <f t="shared" si="20"/>
        <v>7718.5199999999995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128.44</v>
      </c>
      <c r="L71" s="34"/>
      <c r="M71" s="34"/>
      <c r="N71" s="34">
        <f>D4</f>
        <v>128.44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914.23</v>
      </c>
      <c r="L72" s="34"/>
      <c r="M72" s="34"/>
      <c r="N72" s="34">
        <f>E4</f>
        <v>914.23</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1324.83</v>
      </c>
      <c r="L73" s="34"/>
      <c r="M73" s="34"/>
      <c r="N73" s="34">
        <f>G4-SUM(N14,N26,N39,N52)</f>
        <v>1324.83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583.05999999999995</v>
      </c>
      <c r="L74" s="34"/>
      <c r="M74" s="34"/>
      <c r="N74" s="34">
        <f>H4</f>
        <v>583.05999999999995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7507.45</v>
      </c>
      <c r="L75" s="34"/>
      <c r="M75" s="34"/>
      <c r="N75" s="34">
        <f>I4</f>
        <v>7507.45</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441.37</v>
      </c>
      <c r="L76" s="34"/>
      <c r="M76" s="34"/>
      <c r="N76" s="34">
        <f>J4</f>
        <v>441.37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414.18</v>
      </c>
      <c r="L78" s="34"/>
      <c r="M78" s="34"/>
      <c r="N78" s="34">
        <f>K4</f>
        <v>414.18</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11313.560000000001</v>
      </c>
      <c r="L80" s="34">
        <f>SUM(L70:L79)</f>
        <v>0</v>
      </c>
      <c r="M80" s="34">
        <f>SUM(M70:M79)</f>
        <v>0</v>
      </c>
      <c r="N80" s="34">
        <f>SUM(N70:N79)</f>
        <v>11313.560000000001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11313.560000000001</v>
      </c>
      <c r="L81" s="34">
        <f t="shared" si="23"/>
        <v>0</v>
      </c>
      <c r="M81" s="34">
        <f t="shared" si="23"/>
        <v>0</v>
      </c>
      <c r="N81" s="34">
        <f t="shared" si="23"/>
        <v>11313.560000000001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19032.080000000002</v>
      </c>
      <c r="L82" s="34">
        <f>L69+L81</f>
        <v>0</v>
      </c>
      <c r="M82" s="34">
        <f>M69+M81</f>
        <v>0</v>
      </c>
      <c r="N82" s="34">
        <f>N69+N81</f>
        <v>19032.080000000002</v>
      </c>
      <c r="O82" s="8"/>
      <c r="R82" s="14"/>
      <c r="Z82" s="15"/>
      <c r="AJ82" s="16"/>
    </row>
    <row r="83" spans="1:36" s="31" customFormat="1" ht="21.95" customHeight="1" x14ac:dyDescent="0.2">
      <c r="A83" s="275" t="s">
        <v>82</v>
      </c>
      <c r="B83" s="275"/>
      <c r="C83" s="275"/>
      <c r="D83" s="275"/>
      <c r="E83" s="275"/>
      <c r="F83" s="275"/>
      <c r="G83" s="275"/>
      <c r="H83" s="275"/>
      <c r="I83" s="275"/>
      <c r="J83" s="35">
        <f>J18+J31+J44+J57+J82</f>
        <v>112640.747</v>
      </c>
      <c r="K83" s="35">
        <f>K18+K31+K44+K57+K82</f>
        <v>494817.97800000006</v>
      </c>
      <c r="L83" s="35">
        <f>L18+L31+L44+L57+L82</f>
        <v>394242.61449999997</v>
      </c>
      <c r="M83" s="35">
        <f>M18+M31+M44+M57+M82</f>
        <v>168961.12050000002</v>
      </c>
      <c r="N83" s="38">
        <f>N18+N31+N44+N57+N82</f>
        <v>1170662.46</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3467E18-9D1D-43A3-810C-ECD535E3584C}">
          <x14:formula1>
            <xm:f>'2026 COB breakdown_Kris'!$A$5:$A$103</xm:f>
          </x14:formula1>
          <xm:sqref>A3</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63CEE-A25B-4C00-AE3B-A8CB5C4EFCC4}">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232</v>
      </c>
      <c r="B3" s="58" t="s">
        <v>158</v>
      </c>
      <c r="C3" s="59">
        <f>VLOOKUP($A3,COBTABLE,15, FALSE)</f>
        <v>8196.2800000000007</v>
      </c>
      <c r="D3" s="59">
        <f>VLOOKUP($A3,COBTABLE,16, FALSE)</f>
        <v>107.92</v>
      </c>
      <c r="E3" s="59">
        <f>VLOOKUP($A3,COBTABLE,17, FALSE)</f>
        <v>768.16</v>
      </c>
      <c r="F3" s="59">
        <f>VLOOKUP($A3,COBTABLE,18, FALSE)</f>
        <v>0</v>
      </c>
      <c r="G3" s="59">
        <f>VLOOKUP($A3,COBTABLE,19, FALSE)</f>
        <v>1113.1600000000001</v>
      </c>
      <c r="H3" s="59">
        <f>VLOOKUP($A3,COBTABLE,20, FALSE)</f>
        <v>489.9</v>
      </c>
      <c r="I3" s="59">
        <f>VLOOKUP($A3,COBTABLE,21, FALSE)</f>
        <v>6307.95</v>
      </c>
      <c r="J3" s="59">
        <f>VLOOKUP($A3,COBTABLE,22, FALSE)</f>
        <v>370.85</v>
      </c>
      <c r="K3" s="59">
        <f>VLOOKUP($A3,COBTABLE,23, FALSE)</f>
        <v>348.01</v>
      </c>
      <c r="L3" s="59">
        <f>VLOOKUP($A3,COBTABLE,24, FALSE)</f>
        <v>2271.4899999999998</v>
      </c>
      <c r="M3" s="59">
        <f>VLOOKUP($A3,COBTABLE,25, FALSE)</f>
        <v>2130.2800000000061</v>
      </c>
      <c r="N3" s="60">
        <f>VLOOKUP($A3, countrygrant,2,FALSE)</f>
        <v>456818.18</v>
      </c>
      <c r="O3" s="92">
        <f>SUM(C3:N3)</f>
        <v>478922.18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8196.2800000000007</v>
      </c>
      <c r="D5" s="62">
        <f t="shared" ref="D5:O5" si="1">SUM(D3:D4)</f>
        <v>107.92</v>
      </c>
      <c r="E5" s="62">
        <f t="shared" si="1"/>
        <v>768.16</v>
      </c>
      <c r="F5" s="62">
        <f t="shared" si="1"/>
        <v>0</v>
      </c>
      <c r="G5" s="62">
        <f t="shared" si="1"/>
        <v>1113.1600000000001</v>
      </c>
      <c r="H5" s="62">
        <f t="shared" si="1"/>
        <v>489.9</v>
      </c>
      <c r="I5" s="62">
        <f t="shared" si="1"/>
        <v>6307.95</v>
      </c>
      <c r="J5" s="62">
        <f t="shared" si="1"/>
        <v>370.85</v>
      </c>
      <c r="K5" s="62">
        <f t="shared" si="1"/>
        <v>348.01</v>
      </c>
      <c r="L5" s="62">
        <f t="shared" si="1"/>
        <v>2271.4899999999998</v>
      </c>
      <c r="M5" s="62">
        <f t="shared" si="1"/>
        <v>2130.2800000000061</v>
      </c>
      <c r="N5" s="62">
        <f t="shared" si="1"/>
        <v>456818.18</v>
      </c>
      <c r="O5" s="62">
        <f t="shared" si="1"/>
        <v>478922.18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8196.2800000000007</v>
      </c>
      <c r="L45" s="34"/>
      <c r="M45" s="34"/>
      <c r="N45" s="34">
        <f>ROUND($C$3*P45,2)</f>
        <v>8196.2800000000007</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2271.4899999999998</v>
      </c>
      <c r="L47" s="34"/>
      <c r="M47" s="34"/>
      <c r="N47" s="34">
        <f>ROUND($L$3*P47,2)</f>
        <v>2271.4899999999998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2130.2800000000061</v>
      </c>
      <c r="L48" s="34"/>
      <c r="M48" s="34"/>
      <c r="N48" s="34">
        <f>M3-SUM(N10,N21,N35)</f>
        <v>2130.2800000000061</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12598.050000000007</v>
      </c>
      <c r="L49" s="34">
        <f>SUM(L45:L48)</f>
        <v>0</v>
      </c>
      <c r="M49" s="34">
        <f>SUM(M45:M48)</f>
        <v>0</v>
      </c>
      <c r="N49" s="34">
        <f>SUM(N45:N48)</f>
        <v>12598.050000000007</v>
      </c>
      <c r="O49" s="8"/>
      <c r="P49" s="9"/>
    </row>
    <row r="50" spans="1:36" ht="21.95" customHeight="1" x14ac:dyDescent="0.2">
      <c r="A50" s="262"/>
      <c r="B50" s="261" t="s">
        <v>60</v>
      </c>
      <c r="C50" s="261"/>
      <c r="D50" s="261"/>
      <c r="E50" s="261"/>
      <c r="F50" s="261"/>
      <c r="G50" s="261"/>
      <c r="H50" s="261"/>
      <c r="I50" s="261"/>
      <c r="J50" s="34">
        <f>J49</f>
        <v>0</v>
      </c>
      <c r="K50" s="34">
        <f t="shared" ref="K50:N50" si="15">K49</f>
        <v>12598.050000000007</v>
      </c>
      <c r="L50" s="34">
        <f t="shared" si="15"/>
        <v>0</v>
      </c>
      <c r="M50" s="34">
        <f t="shared" si="15"/>
        <v>0</v>
      </c>
      <c r="N50" s="34">
        <f t="shared" si="15"/>
        <v>12598.050000000007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12598.050000000007</v>
      </c>
      <c r="L57" s="34">
        <f>L50+L56</f>
        <v>0</v>
      </c>
      <c r="M57" s="34">
        <f>M50+M56</f>
        <v>0</v>
      </c>
      <c r="N57" s="34">
        <f>N50+N56</f>
        <v>12598.050000000007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107.92</v>
      </c>
      <c r="L59" s="34"/>
      <c r="M59" s="34"/>
      <c r="N59" s="34">
        <f>D3</f>
        <v>107.92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768.16</v>
      </c>
      <c r="L60" s="34"/>
      <c r="M60" s="34"/>
      <c r="N60" s="34">
        <f>E3</f>
        <v>768.16</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1113.1600000000001</v>
      </c>
      <c r="L61" s="34"/>
      <c r="M61" s="34"/>
      <c r="N61" s="34">
        <f>G3-SUM(N9,N20,N33,N46)</f>
        <v>1113.1600000000001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489.9</v>
      </c>
      <c r="L62" s="34"/>
      <c r="M62" s="34"/>
      <c r="N62" s="34">
        <f>H3</f>
        <v>489.9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6307.95</v>
      </c>
      <c r="L63" s="34"/>
      <c r="M63" s="34"/>
      <c r="N63" s="34">
        <f>I3</f>
        <v>6307.95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370.85</v>
      </c>
      <c r="L64" s="34"/>
      <c r="M64" s="34"/>
      <c r="N64" s="34">
        <f>J3</f>
        <v>370.85</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348.01</v>
      </c>
      <c r="L66" s="34"/>
      <c r="M66" s="34"/>
      <c r="N66" s="34">
        <f>K3</f>
        <v>348.01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9505.9500000000007</v>
      </c>
      <c r="L68" s="34">
        <f>SUM(L58:L67)</f>
        <v>0</v>
      </c>
      <c r="M68" s="34">
        <f>SUM(M58:M67)</f>
        <v>0</v>
      </c>
      <c r="N68" s="34">
        <f>SUM(N58:N67)</f>
        <v>9505.9500000000007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9505.9500000000007</v>
      </c>
      <c r="L69" s="34">
        <f t="shared" si="20"/>
        <v>0</v>
      </c>
      <c r="M69" s="34">
        <f t="shared" si="20"/>
        <v>0</v>
      </c>
      <c r="N69" s="34">
        <f t="shared" si="20"/>
        <v>9505.9500000000007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9505.9500000000007</v>
      </c>
      <c r="L82" s="34">
        <f>L69+L81</f>
        <v>0</v>
      </c>
      <c r="M82" s="34">
        <f>M69+M81</f>
        <v>0</v>
      </c>
      <c r="N82" s="34">
        <f>N69+N81</f>
        <v>9505.9500000000007</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204831.27200000003</v>
      </c>
      <c r="L83" s="35">
        <f>L18+L31+L44+L57+L82</f>
        <v>159886.36299999998</v>
      </c>
      <c r="M83" s="35">
        <f>M18+M31+M44+M57+M82</f>
        <v>68522.726999999999</v>
      </c>
      <c r="N83" s="38">
        <f>N18+N31+N44+N57+N82</f>
        <v>478922.18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93F6AF3-7933-46A7-AD94-AA80E72359B6}">
          <x14:formula1>
            <xm:f>'2026 COB breakdown_Kris'!$A$5:$A$103</xm:f>
          </x14:formula1>
          <xm:sqref>A3</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3AB83-CCF9-4F95-BE23-0640E1D3EC19}">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233</v>
      </c>
      <c r="B3" s="58" t="s">
        <v>158</v>
      </c>
      <c r="C3" s="59">
        <f>VLOOKUP($A3,COBTABLE,15, FALSE)</f>
        <v>6434.29</v>
      </c>
      <c r="D3" s="59">
        <f>VLOOKUP($A3,COBTABLE,16, FALSE)</f>
        <v>84.72</v>
      </c>
      <c r="E3" s="59">
        <f>VLOOKUP($A3,COBTABLE,17, FALSE)</f>
        <v>603.03</v>
      </c>
      <c r="F3" s="59">
        <f>VLOOKUP($A3,COBTABLE,18, FALSE)</f>
        <v>0</v>
      </c>
      <c r="G3" s="59">
        <f>VLOOKUP($A3,COBTABLE,19, FALSE)</f>
        <v>873.86</v>
      </c>
      <c r="H3" s="59">
        <f>VLOOKUP($A3,COBTABLE,20, FALSE)</f>
        <v>384.59</v>
      </c>
      <c r="I3" s="59">
        <f>VLOOKUP($A3,COBTABLE,21, FALSE)</f>
        <v>4951.8999999999996</v>
      </c>
      <c r="J3" s="59">
        <f>VLOOKUP($A3,COBTABLE,22, FALSE)</f>
        <v>291.13</v>
      </c>
      <c r="K3" s="59">
        <f>VLOOKUP($A3,COBTABLE,23, FALSE)</f>
        <v>273.2</v>
      </c>
      <c r="L3" s="59">
        <f>VLOOKUP($A3,COBTABLE,24, FALSE)</f>
        <v>1783.18</v>
      </c>
      <c r="M3" s="59">
        <f>VLOOKUP($A3,COBTABLE,25, FALSE)</f>
        <v>1672.3099999999995</v>
      </c>
      <c r="N3" s="60">
        <f>VLOOKUP($A3, countrygrant,2,FALSE)</f>
        <v>456818.18</v>
      </c>
      <c r="O3" s="92">
        <f>SUM(C3:N3)</f>
        <v>474170.39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943.7</v>
      </c>
      <c r="D4" s="59">
        <f>VLOOKUP($A3,COBTABLE,28, FALSE)</f>
        <v>12.43</v>
      </c>
      <c r="E4" s="59">
        <f>VLOOKUP($A3,COBTABLE,29, FALSE)</f>
        <v>88.44</v>
      </c>
      <c r="F4" s="59">
        <f>VLOOKUP($A3,COBTABLE,30, FALSE)</f>
        <v>0</v>
      </c>
      <c r="G4" s="59">
        <f>VLOOKUP($A3,COBTABLE,31, FALSE)</f>
        <v>128.16999999999999</v>
      </c>
      <c r="H4" s="59">
        <f>VLOOKUP($A3,COBTABLE,32, FALSE)</f>
        <v>56.41</v>
      </c>
      <c r="I4" s="59">
        <f>VLOOKUP($A3,COBTABLE,33, FALSE)</f>
        <v>726.28</v>
      </c>
      <c r="J4" s="59">
        <f>VLOOKUP($A3,COBTABLE,34, FALSE)</f>
        <v>42.7</v>
      </c>
      <c r="K4" s="59">
        <f>VLOOKUP($A3,COBTABLE,35, FALSE)</f>
        <v>40.07</v>
      </c>
      <c r="L4" s="59">
        <f>VLOOKUP($A3,COBTABLE,36, FALSE)</f>
        <v>261.52999999999997</v>
      </c>
      <c r="M4" s="59">
        <f>VLOOKUP($A3,COBTABLE,37, FALSE)</f>
        <v>245.25999999999976</v>
      </c>
      <c r="N4" s="60">
        <f>VLOOKUP($A3, countrygrant,3,FALSE)</f>
        <v>67000</v>
      </c>
      <c r="O4" s="92">
        <f t="shared" ref="O4" si="0">SUM(C4:N4)</f>
        <v>69544.990000000005</v>
      </c>
      <c r="P4" s="28"/>
      <c r="Q4" s="28"/>
      <c r="R4" s="28"/>
      <c r="S4" s="28"/>
      <c r="T4" s="28"/>
      <c r="U4" s="28"/>
      <c r="V4" s="28"/>
      <c r="W4" s="28"/>
      <c r="X4" s="28"/>
      <c r="Y4" s="28"/>
      <c r="Z4" s="28"/>
      <c r="AA4" s="28"/>
      <c r="AB4" s="28"/>
      <c r="AC4" s="28"/>
    </row>
    <row r="5" spans="1:36" s="53" customFormat="1" ht="12" customHeight="1" x14ac:dyDescent="0.25">
      <c r="A5" s="278"/>
      <c r="B5" s="61" t="s">
        <v>156</v>
      </c>
      <c r="C5" s="62">
        <f>SUM(C3:C4)</f>
        <v>7377.99</v>
      </c>
      <c r="D5" s="62">
        <f t="shared" ref="D5:O5" si="1">SUM(D3:D4)</f>
        <v>97.15</v>
      </c>
      <c r="E5" s="62">
        <f t="shared" si="1"/>
        <v>691.47</v>
      </c>
      <c r="F5" s="62">
        <f t="shared" si="1"/>
        <v>0</v>
      </c>
      <c r="G5" s="62">
        <f t="shared" si="1"/>
        <v>1002.03</v>
      </c>
      <c r="H5" s="62">
        <f t="shared" si="1"/>
        <v>441</v>
      </c>
      <c r="I5" s="62">
        <f t="shared" si="1"/>
        <v>5678.1799999999994</v>
      </c>
      <c r="J5" s="62">
        <f t="shared" si="1"/>
        <v>333.83</v>
      </c>
      <c r="K5" s="62">
        <f t="shared" si="1"/>
        <v>313.27</v>
      </c>
      <c r="L5" s="62">
        <f t="shared" si="1"/>
        <v>2044.71</v>
      </c>
      <c r="M5" s="62">
        <f t="shared" si="1"/>
        <v>1917.5699999999993</v>
      </c>
      <c r="N5" s="62">
        <f t="shared" si="1"/>
        <v>523818.18</v>
      </c>
      <c r="O5" s="62">
        <f t="shared" si="1"/>
        <v>543715.38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v>
      </c>
      <c r="K28" s="34">
        <f>$N28*0.4</f>
        <v>26800</v>
      </c>
      <c r="L28" s="34">
        <f>$N28*0.35</f>
        <v>23450</v>
      </c>
      <c r="M28" s="34">
        <f>$N28*0.15</f>
        <v>10050</v>
      </c>
      <c r="N28" s="34">
        <f>N4</f>
        <v>67000</v>
      </c>
      <c r="O28" s="8"/>
      <c r="P28" s="9">
        <f>VLOOKUP(H28,starratio4,4,FALSE)</f>
        <v>0</v>
      </c>
    </row>
    <row r="29" spans="1:36" ht="21.95" customHeight="1" x14ac:dyDescent="0.2">
      <c r="A29" s="262"/>
      <c r="B29" s="262"/>
      <c r="C29" s="263" t="s">
        <v>31</v>
      </c>
      <c r="D29" s="263"/>
      <c r="E29" s="263"/>
      <c r="F29" s="263"/>
      <c r="G29" s="263"/>
      <c r="H29" s="263"/>
      <c r="I29" s="263"/>
      <c r="J29" s="34">
        <f>SUM(J25:J28)</f>
        <v>6700</v>
      </c>
      <c r="K29" s="34">
        <f>SUM(K25:K28)</f>
        <v>26800</v>
      </c>
      <c r="L29" s="34">
        <f>SUM(L25:L28)</f>
        <v>23450</v>
      </c>
      <c r="M29" s="34">
        <f>SUM(M25:M28)</f>
        <v>10050</v>
      </c>
      <c r="N29" s="34">
        <f>SUM(N25:N28)</f>
        <v>67000</v>
      </c>
      <c r="O29" s="8"/>
      <c r="P29" s="9"/>
    </row>
    <row r="30" spans="1:36" ht="21.95" customHeight="1" x14ac:dyDescent="0.2">
      <c r="A30" s="262"/>
      <c r="B30" s="263" t="s">
        <v>44</v>
      </c>
      <c r="C30" s="263"/>
      <c r="D30" s="263"/>
      <c r="E30" s="263"/>
      <c r="F30" s="263"/>
      <c r="G30" s="263"/>
      <c r="H30" s="263"/>
      <c r="I30" s="263"/>
      <c r="J30" s="34">
        <f>J29</f>
        <v>6700</v>
      </c>
      <c r="K30" s="34">
        <f t="shared" ref="K30:N30" si="9">K29</f>
        <v>26800</v>
      </c>
      <c r="L30" s="34">
        <f t="shared" si="9"/>
        <v>23450</v>
      </c>
      <c r="M30" s="34">
        <f t="shared" si="9"/>
        <v>10050</v>
      </c>
      <c r="N30" s="34">
        <f t="shared" si="9"/>
        <v>67000</v>
      </c>
      <c r="O30" s="8"/>
      <c r="Q30" s="10"/>
      <c r="Z30" s="11"/>
      <c r="AC30" s="12"/>
      <c r="AD30" s="13"/>
    </row>
    <row r="31" spans="1:36" ht="21.95" customHeight="1" x14ac:dyDescent="0.2">
      <c r="A31" s="261" t="s">
        <v>45</v>
      </c>
      <c r="B31" s="261"/>
      <c r="C31" s="261"/>
      <c r="D31" s="261"/>
      <c r="E31" s="261"/>
      <c r="F31" s="261"/>
      <c r="G31" s="261"/>
      <c r="H31" s="261"/>
      <c r="I31" s="261"/>
      <c r="J31" s="34">
        <f>J24+J30</f>
        <v>52381.817999999999</v>
      </c>
      <c r="K31" s="34">
        <f>K24+K30</f>
        <v>209527.272</v>
      </c>
      <c r="L31" s="34">
        <f>L24+L30</f>
        <v>183336.36299999998</v>
      </c>
      <c r="M31" s="34">
        <f>M24+M30</f>
        <v>78572.726999999999</v>
      </c>
      <c r="N31" s="34">
        <f>N24+N30</f>
        <v>523818.18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6434.29</v>
      </c>
      <c r="L45" s="34"/>
      <c r="M45" s="34"/>
      <c r="N45" s="34">
        <f>ROUND($C$3*P45,2)</f>
        <v>6434.29</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1783.18</v>
      </c>
      <c r="L47" s="34"/>
      <c r="M47" s="34"/>
      <c r="N47" s="34">
        <f>ROUND($L$3*P47,2)</f>
        <v>1783.18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1672.3099999999995</v>
      </c>
      <c r="L48" s="34"/>
      <c r="M48" s="34"/>
      <c r="N48" s="34">
        <f>M3-SUM(N10,N21,N35)</f>
        <v>1672.3099999999995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9889.7799999999988</v>
      </c>
      <c r="L49" s="34">
        <f>SUM(L45:L48)</f>
        <v>0</v>
      </c>
      <c r="M49" s="34">
        <f>SUM(M45:M48)</f>
        <v>0</v>
      </c>
      <c r="N49" s="34">
        <f>SUM(N45:N48)</f>
        <v>9889.7799999999988</v>
      </c>
      <c r="O49" s="8"/>
      <c r="P49" s="9"/>
    </row>
    <row r="50" spans="1:36" ht="21.95" customHeight="1" x14ac:dyDescent="0.2">
      <c r="A50" s="262"/>
      <c r="B50" s="261" t="s">
        <v>60</v>
      </c>
      <c r="C50" s="261"/>
      <c r="D50" s="261"/>
      <c r="E50" s="261"/>
      <c r="F50" s="261"/>
      <c r="G50" s="261"/>
      <c r="H50" s="261"/>
      <c r="I50" s="261"/>
      <c r="J50" s="34">
        <f>J49</f>
        <v>0</v>
      </c>
      <c r="K50" s="34">
        <f t="shared" ref="K50:N50" si="15">K49</f>
        <v>9889.7799999999988</v>
      </c>
      <c r="L50" s="34">
        <f t="shared" si="15"/>
        <v>0</v>
      </c>
      <c r="M50" s="34">
        <f t="shared" si="15"/>
        <v>0</v>
      </c>
      <c r="N50" s="34">
        <f t="shared" si="15"/>
        <v>9889.7799999999988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943.7</v>
      </c>
      <c r="L51" s="34"/>
      <c r="M51" s="34"/>
      <c r="N51" s="34">
        <f>ROUND($C$4*P51,2)</f>
        <v>943.7</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261.52999999999997</v>
      </c>
      <c r="L53" s="34"/>
      <c r="M53" s="34"/>
      <c r="N53" s="34">
        <f>ROUND($L$4*P53,2)</f>
        <v>261.52999999999997</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245.25999999999976</v>
      </c>
      <c r="L54" s="34"/>
      <c r="M54" s="34"/>
      <c r="N54" s="34">
        <f>M4-SUM(N15,N27,N41)</f>
        <v>245.25999999999976</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1450.4899999999998</v>
      </c>
      <c r="L55" s="34">
        <f>SUM(L51:L54)</f>
        <v>0</v>
      </c>
      <c r="M55" s="34">
        <f>SUM(M51:M54)</f>
        <v>0</v>
      </c>
      <c r="N55" s="34">
        <f>SUM(N51:N54)</f>
        <v>1450.4899999999998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1450.4899999999998</v>
      </c>
      <c r="L56" s="34">
        <f t="shared" si="17"/>
        <v>0</v>
      </c>
      <c r="M56" s="34">
        <f t="shared" si="17"/>
        <v>0</v>
      </c>
      <c r="N56" s="34">
        <f t="shared" si="17"/>
        <v>1450.4899999999998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11340.269999999999</v>
      </c>
      <c r="L57" s="34">
        <f>L50+L56</f>
        <v>0</v>
      </c>
      <c r="M57" s="34">
        <f>M50+M56</f>
        <v>0</v>
      </c>
      <c r="N57" s="34">
        <f>N50+N56</f>
        <v>11340.269999999999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84.72</v>
      </c>
      <c r="L59" s="34"/>
      <c r="M59" s="34"/>
      <c r="N59" s="34">
        <f>D3</f>
        <v>84.72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603.03</v>
      </c>
      <c r="L60" s="34"/>
      <c r="M60" s="34"/>
      <c r="N60" s="34">
        <f>E3</f>
        <v>603.03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873.86</v>
      </c>
      <c r="L61" s="34"/>
      <c r="M61" s="34"/>
      <c r="N61" s="34">
        <f>G3-SUM(N9,N20,N33,N46)</f>
        <v>873.86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384.59</v>
      </c>
      <c r="L62" s="34"/>
      <c r="M62" s="34"/>
      <c r="N62" s="34">
        <f>H3</f>
        <v>384.59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4951.8999999999996</v>
      </c>
      <c r="L63" s="34"/>
      <c r="M63" s="34"/>
      <c r="N63" s="34">
        <f>I3</f>
        <v>4951.8999999999996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291.13</v>
      </c>
      <c r="L64" s="34"/>
      <c r="M64" s="34"/>
      <c r="N64" s="34">
        <f>J3</f>
        <v>291.13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273.2</v>
      </c>
      <c r="L66" s="34"/>
      <c r="M66" s="34"/>
      <c r="N66" s="34">
        <f>K3</f>
        <v>273.2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7462.4299999999994</v>
      </c>
      <c r="L68" s="34">
        <f>SUM(L58:L67)</f>
        <v>0</v>
      </c>
      <c r="M68" s="34">
        <f>SUM(M58:M67)</f>
        <v>0</v>
      </c>
      <c r="N68" s="34">
        <f>SUM(N58:N67)</f>
        <v>7462.4299999999994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7462.4299999999994</v>
      </c>
      <c r="L69" s="34">
        <f t="shared" si="20"/>
        <v>0</v>
      </c>
      <c r="M69" s="34">
        <f t="shared" si="20"/>
        <v>0</v>
      </c>
      <c r="N69" s="34">
        <f t="shared" si="20"/>
        <v>7462.4299999999994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12.43</v>
      </c>
      <c r="L71" s="34"/>
      <c r="M71" s="34"/>
      <c r="N71" s="34">
        <f>D4</f>
        <v>12.43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88.44</v>
      </c>
      <c r="L72" s="34"/>
      <c r="M72" s="34"/>
      <c r="N72" s="34">
        <f>E4</f>
        <v>88.44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128.16999999999999</v>
      </c>
      <c r="L73" s="34"/>
      <c r="M73" s="34"/>
      <c r="N73" s="34">
        <f>G4-SUM(N14,N26,N39,N52)</f>
        <v>128.16999999999999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56.41</v>
      </c>
      <c r="L74" s="34"/>
      <c r="M74" s="34"/>
      <c r="N74" s="34">
        <f>H4</f>
        <v>56.41</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726.28</v>
      </c>
      <c r="L75" s="34"/>
      <c r="M75" s="34"/>
      <c r="N75" s="34">
        <f>I4</f>
        <v>726.28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42.7</v>
      </c>
      <c r="L76" s="34"/>
      <c r="M76" s="34"/>
      <c r="N76" s="34">
        <f>J4</f>
        <v>42.7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40.07</v>
      </c>
      <c r="L78" s="34"/>
      <c r="M78" s="34"/>
      <c r="N78" s="34">
        <f>K4</f>
        <v>40.07</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1094.5</v>
      </c>
      <c r="L80" s="34">
        <f>SUM(L70:L79)</f>
        <v>0</v>
      </c>
      <c r="M80" s="34">
        <f>SUM(M70:M79)</f>
        <v>0</v>
      </c>
      <c r="N80" s="34">
        <f>SUM(N70:N79)</f>
        <v>1094.5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1094.5</v>
      </c>
      <c r="L81" s="34">
        <f t="shared" si="23"/>
        <v>0</v>
      </c>
      <c r="M81" s="34">
        <f t="shared" si="23"/>
        <v>0</v>
      </c>
      <c r="N81" s="34">
        <f t="shared" si="23"/>
        <v>1094.5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8556.93</v>
      </c>
      <c r="L82" s="34">
        <f>L69+L81</f>
        <v>0</v>
      </c>
      <c r="M82" s="34">
        <f>M69+M81</f>
        <v>0</v>
      </c>
      <c r="N82" s="34">
        <f>N69+N81</f>
        <v>8556.93</v>
      </c>
      <c r="O82" s="8"/>
      <c r="R82" s="14"/>
      <c r="Z82" s="15"/>
      <c r="AJ82" s="16"/>
    </row>
    <row r="83" spans="1:36" s="31" customFormat="1" ht="21.95" customHeight="1" x14ac:dyDescent="0.2">
      <c r="A83" s="275" t="s">
        <v>82</v>
      </c>
      <c r="B83" s="275"/>
      <c r="C83" s="275"/>
      <c r="D83" s="275"/>
      <c r="E83" s="275"/>
      <c r="F83" s="275"/>
      <c r="G83" s="275"/>
      <c r="H83" s="275"/>
      <c r="I83" s="275"/>
      <c r="J83" s="35">
        <f>J18+J31+J44+J57+J82</f>
        <v>52381.817999999999</v>
      </c>
      <c r="K83" s="35">
        <f>K18+K31+K44+K57+K82</f>
        <v>229424.47199999998</v>
      </c>
      <c r="L83" s="35">
        <f>L18+L31+L44+L57+L82</f>
        <v>183336.36299999998</v>
      </c>
      <c r="M83" s="35">
        <f>M18+M31+M44+M57+M82</f>
        <v>78572.726999999999</v>
      </c>
      <c r="N83" s="38">
        <f>N18+N31+N44+N57+N82</f>
        <v>543715.38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CFB205A-445F-4BA8-A881-9CD7DBB8EC1E}">
          <x14:formula1>
            <xm:f>'2026 COB breakdown_Kris'!$A$5:$A$103</xm:f>
          </x14:formula1>
          <xm:sqref>A3</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C4CC-2C99-4BFA-BCAE-F50BB9DB51DC}">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234</v>
      </c>
      <c r="B3" s="58" t="s">
        <v>158</v>
      </c>
      <c r="C3" s="59">
        <f>VLOOKUP($A3,COBTABLE,15, FALSE)</f>
        <v>5976.2</v>
      </c>
      <c r="D3" s="59">
        <f>VLOOKUP($A3,COBTABLE,16, FALSE)</f>
        <v>78.69</v>
      </c>
      <c r="E3" s="59">
        <f>VLOOKUP($A3,COBTABLE,17, FALSE)</f>
        <v>560.09</v>
      </c>
      <c r="F3" s="59">
        <f>VLOOKUP($A3,COBTABLE,18, FALSE)</f>
        <v>0</v>
      </c>
      <c r="G3" s="59">
        <f>VLOOKUP($A3,COBTABLE,19, FALSE)</f>
        <v>811.65</v>
      </c>
      <c r="H3" s="59">
        <f>VLOOKUP($A3,COBTABLE,20, FALSE)</f>
        <v>357.2</v>
      </c>
      <c r="I3" s="59">
        <f>VLOOKUP($A3,COBTABLE,21, FALSE)</f>
        <v>4599.3500000000004</v>
      </c>
      <c r="J3" s="59">
        <f>VLOOKUP($A3,COBTABLE,22, FALSE)</f>
        <v>270.39999999999998</v>
      </c>
      <c r="K3" s="59">
        <f>VLOOKUP($A3,COBTABLE,23, FALSE)</f>
        <v>253.75</v>
      </c>
      <c r="L3" s="59">
        <f>VLOOKUP($A3,COBTABLE,24, FALSE)</f>
        <v>1656.23</v>
      </c>
      <c r="M3" s="59">
        <f>VLOOKUP($A3,COBTABLE,25, FALSE)</f>
        <v>1553.2700000000023</v>
      </c>
      <c r="N3" s="60">
        <f>VLOOKUP($A3, countrygrant,2,FALSE)</f>
        <v>456818.18</v>
      </c>
      <c r="O3" s="92">
        <f>SUM(C3:N3)</f>
        <v>472935.01</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7012.08</v>
      </c>
      <c r="D4" s="59">
        <f>VLOOKUP($A3,COBTABLE,28, FALSE)</f>
        <v>92.33</v>
      </c>
      <c r="E4" s="59">
        <f>VLOOKUP($A3,COBTABLE,29, FALSE)</f>
        <v>657.17</v>
      </c>
      <c r="F4" s="59">
        <f>VLOOKUP($A3,COBTABLE,30, FALSE)</f>
        <v>0</v>
      </c>
      <c r="G4" s="59">
        <f>VLOOKUP($A3,COBTABLE,31, FALSE)</f>
        <v>952.33</v>
      </c>
      <c r="H4" s="59">
        <f>VLOOKUP($A3,COBTABLE,32, FALSE)</f>
        <v>419.12</v>
      </c>
      <c r="I4" s="59">
        <f>VLOOKUP($A3,COBTABLE,33, FALSE)</f>
        <v>5396.58</v>
      </c>
      <c r="J4" s="59">
        <f>VLOOKUP($A3,COBTABLE,34, FALSE)</f>
        <v>317.27</v>
      </c>
      <c r="K4" s="59">
        <f>VLOOKUP($A3,COBTABLE,35, FALSE)</f>
        <v>297.72000000000003</v>
      </c>
      <c r="L4" s="59">
        <f>VLOOKUP($A3,COBTABLE,36, FALSE)</f>
        <v>1943.31</v>
      </c>
      <c r="M4" s="59">
        <f>VLOOKUP($A3,COBTABLE,37, FALSE)</f>
        <v>1822.5099999999984</v>
      </c>
      <c r="N4" s="60">
        <f>VLOOKUP($A3, countrygrant,3,FALSE)</f>
        <v>536000</v>
      </c>
      <c r="O4" s="92">
        <f t="shared" ref="O4" si="0">SUM(C4:N4)</f>
        <v>554910.42000000004</v>
      </c>
      <c r="P4" s="28"/>
      <c r="Q4" s="28"/>
      <c r="R4" s="28"/>
      <c r="S4" s="28"/>
      <c r="T4" s="28"/>
      <c r="U4" s="28"/>
      <c r="V4" s="28"/>
      <c r="W4" s="28"/>
      <c r="X4" s="28"/>
      <c r="Y4" s="28"/>
      <c r="Z4" s="28"/>
      <c r="AA4" s="28"/>
      <c r="AB4" s="28"/>
      <c r="AC4" s="28"/>
    </row>
    <row r="5" spans="1:36" s="53" customFormat="1" ht="12" customHeight="1" x14ac:dyDescent="0.25">
      <c r="A5" s="278"/>
      <c r="B5" s="61" t="s">
        <v>156</v>
      </c>
      <c r="C5" s="62">
        <f>SUM(C3:C4)</f>
        <v>12988.279999999999</v>
      </c>
      <c r="D5" s="62">
        <f t="shared" ref="D5:O5" si="1">SUM(D3:D4)</f>
        <v>171.01999999999998</v>
      </c>
      <c r="E5" s="62">
        <f t="shared" si="1"/>
        <v>1217.26</v>
      </c>
      <c r="F5" s="62">
        <f t="shared" si="1"/>
        <v>0</v>
      </c>
      <c r="G5" s="62">
        <f t="shared" si="1"/>
        <v>1763.98</v>
      </c>
      <c r="H5" s="62">
        <f t="shared" si="1"/>
        <v>776.31999999999994</v>
      </c>
      <c r="I5" s="62">
        <f t="shared" si="1"/>
        <v>9995.93</v>
      </c>
      <c r="J5" s="62">
        <f t="shared" si="1"/>
        <v>587.66999999999996</v>
      </c>
      <c r="K5" s="62">
        <f t="shared" si="1"/>
        <v>551.47</v>
      </c>
      <c r="L5" s="62">
        <f t="shared" si="1"/>
        <v>3599.54</v>
      </c>
      <c r="M5" s="62">
        <f t="shared" si="1"/>
        <v>3375.7800000000007</v>
      </c>
      <c r="N5" s="62">
        <f t="shared" si="1"/>
        <v>992818.17999999993</v>
      </c>
      <c r="O5" s="62">
        <f t="shared" si="1"/>
        <v>1027845.43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VLOOKUP(H28,starratio4,4,FALSE)</f>
        <v>0</v>
      </c>
    </row>
    <row r="29" spans="1:36" ht="21.95" customHeight="1" x14ac:dyDescent="0.2">
      <c r="A29" s="262"/>
      <c r="B29" s="262"/>
      <c r="C29" s="263" t="s">
        <v>31</v>
      </c>
      <c r="D29" s="263"/>
      <c r="E29" s="263"/>
      <c r="F29" s="263"/>
      <c r="G29" s="263"/>
      <c r="H29" s="263"/>
      <c r="I29" s="263"/>
      <c r="J29" s="34">
        <f>SUM(J25:J28)</f>
        <v>53600</v>
      </c>
      <c r="K29" s="34">
        <f>SUM(K25:K28)</f>
        <v>214400</v>
      </c>
      <c r="L29" s="34">
        <f>SUM(L25:L28)</f>
        <v>187600</v>
      </c>
      <c r="M29" s="34">
        <f>SUM(M25:M28)</f>
        <v>80400</v>
      </c>
      <c r="N29" s="34">
        <f>SUM(N25:N28)</f>
        <v>536000</v>
      </c>
      <c r="O29" s="8"/>
      <c r="P29" s="9"/>
    </row>
    <row r="30" spans="1:36" ht="21.95" customHeight="1" x14ac:dyDescent="0.2">
      <c r="A30" s="262"/>
      <c r="B30" s="263" t="s">
        <v>44</v>
      </c>
      <c r="C30" s="263"/>
      <c r="D30" s="263"/>
      <c r="E30" s="263"/>
      <c r="F30" s="263"/>
      <c r="G30" s="263"/>
      <c r="H30" s="263"/>
      <c r="I30" s="263"/>
      <c r="J30" s="34">
        <f>J29</f>
        <v>53600</v>
      </c>
      <c r="K30" s="34">
        <f t="shared" ref="K30:N30" si="9">K29</f>
        <v>214400</v>
      </c>
      <c r="L30" s="34">
        <f t="shared" si="9"/>
        <v>187600</v>
      </c>
      <c r="M30" s="34">
        <f t="shared" si="9"/>
        <v>80400</v>
      </c>
      <c r="N30" s="34">
        <f t="shared" si="9"/>
        <v>536000</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397127.272</v>
      </c>
      <c r="L31" s="34">
        <f>L24+L30</f>
        <v>347486.36300000001</v>
      </c>
      <c r="M31" s="34">
        <f>M24+M30</f>
        <v>148922.72700000001</v>
      </c>
      <c r="N31" s="34">
        <f>N24+N30</f>
        <v>992818.17999999993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5976.2</v>
      </c>
      <c r="L45" s="34"/>
      <c r="M45" s="34"/>
      <c r="N45" s="34">
        <f>ROUND($C$3*P45,2)</f>
        <v>5976.2</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1656.23</v>
      </c>
      <c r="L47" s="34"/>
      <c r="M47" s="34"/>
      <c r="N47" s="34">
        <f>ROUND($L$3*P47,2)</f>
        <v>1656.23</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1553.2700000000023</v>
      </c>
      <c r="L48" s="34"/>
      <c r="M48" s="34"/>
      <c r="N48" s="34">
        <f>M3-SUM(N10,N21,N35)</f>
        <v>1553.2700000000023</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9185.7000000000025</v>
      </c>
      <c r="L49" s="34">
        <f>SUM(L45:L48)</f>
        <v>0</v>
      </c>
      <c r="M49" s="34">
        <f>SUM(M45:M48)</f>
        <v>0</v>
      </c>
      <c r="N49" s="34">
        <f>SUM(N45:N48)</f>
        <v>9185.7000000000025</v>
      </c>
      <c r="O49" s="8"/>
      <c r="P49" s="9"/>
    </row>
    <row r="50" spans="1:36" ht="21.95" customHeight="1" x14ac:dyDescent="0.2">
      <c r="A50" s="262"/>
      <c r="B50" s="261" t="s">
        <v>60</v>
      </c>
      <c r="C50" s="261"/>
      <c r="D50" s="261"/>
      <c r="E50" s="261"/>
      <c r="F50" s="261"/>
      <c r="G50" s="261"/>
      <c r="H50" s="261"/>
      <c r="I50" s="261"/>
      <c r="J50" s="34">
        <f>J49</f>
        <v>0</v>
      </c>
      <c r="K50" s="34">
        <f t="shared" ref="K50:N50" si="15">K49</f>
        <v>9185.7000000000025</v>
      </c>
      <c r="L50" s="34">
        <f t="shared" si="15"/>
        <v>0</v>
      </c>
      <c r="M50" s="34">
        <f t="shared" si="15"/>
        <v>0</v>
      </c>
      <c r="N50" s="34">
        <f t="shared" si="15"/>
        <v>9185.7000000000025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7012.08</v>
      </c>
      <c r="L51" s="34"/>
      <c r="M51" s="34"/>
      <c r="N51" s="34">
        <f>ROUND($C$4*P51,2)</f>
        <v>7012.08</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1943.31</v>
      </c>
      <c r="L53" s="34"/>
      <c r="M53" s="34"/>
      <c r="N53" s="34">
        <f>ROUND($L$4*P53,2)</f>
        <v>1943.31</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1822.5099999999984</v>
      </c>
      <c r="L54" s="34"/>
      <c r="M54" s="34"/>
      <c r="N54" s="34">
        <f>M4-SUM(N15,N27,N41)</f>
        <v>1822.5099999999984</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10777.899999999998</v>
      </c>
      <c r="L55" s="34">
        <f>SUM(L51:L54)</f>
        <v>0</v>
      </c>
      <c r="M55" s="34">
        <f>SUM(M51:M54)</f>
        <v>0</v>
      </c>
      <c r="N55" s="34">
        <f>SUM(N51:N54)</f>
        <v>10777.899999999998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10777.899999999998</v>
      </c>
      <c r="L56" s="34">
        <f t="shared" si="17"/>
        <v>0</v>
      </c>
      <c r="M56" s="34">
        <f t="shared" si="17"/>
        <v>0</v>
      </c>
      <c r="N56" s="34">
        <f t="shared" si="17"/>
        <v>10777.899999999998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19963.599999999999</v>
      </c>
      <c r="L57" s="34">
        <f>L50+L56</f>
        <v>0</v>
      </c>
      <c r="M57" s="34">
        <f>M50+M56</f>
        <v>0</v>
      </c>
      <c r="N57" s="34">
        <f>N50+N56</f>
        <v>19963.599999999999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78.69</v>
      </c>
      <c r="L59" s="34"/>
      <c r="M59" s="34"/>
      <c r="N59" s="34">
        <f>D3</f>
        <v>78.69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560.09</v>
      </c>
      <c r="L60" s="34"/>
      <c r="M60" s="34"/>
      <c r="N60" s="34">
        <f>E3</f>
        <v>560.09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811.65</v>
      </c>
      <c r="L61" s="34"/>
      <c r="M61" s="34"/>
      <c r="N61" s="34">
        <f>G3-SUM(N9,N20,N33,N46)</f>
        <v>811.65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357.2</v>
      </c>
      <c r="L62" s="34"/>
      <c r="M62" s="34"/>
      <c r="N62" s="34">
        <f>H3</f>
        <v>357.2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4599.3500000000004</v>
      </c>
      <c r="L63" s="34"/>
      <c r="M63" s="34"/>
      <c r="N63" s="34">
        <f>I3</f>
        <v>4599.3500000000004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270.39999999999998</v>
      </c>
      <c r="L64" s="34"/>
      <c r="M64" s="34"/>
      <c r="N64" s="34">
        <f>J3</f>
        <v>270.39999999999998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253.75</v>
      </c>
      <c r="L66" s="34"/>
      <c r="M66" s="34"/>
      <c r="N66" s="34">
        <f>K3</f>
        <v>253.75</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6931.13</v>
      </c>
      <c r="L68" s="34">
        <f>SUM(L58:L67)</f>
        <v>0</v>
      </c>
      <c r="M68" s="34">
        <f>SUM(M58:M67)</f>
        <v>0</v>
      </c>
      <c r="N68" s="34">
        <f>SUM(N58:N67)</f>
        <v>6931.13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6931.13</v>
      </c>
      <c r="L69" s="34">
        <f t="shared" si="20"/>
        <v>0</v>
      </c>
      <c r="M69" s="34">
        <f t="shared" si="20"/>
        <v>0</v>
      </c>
      <c r="N69" s="34">
        <f t="shared" si="20"/>
        <v>6931.13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92.33</v>
      </c>
      <c r="L71" s="34"/>
      <c r="M71" s="34"/>
      <c r="N71" s="34">
        <f>D4</f>
        <v>92.33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657.17</v>
      </c>
      <c r="L72" s="34"/>
      <c r="M72" s="34"/>
      <c r="N72" s="34">
        <f>E4</f>
        <v>657.17</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952.33</v>
      </c>
      <c r="L73" s="34"/>
      <c r="M73" s="34"/>
      <c r="N73" s="34">
        <f>G4-SUM(N14,N26,N39,N52)</f>
        <v>952.33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419.12</v>
      </c>
      <c r="L74" s="34"/>
      <c r="M74" s="34"/>
      <c r="N74" s="34">
        <f>H4</f>
        <v>419.12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5396.58</v>
      </c>
      <c r="L75" s="34"/>
      <c r="M75" s="34"/>
      <c r="N75" s="34">
        <f>I4</f>
        <v>5396.58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317.27</v>
      </c>
      <c r="L76" s="34"/>
      <c r="M76" s="34"/>
      <c r="N76" s="34">
        <f>J4</f>
        <v>317.27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297.72000000000003</v>
      </c>
      <c r="L78" s="34"/>
      <c r="M78" s="34"/>
      <c r="N78" s="34">
        <f>K4</f>
        <v>297.72000000000003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8132.5199999999995</v>
      </c>
      <c r="L80" s="34">
        <f>SUM(L70:L79)</f>
        <v>0</v>
      </c>
      <c r="M80" s="34">
        <f>SUM(M70:M79)</f>
        <v>0</v>
      </c>
      <c r="N80" s="34">
        <f>SUM(N70:N79)</f>
        <v>8132.5199999999995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8132.5199999999995</v>
      </c>
      <c r="L81" s="34">
        <f t="shared" si="23"/>
        <v>0</v>
      </c>
      <c r="M81" s="34">
        <f t="shared" si="23"/>
        <v>0</v>
      </c>
      <c r="N81" s="34">
        <f t="shared" si="23"/>
        <v>8132.5199999999995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15063.65</v>
      </c>
      <c r="L82" s="34">
        <f>L69+L81</f>
        <v>0</v>
      </c>
      <c r="M82" s="34">
        <f>M69+M81</f>
        <v>0</v>
      </c>
      <c r="N82" s="34">
        <f>N69+N81</f>
        <v>15063.65</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432154.522</v>
      </c>
      <c r="L83" s="35">
        <f>L18+L31+L44+L57+L82</f>
        <v>347486.36300000001</v>
      </c>
      <c r="M83" s="35">
        <f>M18+M31+M44+M57+M82</f>
        <v>148922.72700000001</v>
      </c>
      <c r="N83" s="38">
        <f>N18+N31+N44+N57+N82</f>
        <v>1027845.4299999999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C55B0FE-8070-4B3B-9DF0-6E9039F9E22E}">
          <x14:formula1>
            <xm:f>'2026 COB breakdown_Kris'!$A$5:$A$103</xm:f>
          </x14:formula1>
          <xm:sqref>A3</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718FE-5754-4CC6-BA8F-E44DD2586E26}">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235</v>
      </c>
      <c r="B3" s="58" t="s">
        <v>158</v>
      </c>
      <c r="C3" s="59">
        <f>VLOOKUP($A3,COBTABLE,15, FALSE)</f>
        <v>4293.3500000000004</v>
      </c>
      <c r="D3" s="59">
        <f>VLOOKUP($A3,COBTABLE,16, FALSE)</f>
        <v>56.53</v>
      </c>
      <c r="E3" s="59">
        <f>VLOOKUP($A3,COBTABLE,17, FALSE)</f>
        <v>402.38</v>
      </c>
      <c r="F3" s="59">
        <f>VLOOKUP($A3,COBTABLE,18, FALSE)</f>
        <v>0</v>
      </c>
      <c r="G3" s="59">
        <f>VLOOKUP($A3,COBTABLE,19, FALSE)</f>
        <v>583.09</v>
      </c>
      <c r="H3" s="59">
        <f>VLOOKUP($A3,COBTABLE,20, FALSE)</f>
        <v>256.62</v>
      </c>
      <c r="I3" s="59">
        <f>VLOOKUP($A3,COBTABLE,21, FALSE)</f>
        <v>3304.21</v>
      </c>
      <c r="J3" s="59">
        <f>VLOOKUP($A3,COBTABLE,22, FALSE)</f>
        <v>194.26</v>
      </c>
      <c r="K3" s="59">
        <f>VLOOKUP($A3,COBTABLE,23, FALSE)</f>
        <v>182.29</v>
      </c>
      <c r="L3" s="59">
        <f>VLOOKUP($A3,COBTABLE,24, FALSE)</f>
        <v>1189.8499999999999</v>
      </c>
      <c r="M3" s="59">
        <f>VLOOKUP($A3,COBTABLE,25, FALSE)</f>
        <v>1115.8699999999953</v>
      </c>
      <c r="N3" s="60">
        <f>VLOOKUP($A3, countrygrant,2,FALSE)</f>
        <v>456818.18</v>
      </c>
      <c r="O3" s="92">
        <f>SUM(C3:N3)</f>
        <v>468396.63</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8922.73</v>
      </c>
      <c r="D4" s="59">
        <f>VLOOKUP($A3,COBTABLE,28, FALSE)</f>
        <v>117.49</v>
      </c>
      <c r="E4" s="59">
        <f>VLOOKUP($A3,COBTABLE,29, FALSE)</f>
        <v>836.24</v>
      </c>
      <c r="F4" s="59">
        <f>VLOOKUP($A3,COBTABLE,30, FALSE)</f>
        <v>0</v>
      </c>
      <c r="G4" s="59">
        <f>VLOOKUP($A3,COBTABLE,31, FALSE)</f>
        <v>1211.82</v>
      </c>
      <c r="H4" s="59">
        <f>VLOOKUP($A3,COBTABLE,32, FALSE)</f>
        <v>533.32000000000005</v>
      </c>
      <c r="I4" s="59">
        <f>VLOOKUP($A3,COBTABLE,33, FALSE)</f>
        <v>6867.03</v>
      </c>
      <c r="J4" s="59">
        <f>VLOOKUP($A3,COBTABLE,34, FALSE)</f>
        <v>403.72</v>
      </c>
      <c r="K4" s="59">
        <f>VLOOKUP($A3,COBTABLE,35, FALSE)</f>
        <v>378.85</v>
      </c>
      <c r="L4" s="59">
        <f>VLOOKUP($A3,COBTABLE,36, FALSE)</f>
        <v>2472.8200000000002</v>
      </c>
      <c r="M4" s="59">
        <f>VLOOKUP($A3,COBTABLE,37, FALSE)</f>
        <v>2319.0900000000038</v>
      </c>
      <c r="N4" s="60">
        <f>VLOOKUP($A3, countrygrant,3,FALSE)</f>
        <v>949390</v>
      </c>
      <c r="O4" s="92">
        <f t="shared" ref="O4" si="0">SUM(C4:N4)</f>
        <v>973453.11</v>
      </c>
      <c r="P4" s="28"/>
      <c r="Q4" s="28"/>
      <c r="R4" s="28"/>
      <c r="S4" s="28"/>
      <c r="T4" s="28"/>
      <c r="U4" s="28"/>
      <c r="V4" s="28"/>
      <c r="W4" s="28"/>
      <c r="X4" s="28"/>
      <c r="Y4" s="28"/>
      <c r="Z4" s="28"/>
      <c r="AA4" s="28"/>
      <c r="AB4" s="28"/>
      <c r="AC4" s="28"/>
    </row>
    <row r="5" spans="1:36" s="53" customFormat="1" ht="12" customHeight="1" x14ac:dyDescent="0.25">
      <c r="A5" s="278"/>
      <c r="B5" s="61" t="s">
        <v>156</v>
      </c>
      <c r="C5" s="62">
        <f>SUM(C3:C4)</f>
        <v>13216.08</v>
      </c>
      <c r="D5" s="62">
        <f t="shared" ref="D5:O5" si="1">SUM(D3:D4)</f>
        <v>174.01999999999998</v>
      </c>
      <c r="E5" s="62">
        <f t="shared" si="1"/>
        <v>1238.6199999999999</v>
      </c>
      <c r="F5" s="62">
        <f t="shared" si="1"/>
        <v>0</v>
      </c>
      <c r="G5" s="62">
        <f t="shared" si="1"/>
        <v>1794.9099999999999</v>
      </c>
      <c r="H5" s="62">
        <f t="shared" si="1"/>
        <v>789.94</v>
      </c>
      <c r="I5" s="62">
        <f t="shared" si="1"/>
        <v>10171.24</v>
      </c>
      <c r="J5" s="62">
        <f t="shared" si="1"/>
        <v>597.98</v>
      </c>
      <c r="K5" s="62">
        <f t="shared" si="1"/>
        <v>561.14</v>
      </c>
      <c r="L5" s="62">
        <f t="shared" si="1"/>
        <v>3662.67</v>
      </c>
      <c r="M5" s="62">
        <f t="shared" si="1"/>
        <v>3434.9599999999991</v>
      </c>
      <c r="N5" s="62">
        <f t="shared" si="1"/>
        <v>1406208.18</v>
      </c>
      <c r="O5" s="62">
        <f t="shared" si="1"/>
        <v>1441849.74</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94939</v>
      </c>
      <c r="K28" s="34">
        <f>$N28*0.4</f>
        <v>379756</v>
      </c>
      <c r="L28" s="34">
        <f>$N28*0.35</f>
        <v>332286.5</v>
      </c>
      <c r="M28" s="34">
        <f>$N28*0.15</f>
        <v>142408.5</v>
      </c>
      <c r="N28" s="34">
        <f>N4</f>
        <v>949390</v>
      </c>
      <c r="O28" s="8"/>
      <c r="P28" s="9">
        <f>VLOOKUP(H28,starratio4,4,FALSE)</f>
        <v>0</v>
      </c>
    </row>
    <row r="29" spans="1:36" ht="21.95" customHeight="1" x14ac:dyDescent="0.2">
      <c r="A29" s="262"/>
      <c r="B29" s="262"/>
      <c r="C29" s="263" t="s">
        <v>31</v>
      </c>
      <c r="D29" s="263"/>
      <c r="E29" s="263"/>
      <c r="F29" s="263"/>
      <c r="G29" s="263"/>
      <c r="H29" s="263"/>
      <c r="I29" s="263"/>
      <c r="J29" s="34">
        <f>SUM(J25:J28)</f>
        <v>94939</v>
      </c>
      <c r="K29" s="34">
        <f>SUM(K25:K28)</f>
        <v>379756</v>
      </c>
      <c r="L29" s="34">
        <f>SUM(L25:L28)</f>
        <v>332286.5</v>
      </c>
      <c r="M29" s="34">
        <f>SUM(M25:M28)</f>
        <v>142408.5</v>
      </c>
      <c r="N29" s="34">
        <f>SUM(N25:N28)</f>
        <v>949390</v>
      </c>
      <c r="O29" s="8"/>
      <c r="P29" s="9"/>
    </row>
    <row r="30" spans="1:36" ht="21.95" customHeight="1" x14ac:dyDescent="0.2">
      <c r="A30" s="262"/>
      <c r="B30" s="263" t="s">
        <v>44</v>
      </c>
      <c r="C30" s="263"/>
      <c r="D30" s="263"/>
      <c r="E30" s="263"/>
      <c r="F30" s="263"/>
      <c r="G30" s="263"/>
      <c r="H30" s="263"/>
      <c r="I30" s="263"/>
      <c r="J30" s="34">
        <f>J29</f>
        <v>94939</v>
      </c>
      <c r="K30" s="34">
        <f t="shared" ref="K30:N30" si="9">K29</f>
        <v>379756</v>
      </c>
      <c r="L30" s="34">
        <f t="shared" si="9"/>
        <v>332286.5</v>
      </c>
      <c r="M30" s="34">
        <f t="shared" si="9"/>
        <v>142408.5</v>
      </c>
      <c r="N30" s="34">
        <f t="shared" si="9"/>
        <v>949390</v>
      </c>
      <c r="O30" s="8"/>
      <c r="Q30" s="10"/>
      <c r="Z30" s="11"/>
      <c r="AC30" s="12"/>
      <c r="AD30" s="13"/>
    </row>
    <row r="31" spans="1:36" ht="21.95" customHeight="1" x14ac:dyDescent="0.2">
      <c r="A31" s="261" t="s">
        <v>45</v>
      </c>
      <c r="B31" s="261"/>
      <c r="C31" s="261"/>
      <c r="D31" s="261"/>
      <c r="E31" s="261"/>
      <c r="F31" s="261"/>
      <c r="G31" s="261"/>
      <c r="H31" s="261"/>
      <c r="I31" s="261"/>
      <c r="J31" s="34">
        <f>J24+J30</f>
        <v>140620.818</v>
      </c>
      <c r="K31" s="34">
        <f>K24+K30</f>
        <v>562483.272</v>
      </c>
      <c r="L31" s="34">
        <f>L24+L30</f>
        <v>492172.86300000001</v>
      </c>
      <c r="M31" s="34">
        <f>M24+M30</f>
        <v>210931.22700000001</v>
      </c>
      <c r="N31" s="34">
        <f>N24+N30</f>
        <v>1406208.18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4293.3500000000004</v>
      </c>
      <c r="L45" s="34"/>
      <c r="M45" s="34"/>
      <c r="N45" s="34">
        <f>ROUND($C$3*P45,2)</f>
        <v>4293.3500000000004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1189.8499999999999</v>
      </c>
      <c r="L47" s="34"/>
      <c r="M47" s="34"/>
      <c r="N47" s="34">
        <f>ROUND($L$3*P47,2)</f>
        <v>1189.8499999999999</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1115.8699999999953</v>
      </c>
      <c r="L48" s="34"/>
      <c r="M48" s="34"/>
      <c r="N48" s="34">
        <f>M3-SUM(N10,N21,N35)</f>
        <v>1115.8699999999953</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6599.0699999999961</v>
      </c>
      <c r="L49" s="34">
        <f>SUM(L45:L48)</f>
        <v>0</v>
      </c>
      <c r="M49" s="34">
        <f>SUM(M45:M48)</f>
        <v>0</v>
      </c>
      <c r="N49" s="34">
        <f>SUM(N45:N48)</f>
        <v>6599.0699999999961</v>
      </c>
      <c r="O49" s="8"/>
      <c r="P49" s="9"/>
    </row>
    <row r="50" spans="1:36" ht="21.95" customHeight="1" x14ac:dyDescent="0.2">
      <c r="A50" s="262"/>
      <c r="B50" s="261" t="s">
        <v>60</v>
      </c>
      <c r="C50" s="261"/>
      <c r="D50" s="261"/>
      <c r="E50" s="261"/>
      <c r="F50" s="261"/>
      <c r="G50" s="261"/>
      <c r="H50" s="261"/>
      <c r="I50" s="261"/>
      <c r="J50" s="34">
        <f>J49</f>
        <v>0</v>
      </c>
      <c r="K50" s="34">
        <f t="shared" ref="K50:N50" si="15">K49</f>
        <v>6599.0699999999961</v>
      </c>
      <c r="L50" s="34">
        <f t="shared" si="15"/>
        <v>0</v>
      </c>
      <c r="M50" s="34">
        <f t="shared" si="15"/>
        <v>0</v>
      </c>
      <c r="N50" s="34">
        <f t="shared" si="15"/>
        <v>6599.0699999999961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8922.73</v>
      </c>
      <c r="L51" s="34"/>
      <c r="M51" s="34"/>
      <c r="N51" s="34">
        <f>ROUND($C$4*P51,2)</f>
        <v>8922.73</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2472.8200000000002</v>
      </c>
      <c r="L53" s="34"/>
      <c r="M53" s="34"/>
      <c r="N53" s="34">
        <f>ROUND($L$4*P53,2)</f>
        <v>2472.8200000000002</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2319.0900000000038</v>
      </c>
      <c r="L54" s="34"/>
      <c r="M54" s="34"/>
      <c r="N54" s="34">
        <f>M4-SUM(N15,N27,N41)</f>
        <v>2319.0900000000038</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13714.640000000003</v>
      </c>
      <c r="L55" s="34">
        <f>SUM(L51:L54)</f>
        <v>0</v>
      </c>
      <c r="M55" s="34">
        <f>SUM(M51:M54)</f>
        <v>0</v>
      </c>
      <c r="N55" s="34">
        <f>SUM(N51:N54)</f>
        <v>13714.640000000003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13714.640000000003</v>
      </c>
      <c r="L56" s="34">
        <f t="shared" si="17"/>
        <v>0</v>
      </c>
      <c r="M56" s="34">
        <f t="shared" si="17"/>
        <v>0</v>
      </c>
      <c r="N56" s="34">
        <f t="shared" si="17"/>
        <v>13714.640000000003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20313.71</v>
      </c>
      <c r="L57" s="34">
        <f>L50+L56</f>
        <v>0</v>
      </c>
      <c r="M57" s="34">
        <f>M50+M56</f>
        <v>0</v>
      </c>
      <c r="N57" s="34">
        <f>N50+N56</f>
        <v>20313.71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56.53</v>
      </c>
      <c r="L59" s="34"/>
      <c r="M59" s="34"/>
      <c r="N59" s="34">
        <f>D3</f>
        <v>56.53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402.38</v>
      </c>
      <c r="L60" s="34"/>
      <c r="M60" s="34"/>
      <c r="N60" s="34">
        <f>E3</f>
        <v>402.38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583.09</v>
      </c>
      <c r="L61" s="34"/>
      <c r="M61" s="34"/>
      <c r="N61" s="34">
        <f>G3-SUM(N9,N20,N33,N46)</f>
        <v>583.09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256.62</v>
      </c>
      <c r="L62" s="34"/>
      <c r="M62" s="34"/>
      <c r="N62" s="34">
        <f>H3</f>
        <v>256.62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3304.21</v>
      </c>
      <c r="L63" s="34"/>
      <c r="M63" s="34"/>
      <c r="N63" s="34">
        <f>I3</f>
        <v>3304.21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194.26</v>
      </c>
      <c r="L64" s="34"/>
      <c r="M64" s="34"/>
      <c r="N64" s="34">
        <f>J3</f>
        <v>194.26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182.29</v>
      </c>
      <c r="L66" s="34"/>
      <c r="M66" s="34"/>
      <c r="N66" s="34">
        <f>K3</f>
        <v>182.29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4979.38</v>
      </c>
      <c r="L68" s="34">
        <f>SUM(L58:L67)</f>
        <v>0</v>
      </c>
      <c r="M68" s="34">
        <f>SUM(M58:M67)</f>
        <v>0</v>
      </c>
      <c r="N68" s="34">
        <f>SUM(N58:N67)</f>
        <v>4979.38</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4979.38</v>
      </c>
      <c r="L69" s="34">
        <f t="shared" si="20"/>
        <v>0</v>
      </c>
      <c r="M69" s="34">
        <f t="shared" si="20"/>
        <v>0</v>
      </c>
      <c r="N69" s="34">
        <f t="shared" si="20"/>
        <v>4979.38</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117.49</v>
      </c>
      <c r="L71" s="34"/>
      <c r="M71" s="34"/>
      <c r="N71" s="34">
        <f>D4</f>
        <v>117.49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836.24</v>
      </c>
      <c r="L72" s="34"/>
      <c r="M72" s="34"/>
      <c r="N72" s="34">
        <f>E4</f>
        <v>836.24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1211.82</v>
      </c>
      <c r="L73" s="34"/>
      <c r="M73" s="34"/>
      <c r="N73" s="34">
        <f>G4-SUM(N14,N26,N39,N52)</f>
        <v>1211.82</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533.32000000000005</v>
      </c>
      <c r="L74" s="34"/>
      <c r="M74" s="34"/>
      <c r="N74" s="34">
        <f>H4</f>
        <v>533.32000000000005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6867.03</v>
      </c>
      <c r="L75" s="34"/>
      <c r="M75" s="34"/>
      <c r="N75" s="34">
        <f>I4</f>
        <v>6867.03</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403.72</v>
      </c>
      <c r="L76" s="34"/>
      <c r="M76" s="34"/>
      <c r="N76" s="34">
        <f>J4</f>
        <v>403.72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378.85</v>
      </c>
      <c r="L78" s="34"/>
      <c r="M78" s="34"/>
      <c r="N78" s="34">
        <f>K4</f>
        <v>378.85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10348.469999999999</v>
      </c>
      <c r="L80" s="34">
        <f>SUM(L70:L79)</f>
        <v>0</v>
      </c>
      <c r="M80" s="34">
        <f>SUM(M70:M79)</f>
        <v>0</v>
      </c>
      <c r="N80" s="34">
        <f>SUM(N70:N79)</f>
        <v>10348.469999999999</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10348.469999999999</v>
      </c>
      <c r="L81" s="34">
        <f t="shared" si="23"/>
        <v>0</v>
      </c>
      <c r="M81" s="34">
        <f t="shared" si="23"/>
        <v>0</v>
      </c>
      <c r="N81" s="34">
        <f t="shared" si="23"/>
        <v>10348.469999999999</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15327.849999999999</v>
      </c>
      <c r="L82" s="34">
        <f>L69+L81</f>
        <v>0</v>
      </c>
      <c r="M82" s="34">
        <f>M69+M81</f>
        <v>0</v>
      </c>
      <c r="N82" s="34">
        <f>N69+N81</f>
        <v>15327.849999999999</v>
      </c>
      <c r="O82" s="8"/>
      <c r="R82" s="14"/>
      <c r="Z82" s="15"/>
      <c r="AJ82" s="16"/>
    </row>
    <row r="83" spans="1:36" s="31" customFormat="1" ht="21.95" customHeight="1" x14ac:dyDescent="0.2">
      <c r="A83" s="275" t="s">
        <v>82</v>
      </c>
      <c r="B83" s="275"/>
      <c r="C83" s="275"/>
      <c r="D83" s="275"/>
      <c r="E83" s="275"/>
      <c r="F83" s="275"/>
      <c r="G83" s="275"/>
      <c r="H83" s="275"/>
      <c r="I83" s="275"/>
      <c r="J83" s="35">
        <f>J18+J31+J44+J57+J82</f>
        <v>140620.818</v>
      </c>
      <c r="K83" s="35">
        <f>K18+K31+K44+K57+K82</f>
        <v>598124.83199999994</v>
      </c>
      <c r="L83" s="35">
        <f>L18+L31+L44+L57+L82</f>
        <v>492172.86300000001</v>
      </c>
      <c r="M83" s="35">
        <f>M18+M31+M44+M57+M82</f>
        <v>210931.22700000001</v>
      </c>
      <c r="N83" s="38">
        <f>N18+N31+N44+N57+N82</f>
        <v>1441849.74</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7E6ABA6-D88F-4D3A-872F-D8A7AC110808}">
          <x14:formula1>
            <xm:f>'2026 COB breakdown_Kris'!$A$5:$A$103</xm:f>
          </x14:formula1>
          <xm:sqref>A3</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2B8C-9F62-4D4A-92E9-8FBA06EB61F5}">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236</v>
      </c>
      <c r="B3" s="58" t="s">
        <v>158</v>
      </c>
      <c r="C3" s="59">
        <f>VLOOKUP($A3,COBTABLE,15, FALSE)</f>
        <v>2285.38</v>
      </c>
      <c r="D3" s="59">
        <f>VLOOKUP($A3,COBTABLE,16, FALSE)</f>
        <v>30.09</v>
      </c>
      <c r="E3" s="59">
        <f>VLOOKUP($A3,COBTABLE,17, FALSE)</f>
        <v>214.19</v>
      </c>
      <c r="F3" s="59">
        <f>VLOOKUP($A3,COBTABLE,18, FALSE)</f>
        <v>0</v>
      </c>
      <c r="G3" s="59">
        <f>VLOOKUP($A3,COBTABLE,19, FALSE)</f>
        <v>310.38</v>
      </c>
      <c r="H3" s="59">
        <f>VLOOKUP($A3,COBTABLE,20, FALSE)</f>
        <v>136.6</v>
      </c>
      <c r="I3" s="59">
        <f>VLOOKUP($A3,COBTABLE,21, FALSE)</f>
        <v>1758.86</v>
      </c>
      <c r="J3" s="59">
        <f>VLOOKUP($A3,COBTABLE,22, FALSE)</f>
        <v>103.4</v>
      </c>
      <c r="K3" s="59">
        <f>VLOOKUP($A3,COBTABLE,23, FALSE)</f>
        <v>97.04</v>
      </c>
      <c r="L3" s="59">
        <f>VLOOKUP($A3,COBTABLE,24, FALSE)</f>
        <v>633.36</v>
      </c>
      <c r="M3" s="59">
        <f>VLOOKUP($A3,COBTABLE,25, FALSE)</f>
        <v>594</v>
      </c>
      <c r="N3" s="60">
        <f>VLOOKUP($A3, countrygrant,2,FALSE)</f>
        <v>456818.18</v>
      </c>
      <c r="O3" s="92">
        <f>SUM(C3:N3)</f>
        <v>462981.48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3351.89</v>
      </c>
      <c r="D4" s="59">
        <f>VLOOKUP($A3,COBTABLE,28, FALSE)</f>
        <v>44.13</v>
      </c>
      <c r="E4" s="59">
        <f>VLOOKUP($A3,COBTABLE,29, FALSE)</f>
        <v>314.14</v>
      </c>
      <c r="F4" s="59">
        <f>VLOOKUP($A3,COBTABLE,30, FALSE)</f>
        <v>0</v>
      </c>
      <c r="G4" s="59">
        <f>VLOOKUP($A3,COBTABLE,31, FALSE)</f>
        <v>455.23</v>
      </c>
      <c r="H4" s="59">
        <f>VLOOKUP($A3,COBTABLE,32, FALSE)</f>
        <v>200.35</v>
      </c>
      <c r="I4" s="59">
        <f>VLOOKUP($A3,COBTABLE,33, FALSE)</f>
        <v>2579.66</v>
      </c>
      <c r="J4" s="59">
        <f>VLOOKUP($A3,COBTABLE,34, FALSE)</f>
        <v>151.66</v>
      </c>
      <c r="K4" s="59">
        <f>VLOOKUP($A3,COBTABLE,35, FALSE)</f>
        <v>142.32</v>
      </c>
      <c r="L4" s="59">
        <f>VLOOKUP($A3,COBTABLE,36, FALSE)</f>
        <v>928.94</v>
      </c>
      <c r="M4" s="59">
        <f>VLOOKUP($A3,COBTABLE,37, FALSE)</f>
        <v>871.18000000000029</v>
      </c>
      <c r="N4" s="60">
        <f>VLOOKUP($A3, countrygrant,3,FALSE)</f>
        <v>670000</v>
      </c>
      <c r="O4" s="92">
        <f t="shared" ref="O4" si="0">SUM(C4:N4)</f>
        <v>679039.5</v>
      </c>
      <c r="P4" s="28"/>
      <c r="Q4" s="28"/>
      <c r="R4" s="28"/>
      <c r="S4" s="28"/>
      <c r="T4" s="28"/>
      <c r="U4" s="28"/>
      <c r="V4" s="28"/>
      <c r="W4" s="28"/>
      <c r="X4" s="28"/>
      <c r="Y4" s="28"/>
      <c r="Z4" s="28"/>
      <c r="AA4" s="28"/>
      <c r="AB4" s="28"/>
      <c r="AC4" s="28"/>
    </row>
    <row r="5" spans="1:36" s="53" customFormat="1" ht="12" customHeight="1" x14ac:dyDescent="0.25">
      <c r="A5" s="278"/>
      <c r="B5" s="61" t="s">
        <v>156</v>
      </c>
      <c r="C5" s="62">
        <f>SUM(C3:C4)</f>
        <v>5637.27</v>
      </c>
      <c r="D5" s="62">
        <f t="shared" ref="D5:O5" si="1">SUM(D3:D4)</f>
        <v>74.22</v>
      </c>
      <c r="E5" s="62">
        <f t="shared" si="1"/>
        <v>528.32999999999993</v>
      </c>
      <c r="F5" s="62">
        <f t="shared" si="1"/>
        <v>0</v>
      </c>
      <c r="G5" s="62">
        <f t="shared" si="1"/>
        <v>765.61</v>
      </c>
      <c r="H5" s="62">
        <f t="shared" si="1"/>
        <v>336.95</v>
      </c>
      <c r="I5" s="62">
        <f t="shared" si="1"/>
        <v>4338.5199999999995</v>
      </c>
      <c r="J5" s="62">
        <f t="shared" si="1"/>
        <v>255.06</v>
      </c>
      <c r="K5" s="62">
        <f t="shared" si="1"/>
        <v>239.36</v>
      </c>
      <c r="L5" s="62">
        <f t="shared" si="1"/>
        <v>1562.3000000000002</v>
      </c>
      <c r="M5" s="62">
        <f t="shared" si="1"/>
        <v>1465.1800000000003</v>
      </c>
      <c r="N5" s="62">
        <f t="shared" si="1"/>
        <v>1126818.18</v>
      </c>
      <c r="O5" s="62">
        <f t="shared" si="1"/>
        <v>1142020.98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VLOOKUP(H28,starratio4,4,FALSE)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2285.38</v>
      </c>
      <c r="L45" s="34"/>
      <c r="M45" s="34"/>
      <c r="N45" s="34">
        <f>ROUND($C$3*P45,2)</f>
        <v>2285.38</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633.36</v>
      </c>
      <c r="L47" s="34"/>
      <c r="M47" s="34"/>
      <c r="N47" s="34">
        <f>ROUND($L$3*P47,2)</f>
        <v>633.36</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594</v>
      </c>
      <c r="L48" s="34"/>
      <c r="M48" s="34"/>
      <c r="N48" s="34">
        <f>M3-SUM(N10,N21,N35)</f>
        <v>594</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3512.7400000000002</v>
      </c>
      <c r="L49" s="34">
        <f>SUM(L45:L48)</f>
        <v>0</v>
      </c>
      <c r="M49" s="34">
        <f>SUM(M45:M48)</f>
        <v>0</v>
      </c>
      <c r="N49" s="34">
        <f>SUM(N45:N48)</f>
        <v>3512.7400000000002</v>
      </c>
      <c r="O49" s="8"/>
      <c r="P49" s="9"/>
    </row>
    <row r="50" spans="1:36" ht="21.95" customHeight="1" x14ac:dyDescent="0.2">
      <c r="A50" s="262"/>
      <c r="B50" s="261" t="s">
        <v>60</v>
      </c>
      <c r="C50" s="261"/>
      <c r="D50" s="261"/>
      <c r="E50" s="261"/>
      <c r="F50" s="261"/>
      <c r="G50" s="261"/>
      <c r="H50" s="261"/>
      <c r="I50" s="261"/>
      <c r="J50" s="34">
        <f>J49</f>
        <v>0</v>
      </c>
      <c r="K50" s="34">
        <f t="shared" ref="K50:N50" si="15">K49</f>
        <v>3512.7400000000002</v>
      </c>
      <c r="L50" s="34">
        <f t="shared" si="15"/>
        <v>0</v>
      </c>
      <c r="M50" s="34">
        <f t="shared" si="15"/>
        <v>0</v>
      </c>
      <c r="N50" s="34">
        <f t="shared" si="15"/>
        <v>3512.7400000000002</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3351.89</v>
      </c>
      <c r="L51" s="34"/>
      <c r="M51" s="34"/>
      <c r="N51" s="34">
        <f>ROUND($C$4*P51,2)</f>
        <v>3351.89</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928.94</v>
      </c>
      <c r="L53" s="34"/>
      <c r="M53" s="34"/>
      <c r="N53" s="34">
        <f>ROUND($L$4*P53,2)</f>
        <v>928.94</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871.18000000000029</v>
      </c>
      <c r="L54" s="34"/>
      <c r="M54" s="34"/>
      <c r="N54" s="34">
        <f>M4-SUM(N15,N27,N41)</f>
        <v>871.18000000000029</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5152.01</v>
      </c>
      <c r="L55" s="34">
        <f>SUM(L51:L54)</f>
        <v>0</v>
      </c>
      <c r="M55" s="34">
        <f>SUM(M51:M54)</f>
        <v>0</v>
      </c>
      <c r="N55" s="34">
        <f>SUM(N51:N54)</f>
        <v>5152.01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5152.01</v>
      </c>
      <c r="L56" s="34">
        <f t="shared" si="17"/>
        <v>0</v>
      </c>
      <c r="M56" s="34">
        <f t="shared" si="17"/>
        <v>0</v>
      </c>
      <c r="N56" s="34">
        <f t="shared" si="17"/>
        <v>5152.01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8664.75</v>
      </c>
      <c r="L57" s="34">
        <f>L50+L56</f>
        <v>0</v>
      </c>
      <c r="M57" s="34">
        <f>M50+M56</f>
        <v>0</v>
      </c>
      <c r="N57" s="34">
        <f>N50+N56</f>
        <v>8664.75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30.09</v>
      </c>
      <c r="L59" s="34"/>
      <c r="M59" s="34"/>
      <c r="N59" s="34">
        <f>D3</f>
        <v>30.09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214.19</v>
      </c>
      <c r="L60" s="34"/>
      <c r="M60" s="34"/>
      <c r="N60" s="34">
        <f>E3</f>
        <v>214.19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310.38</v>
      </c>
      <c r="L61" s="34"/>
      <c r="M61" s="34"/>
      <c r="N61" s="34">
        <f>G3-SUM(N9,N20,N33,N46)</f>
        <v>310.38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136.6</v>
      </c>
      <c r="L62" s="34"/>
      <c r="M62" s="34"/>
      <c r="N62" s="34">
        <f>H3</f>
        <v>136.6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1758.86</v>
      </c>
      <c r="L63" s="34"/>
      <c r="M63" s="34"/>
      <c r="N63" s="34">
        <f>I3</f>
        <v>1758.86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103.4</v>
      </c>
      <c r="L64" s="34"/>
      <c r="M64" s="34"/>
      <c r="N64" s="34">
        <f>J3</f>
        <v>103.4</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97.04</v>
      </c>
      <c r="L66" s="34"/>
      <c r="M66" s="34"/>
      <c r="N66" s="34">
        <f>K3</f>
        <v>97.04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2650.56</v>
      </c>
      <c r="L68" s="34">
        <f>SUM(L58:L67)</f>
        <v>0</v>
      </c>
      <c r="M68" s="34">
        <f>SUM(M58:M67)</f>
        <v>0</v>
      </c>
      <c r="N68" s="34">
        <f>SUM(N58:N67)</f>
        <v>2650.56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2650.56</v>
      </c>
      <c r="L69" s="34">
        <f t="shared" si="20"/>
        <v>0</v>
      </c>
      <c r="M69" s="34">
        <f t="shared" si="20"/>
        <v>0</v>
      </c>
      <c r="N69" s="34">
        <f t="shared" si="20"/>
        <v>2650.56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44.13</v>
      </c>
      <c r="L71" s="34"/>
      <c r="M71" s="34"/>
      <c r="N71" s="34">
        <f>D4</f>
        <v>44.13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314.14</v>
      </c>
      <c r="L72" s="34"/>
      <c r="M72" s="34"/>
      <c r="N72" s="34">
        <f>E4</f>
        <v>314.14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455.23</v>
      </c>
      <c r="L73" s="34"/>
      <c r="M73" s="34"/>
      <c r="N73" s="34">
        <f>G4-SUM(N14,N26,N39,N52)</f>
        <v>455.23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200.35</v>
      </c>
      <c r="L74" s="34"/>
      <c r="M74" s="34"/>
      <c r="N74" s="34">
        <f>H4</f>
        <v>200.35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2579.66</v>
      </c>
      <c r="L75" s="34"/>
      <c r="M75" s="34"/>
      <c r="N75" s="34">
        <f>I4</f>
        <v>2579.66</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151.66</v>
      </c>
      <c r="L76" s="34"/>
      <c r="M76" s="34"/>
      <c r="N76" s="34">
        <f>J4</f>
        <v>151.66</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142.32</v>
      </c>
      <c r="L78" s="34"/>
      <c r="M78" s="34"/>
      <c r="N78" s="34">
        <f>K4</f>
        <v>142.32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3887.49</v>
      </c>
      <c r="L80" s="34">
        <f>SUM(L70:L79)</f>
        <v>0</v>
      </c>
      <c r="M80" s="34">
        <f>SUM(M70:M79)</f>
        <v>0</v>
      </c>
      <c r="N80" s="34">
        <f>SUM(N70:N79)</f>
        <v>3887.49</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3887.49</v>
      </c>
      <c r="L81" s="34">
        <f t="shared" si="23"/>
        <v>0</v>
      </c>
      <c r="M81" s="34">
        <f t="shared" si="23"/>
        <v>0</v>
      </c>
      <c r="N81" s="34">
        <f t="shared" si="23"/>
        <v>3887.49</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6538.0499999999993</v>
      </c>
      <c r="L82" s="34">
        <f>L69+L81</f>
        <v>0</v>
      </c>
      <c r="M82" s="34">
        <f>M69+M81</f>
        <v>0</v>
      </c>
      <c r="N82" s="34">
        <f>N69+N81</f>
        <v>6538.0499999999993</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465930.07199999999</v>
      </c>
      <c r="L83" s="35">
        <f>L18+L31+L44+L57+L82</f>
        <v>394386.36299999995</v>
      </c>
      <c r="M83" s="35">
        <f>M18+M31+M44+M57+M82</f>
        <v>169022.72700000001</v>
      </c>
      <c r="N83" s="38">
        <f>N18+N31+N44+N57+N82</f>
        <v>1142020.98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04A1676-B18B-45EA-9CFB-436BE847B642}">
          <x14:formula1>
            <xm:f>'2026 COB breakdown_Kris'!$A$5:$A$103</xm:f>
          </x14:formula1>
          <xm:sqref>A3</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CEDAE-1C16-4D78-9012-8DB0747187A4}">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237</v>
      </c>
      <c r="B3" s="58" t="s">
        <v>158</v>
      </c>
      <c r="C3" s="59">
        <f>VLOOKUP($A3,COBTABLE,15, FALSE)</f>
        <v>4620.68</v>
      </c>
      <c r="D3" s="59">
        <f>VLOOKUP($A3,COBTABLE,16, FALSE)</f>
        <v>60.84</v>
      </c>
      <c r="E3" s="59">
        <f>VLOOKUP($A3,COBTABLE,17, FALSE)</f>
        <v>433.05</v>
      </c>
      <c r="F3" s="59">
        <f>VLOOKUP($A3,COBTABLE,18, FALSE)</f>
        <v>0</v>
      </c>
      <c r="G3" s="59">
        <f>VLOOKUP($A3,COBTABLE,19, FALSE)</f>
        <v>627.54999999999995</v>
      </c>
      <c r="H3" s="59">
        <f>VLOOKUP($A3,COBTABLE,20, FALSE)</f>
        <v>276.18</v>
      </c>
      <c r="I3" s="59">
        <f>VLOOKUP($A3,COBTABLE,21, FALSE)</f>
        <v>3556.12</v>
      </c>
      <c r="J3" s="59">
        <f>VLOOKUP($A3,COBTABLE,22, FALSE)</f>
        <v>209.07</v>
      </c>
      <c r="K3" s="59">
        <f>VLOOKUP($A3,COBTABLE,23, FALSE)</f>
        <v>196.19</v>
      </c>
      <c r="L3" s="59">
        <f>VLOOKUP($A3,COBTABLE,24, FALSE)</f>
        <v>1280.56</v>
      </c>
      <c r="M3" s="59">
        <f>VLOOKUP($A3,COBTABLE,25, FALSE)</f>
        <v>1200.9599999999973</v>
      </c>
      <c r="N3" s="60">
        <f>VLOOKUP($A3, countrygrant,2,FALSE)</f>
        <v>456818.18</v>
      </c>
      <c r="O3" s="92">
        <f>SUM(C3:N3)</f>
        <v>469279.38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5728.68</v>
      </c>
      <c r="D4" s="59">
        <f>VLOOKUP($A3,COBTABLE,28, FALSE)</f>
        <v>75.430000000000007</v>
      </c>
      <c r="E4" s="59">
        <f>VLOOKUP($A3,COBTABLE,29, FALSE)</f>
        <v>536.89</v>
      </c>
      <c r="F4" s="59">
        <f>VLOOKUP($A3,COBTABLE,30, FALSE)</f>
        <v>0</v>
      </c>
      <c r="G4" s="59">
        <f>VLOOKUP($A3,COBTABLE,31, FALSE)</f>
        <v>778.03</v>
      </c>
      <c r="H4" s="59">
        <f>VLOOKUP($A3,COBTABLE,32, FALSE)</f>
        <v>342.41</v>
      </c>
      <c r="I4" s="59">
        <f>VLOOKUP($A3,COBTABLE,33, FALSE)</f>
        <v>4408.8599999999997</v>
      </c>
      <c r="J4" s="59">
        <f>VLOOKUP($A3,COBTABLE,34, FALSE)</f>
        <v>259.2</v>
      </c>
      <c r="K4" s="59">
        <f>VLOOKUP($A3,COBTABLE,35, FALSE)</f>
        <v>243.23</v>
      </c>
      <c r="L4" s="59">
        <f>VLOOKUP($A3,COBTABLE,36, FALSE)</f>
        <v>1587.63</v>
      </c>
      <c r="M4" s="59">
        <f>VLOOKUP($A3,COBTABLE,37, FALSE)</f>
        <v>1488.9499999999989</v>
      </c>
      <c r="N4" s="60">
        <f>VLOOKUP($A3, countrygrant,3,FALSE)</f>
        <v>566360.38</v>
      </c>
      <c r="O4" s="92">
        <f t="shared" ref="O4" si="0">SUM(C4:N4)</f>
        <v>581809.69000000006</v>
      </c>
      <c r="P4" s="28"/>
      <c r="Q4" s="28"/>
      <c r="R4" s="28"/>
      <c r="S4" s="28"/>
      <c r="T4" s="28"/>
      <c r="U4" s="28"/>
      <c r="V4" s="28"/>
      <c r="W4" s="28"/>
      <c r="X4" s="28"/>
      <c r="Y4" s="28"/>
      <c r="Z4" s="28"/>
      <c r="AA4" s="28"/>
      <c r="AB4" s="28"/>
      <c r="AC4" s="28"/>
    </row>
    <row r="5" spans="1:36" s="53" customFormat="1" ht="12" customHeight="1" x14ac:dyDescent="0.25">
      <c r="A5" s="278"/>
      <c r="B5" s="61" t="s">
        <v>156</v>
      </c>
      <c r="C5" s="62">
        <f>SUM(C3:C4)</f>
        <v>10349.36</v>
      </c>
      <c r="D5" s="62">
        <f t="shared" ref="D5:O5" si="1">SUM(D3:D4)</f>
        <v>136.27000000000001</v>
      </c>
      <c r="E5" s="62">
        <f t="shared" si="1"/>
        <v>969.94</v>
      </c>
      <c r="F5" s="62">
        <f t="shared" si="1"/>
        <v>0</v>
      </c>
      <c r="G5" s="62">
        <f t="shared" si="1"/>
        <v>1405.58</v>
      </c>
      <c r="H5" s="62">
        <f t="shared" si="1"/>
        <v>618.59</v>
      </c>
      <c r="I5" s="62">
        <f t="shared" si="1"/>
        <v>7964.98</v>
      </c>
      <c r="J5" s="62">
        <f t="shared" si="1"/>
        <v>468.27</v>
      </c>
      <c r="K5" s="62">
        <f t="shared" si="1"/>
        <v>439.41999999999996</v>
      </c>
      <c r="L5" s="62">
        <f t="shared" si="1"/>
        <v>2868.19</v>
      </c>
      <c r="M5" s="62">
        <f t="shared" si="1"/>
        <v>2689.9099999999962</v>
      </c>
      <c r="N5" s="62">
        <f t="shared" si="1"/>
        <v>1023178.56</v>
      </c>
      <c r="O5" s="62">
        <f t="shared" si="1"/>
        <v>1051089.07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56636.038</v>
      </c>
      <c r="K28" s="34">
        <f>$N28*0.4</f>
        <v>226544.152</v>
      </c>
      <c r="L28" s="34">
        <f>$N28*0.35</f>
        <v>198226.133</v>
      </c>
      <c r="M28" s="34">
        <f>$N28*0.15</f>
        <v>84954.057000000001</v>
      </c>
      <c r="N28" s="34">
        <f>N4</f>
        <v>566360.38</v>
      </c>
      <c r="O28" s="8"/>
      <c r="P28" s="9">
        <f>VLOOKUP(H28,starratio4,4,FALSE)</f>
        <v>0</v>
      </c>
    </row>
    <row r="29" spans="1:36" ht="21.95" customHeight="1" x14ac:dyDescent="0.2">
      <c r="A29" s="262"/>
      <c r="B29" s="262"/>
      <c r="C29" s="263" t="s">
        <v>31</v>
      </c>
      <c r="D29" s="263"/>
      <c r="E29" s="263"/>
      <c r="F29" s="263"/>
      <c r="G29" s="263"/>
      <c r="H29" s="263"/>
      <c r="I29" s="263"/>
      <c r="J29" s="34">
        <f>SUM(J25:J28)</f>
        <v>56636.038</v>
      </c>
      <c r="K29" s="34">
        <f>SUM(K25:K28)</f>
        <v>226544.152</v>
      </c>
      <c r="L29" s="34">
        <f>SUM(L25:L28)</f>
        <v>198226.133</v>
      </c>
      <c r="M29" s="34">
        <f>SUM(M25:M28)</f>
        <v>84954.057000000001</v>
      </c>
      <c r="N29" s="34">
        <f>SUM(N25:N28)</f>
        <v>566360.38</v>
      </c>
      <c r="O29" s="8"/>
      <c r="P29" s="9"/>
    </row>
    <row r="30" spans="1:36" ht="21.95" customHeight="1" x14ac:dyDescent="0.2">
      <c r="A30" s="262"/>
      <c r="B30" s="263" t="s">
        <v>44</v>
      </c>
      <c r="C30" s="263"/>
      <c r="D30" s="263"/>
      <c r="E30" s="263"/>
      <c r="F30" s="263"/>
      <c r="G30" s="263"/>
      <c r="H30" s="263"/>
      <c r="I30" s="263"/>
      <c r="J30" s="34">
        <f>J29</f>
        <v>56636.038</v>
      </c>
      <c r="K30" s="34">
        <f t="shared" ref="K30:N30" si="9">K29</f>
        <v>226544.152</v>
      </c>
      <c r="L30" s="34">
        <f t="shared" si="9"/>
        <v>198226.133</v>
      </c>
      <c r="M30" s="34">
        <f t="shared" si="9"/>
        <v>84954.057000000001</v>
      </c>
      <c r="N30" s="34">
        <f t="shared" si="9"/>
        <v>566360.38</v>
      </c>
      <c r="O30" s="8"/>
      <c r="Q30" s="10"/>
      <c r="Z30" s="11"/>
      <c r="AC30" s="12"/>
      <c r="AD30" s="13"/>
    </row>
    <row r="31" spans="1:36" ht="21.95" customHeight="1" x14ac:dyDescent="0.2">
      <c r="A31" s="261" t="s">
        <v>45</v>
      </c>
      <c r="B31" s="261"/>
      <c r="C31" s="261"/>
      <c r="D31" s="261"/>
      <c r="E31" s="261"/>
      <c r="F31" s="261"/>
      <c r="G31" s="261"/>
      <c r="H31" s="261"/>
      <c r="I31" s="261"/>
      <c r="J31" s="34">
        <f>J24+J30</f>
        <v>102317.856</v>
      </c>
      <c r="K31" s="34">
        <f>K24+K30</f>
        <v>409271.424</v>
      </c>
      <c r="L31" s="34">
        <f>L24+L30</f>
        <v>358112.49599999998</v>
      </c>
      <c r="M31" s="34">
        <f>M24+M30</f>
        <v>153476.78399999999</v>
      </c>
      <c r="N31" s="34">
        <f>N24+N30</f>
        <v>1023178.56</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4620.68</v>
      </c>
      <c r="L45" s="34"/>
      <c r="M45" s="34"/>
      <c r="N45" s="34">
        <f>ROUND($C$3*P45,2)</f>
        <v>4620.68</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1280.56</v>
      </c>
      <c r="L47" s="34"/>
      <c r="M47" s="34"/>
      <c r="N47" s="34">
        <f>ROUND($L$3*P47,2)</f>
        <v>1280.56</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1200.9599999999973</v>
      </c>
      <c r="L48" s="34"/>
      <c r="M48" s="34"/>
      <c r="N48" s="34">
        <f>M3-SUM(N10,N21,N35)</f>
        <v>1200.9599999999973</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7102.1999999999971</v>
      </c>
      <c r="L49" s="34">
        <f>SUM(L45:L48)</f>
        <v>0</v>
      </c>
      <c r="M49" s="34">
        <f>SUM(M45:M48)</f>
        <v>0</v>
      </c>
      <c r="N49" s="34">
        <f>SUM(N45:N48)</f>
        <v>7102.1999999999971</v>
      </c>
      <c r="O49" s="8"/>
      <c r="P49" s="9"/>
    </row>
    <row r="50" spans="1:36" ht="21.95" customHeight="1" x14ac:dyDescent="0.2">
      <c r="A50" s="262"/>
      <c r="B50" s="261" t="s">
        <v>60</v>
      </c>
      <c r="C50" s="261"/>
      <c r="D50" s="261"/>
      <c r="E50" s="261"/>
      <c r="F50" s="261"/>
      <c r="G50" s="261"/>
      <c r="H50" s="261"/>
      <c r="I50" s="261"/>
      <c r="J50" s="34">
        <f>J49</f>
        <v>0</v>
      </c>
      <c r="K50" s="34">
        <f t="shared" ref="K50:N50" si="15">K49</f>
        <v>7102.1999999999971</v>
      </c>
      <c r="L50" s="34">
        <f t="shared" si="15"/>
        <v>0</v>
      </c>
      <c r="M50" s="34">
        <f t="shared" si="15"/>
        <v>0</v>
      </c>
      <c r="N50" s="34">
        <f t="shared" si="15"/>
        <v>7102.1999999999971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5728.68</v>
      </c>
      <c r="L51" s="34"/>
      <c r="M51" s="34"/>
      <c r="N51" s="34">
        <f>ROUND($C$4*P51,2)</f>
        <v>5728.68</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1587.63</v>
      </c>
      <c r="L53" s="34"/>
      <c r="M53" s="34"/>
      <c r="N53" s="34">
        <f>ROUND($L$4*P53,2)</f>
        <v>1587.63</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1488.9499999999989</v>
      </c>
      <c r="L54" s="34"/>
      <c r="M54" s="34"/>
      <c r="N54" s="34">
        <f>M4-SUM(N15,N27,N41)</f>
        <v>1488.9499999999989</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8805.2599999999984</v>
      </c>
      <c r="L55" s="34">
        <f>SUM(L51:L54)</f>
        <v>0</v>
      </c>
      <c r="M55" s="34">
        <f>SUM(M51:M54)</f>
        <v>0</v>
      </c>
      <c r="N55" s="34">
        <f>SUM(N51:N54)</f>
        <v>8805.2599999999984</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8805.2599999999984</v>
      </c>
      <c r="L56" s="34">
        <f t="shared" si="17"/>
        <v>0</v>
      </c>
      <c r="M56" s="34">
        <f t="shared" si="17"/>
        <v>0</v>
      </c>
      <c r="N56" s="34">
        <f t="shared" si="17"/>
        <v>8805.2599999999984</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15907.459999999995</v>
      </c>
      <c r="L57" s="34">
        <f>L50+L56</f>
        <v>0</v>
      </c>
      <c r="M57" s="34">
        <f>M50+M56</f>
        <v>0</v>
      </c>
      <c r="N57" s="34">
        <f>N50+N56</f>
        <v>15907.459999999995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60.84</v>
      </c>
      <c r="L59" s="34"/>
      <c r="M59" s="34"/>
      <c r="N59" s="34">
        <f>D3</f>
        <v>60.84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433.05</v>
      </c>
      <c r="L60" s="34"/>
      <c r="M60" s="34"/>
      <c r="N60" s="34">
        <f>E3</f>
        <v>433.05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627.54999999999995</v>
      </c>
      <c r="L61" s="34"/>
      <c r="M61" s="34"/>
      <c r="N61" s="34">
        <f>G3-SUM(N9,N20,N33,N46)</f>
        <v>627.54999999999995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276.18</v>
      </c>
      <c r="L62" s="34"/>
      <c r="M62" s="34"/>
      <c r="N62" s="34">
        <f>H3</f>
        <v>276.18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3556.12</v>
      </c>
      <c r="L63" s="34"/>
      <c r="M63" s="34"/>
      <c r="N63" s="34">
        <f>I3</f>
        <v>3556.12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209.07</v>
      </c>
      <c r="L64" s="34"/>
      <c r="M64" s="34"/>
      <c r="N64" s="34">
        <f>J3</f>
        <v>209.07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196.19</v>
      </c>
      <c r="L66" s="34"/>
      <c r="M66" s="34"/>
      <c r="N66" s="34">
        <f>K3</f>
        <v>196.19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5358.9999999999991</v>
      </c>
      <c r="L68" s="34">
        <f>SUM(L58:L67)</f>
        <v>0</v>
      </c>
      <c r="M68" s="34">
        <f>SUM(M58:M67)</f>
        <v>0</v>
      </c>
      <c r="N68" s="34">
        <f>SUM(N58:N67)</f>
        <v>5358.9999999999991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5358.9999999999991</v>
      </c>
      <c r="L69" s="34">
        <f t="shared" si="20"/>
        <v>0</v>
      </c>
      <c r="M69" s="34">
        <f t="shared" si="20"/>
        <v>0</v>
      </c>
      <c r="N69" s="34">
        <f t="shared" si="20"/>
        <v>5358.9999999999991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75.430000000000007</v>
      </c>
      <c r="L71" s="34"/>
      <c r="M71" s="34"/>
      <c r="N71" s="34">
        <f>D4</f>
        <v>75.430000000000007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536.89</v>
      </c>
      <c r="L72" s="34"/>
      <c r="M72" s="34"/>
      <c r="N72" s="34">
        <f>E4</f>
        <v>536.89</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778.03</v>
      </c>
      <c r="L73" s="34"/>
      <c r="M73" s="34"/>
      <c r="N73" s="34">
        <f>G4-SUM(N14,N26,N39,N52)</f>
        <v>778.03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342.41</v>
      </c>
      <c r="L74" s="34"/>
      <c r="M74" s="34"/>
      <c r="N74" s="34">
        <f>H4</f>
        <v>342.41</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4408.8599999999997</v>
      </c>
      <c r="L75" s="34"/>
      <c r="M75" s="34"/>
      <c r="N75" s="34">
        <f>I4</f>
        <v>4408.8599999999997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259.2</v>
      </c>
      <c r="L76" s="34"/>
      <c r="M76" s="34"/>
      <c r="N76" s="34">
        <f>J4</f>
        <v>259.2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243.23</v>
      </c>
      <c r="L78" s="34"/>
      <c r="M78" s="34"/>
      <c r="N78" s="34">
        <f>K4</f>
        <v>243.23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6644.0499999999993</v>
      </c>
      <c r="L80" s="34">
        <f>SUM(L70:L79)</f>
        <v>0</v>
      </c>
      <c r="M80" s="34">
        <f>SUM(M70:M79)</f>
        <v>0</v>
      </c>
      <c r="N80" s="34">
        <f>SUM(N70:N79)</f>
        <v>6644.0499999999993</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6644.0499999999993</v>
      </c>
      <c r="L81" s="34">
        <f t="shared" si="23"/>
        <v>0</v>
      </c>
      <c r="M81" s="34">
        <f t="shared" si="23"/>
        <v>0</v>
      </c>
      <c r="N81" s="34">
        <f t="shared" si="23"/>
        <v>6644.0499999999993</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12003.05</v>
      </c>
      <c r="L82" s="34">
        <f>L69+L81</f>
        <v>0</v>
      </c>
      <c r="M82" s="34">
        <f>M69+M81</f>
        <v>0</v>
      </c>
      <c r="N82" s="34">
        <f>N69+N81</f>
        <v>12003.05</v>
      </c>
      <c r="O82" s="8"/>
      <c r="R82" s="14"/>
      <c r="Z82" s="15"/>
      <c r="AJ82" s="16"/>
    </row>
    <row r="83" spans="1:36" s="31" customFormat="1" ht="21.95" customHeight="1" x14ac:dyDescent="0.2">
      <c r="A83" s="275" t="s">
        <v>82</v>
      </c>
      <c r="B83" s="275"/>
      <c r="C83" s="275"/>
      <c r="D83" s="275"/>
      <c r="E83" s="275"/>
      <c r="F83" s="275"/>
      <c r="G83" s="275"/>
      <c r="H83" s="275"/>
      <c r="I83" s="275"/>
      <c r="J83" s="35">
        <f>J18+J31+J44+J57+J82</f>
        <v>102317.856</v>
      </c>
      <c r="K83" s="35">
        <f>K18+K31+K44+K57+K82</f>
        <v>437181.93400000001</v>
      </c>
      <c r="L83" s="35">
        <f>L18+L31+L44+L57+L82</f>
        <v>358112.49599999998</v>
      </c>
      <c r="M83" s="35">
        <f>M18+M31+M44+M57+M82</f>
        <v>153476.78399999999</v>
      </c>
      <c r="N83" s="38">
        <f>N18+N31+N44+N57+N82</f>
        <v>1051089.07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BAFDFC4-0064-4AA4-87AC-6B0ACE16771A}">
          <x14:formula1>
            <xm:f>'2026 COB breakdown_Kris'!$A$5:$A$103</xm:f>
          </x14:formula1>
          <xm:sqref>A3</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F2FDE-17C9-4560-873D-A25F4859002B}">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238</v>
      </c>
      <c r="B3" s="58" t="s">
        <v>158</v>
      </c>
      <c r="C3" s="59">
        <f>VLOOKUP($A3,COBTABLE,15, FALSE)</f>
        <v>5682.34</v>
      </c>
      <c r="D3" s="59">
        <f>VLOOKUP($A3,COBTABLE,16, FALSE)</f>
        <v>74.819999999999993</v>
      </c>
      <c r="E3" s="59">
        <f>VLOOKUP($A3,COBTABLE,17, FALSE)</f>
        <v>532.54999999999995</v>
      </c>
      <c r="F3" s="59">
        <f>VLOOKUP($A3,COBTABLE,18, FALSE)</f>
        <v>0</v>
      </c>
      <c r="G3" s="59">
        <f>VLOOKUP($A3,COBTABLE,19, FALSE)</f>
        <v>771.74</v>
      </c>
      <c r="H3" s="59">
        <f>VLOOKUP($A3,COBTABLE,20, FALSE)</f>
        <v>339.64</v>
      </c>
      <c r="I3" s="59">
        <f>VLOOKUP($A3,COBTABLE,21, FALSE)</f>
        <v>4373.1899999999996</v>
      </c>
      <c r="J3" s="59">
        <f>VLOOKUP($A3,COBTABLE,22, FALSE)</f>
        <v>257.10000000000002</v>
      </c>
      <c r="K3" s="59">
        <f>VLOOKUP($A3,COBTABLE,23, FALSE)</f>
        <v>241.27</v>
      </c>
      <c r="L3" s="59">
        <f>VLOOKUP($A3,COBTABLE,24, FALSE)</f>
        <v>1574.78</v>
      </c>
      <c r="M3" s="59">
        <f>VLOOKUP($A3,COBTABLE,25, FALSE)</f>
        <v>1476.8899999999994</v>
      </c>
      <c r="N3" s="60">
        <f>VLOOKUP($A3, countrygrant,2,FALSE)</f>
        <v>456818.18</v>
      </c>
      <c r="O3" s="92">
        <f>SUM(C3:N3)</f>
        <v>472142.5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8334.1</v>
      </c>
      <c r="D4" s="59">
        <f>VLOOKUP($A3,COBTABLE,28, FALSE)</f>
        <v>109.74</v>
      </c>
      <c r="E4" s="59">
        <f>VLOOKUP($A3,COBTABLE,29, FALSE)</f>
        <v>781.07</v>
      </c>
      <c r="F4" s="59">
        <f>VLOOKUP($A3,COBTABLE,30, FALSE)</f>
        <v>0</v>
      </c>
      <c r="G4" s="59">
        <f>VLOOKUP($A3,COBTABLE,31, FALSE)</f>
        <v>1131.8699999999999</v>
      </c>
      <c r="H4" s="59">
        <f>VLOOKUP($A3,COBTABLE,32, FALSE)</f>
        <v>498.14</v>
      </c>
      <c r="I4" s="59">
        <f>VLOOKUP($A3,COBTABLE,33, FALSE)</f>
        <v>6414.02</v>
      </c>
      <c r="J4" s="59">
        <f>VLOOKUP($A3,COBTABLE,34, FALSE)</f>
        <v>377.09</v>
      </c>
      <c r="K4" s="59">
        <f>VLOOKUP($A3,COBTABLE,35, FALSE)</f>
        <v>353.85</v>
      </c>
      <c r="L4" s="59">
        <f>VLOOKUP($A3,COBTABLE,36, FALSE)</f>
        <v>2309.69</v>
      </c>
      <c r="M4" s="59">
        <f>VLOOKUP($A3,COBTABLE,37, FALSE)</f>
        <v>2166.1100000000042</v>
      </c>
      <c r="N4" s="60">
        <f>VLOOKUP($A3, countrygrant,3,FALSE)</f>
        <v>670000</v>
      </c>
      <c r="O4" s="92">
        <f t="shared" ref="O4" si="0">SUM(C4:N4)</f>
        <v>692475.68</v>
      </c>
      <c r="P4" s="28"/>
      <c r="Q4" s="28"/>
      <c r="R4" s="28"/>
      <c r="S4" s="28"/>
      <c r="T4" s="28"/>
      <c r="U4" s="28"/>
      <c r="V4" s="28"/>
      <c r="W4" s="28"/>
      <c r="X4" s="28"/>
      <c r="Y4" s="28"/>
      <c r="Z4" s="28"/>
      <c r="AA4" s="28"/>
      <c r="AB4" s="28"/>
      <c r="AC4" s="28"/>
    </row>
    <row r="5" spans="1:36" s="53" customFormat="1" ht="12" customHeight="1" x14ac:dyDescent="0.25">
      <c r="A5" s="278"/>
      <c r="B5" s="61" t="s">
        <v>156</v>
      </c>
      <c r="C5" s="62">
        <f>SUM(C3:C4)</f>
        <v>14016.44</v>
      </c>
      <c r="D5" s="62">
        <f t="shared" ref="D5:O5" si="1">SUM(D3:D4)</f>
        <v>184.56</v>
      </c>
      <c r="E5" s="62">
        <f t="shared" si="1"/>
        <v>1313.62</v>
      </c>
      <c r="F5" s="62">
        <f t="shared" si="1"/>
        <v>0</v>
      </c>
      <c r="G5" s="62">
        <f t="shared" si="1"/>
        <v>1903.61</v>
      </c>
      <c r="H5" s="62">
        <f t="shared" si="1"/>
        <v>837.78</v>
      </c>
      <c r="I5" s="62">
        <f t="shared" si="1"/>
        <v>10787.21</v>
      </c>
      <c r="J5" s="62">
        <f t="shared" si="1"/>
        <v>634.19000000000005</v>
      </c>
      <c r="K5" s="62">
        <f t="shared" si="1"/>
        <v>595.12</v>
      </c>
      <c r="L5" s="62">
        <f t="shared" si="1"/>
        <v>3884.4700000000003</v>
      </c>
      <c r="M5" s="62">
        <f t="shared" si="1"/>
        <v>3643.0000000000036</v>
      </c>
      <c r="N5" s="62">
        <f t="shared" si="1"/>
        <v>1126818.18</v>
      </c>
      <c r="O5" s="62">
        <f t="shared" si="1"/>
        <v>1164618.1800000002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VLOOKUP(H28,starratio4,4,FALSE)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5682.34</v>
      </c>
      <c r="L45" s="34"/>
      <c r="M45" s="34"/>
      <c r="N45" s="34">
        <f>ROUND($C$3*P45,2)</f>
        <v>5682.34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1574.78</v>
      </c>
      <c r="L47" s="34"/>
      <c r="M47" s="34"/>
      <c r="N47" s="34">
        <f>ROUND($L$3*P47,2)</f>
        <v>1574.78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1476.8899999999994</v>
      </c>
      <c r="L48" s="34"/>
      <c r="M48" s="34"/>
      <c r="N48" s="34">
        <f>M3-SUM(N10,N21,N35)</f>
        <v>1476.8899999999994</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8734.0099999999984</v>
      </c>
      <c r="L49" s="34">
        <f>SUM(L45:L48)</f>
        <v>0</v>
      </c>
      <c r="M49" s="34">
        <f>SUM(M45:M48)</f>
        <v>0</v>
      </c>
      <c r="N49" s="34">
        <f>SUM(N45:N48)</f>
        <v>8734.0099999999984</v>
      </c>
      <c r="O49" s="8"/>
      <c r="P49" s="9"/>
    </row>
    <row r="50" spans="1:36" ht="21.95" customHeight="1" x14ac:dyDescent="0.2">
      <c r="A50" s="262"/>
      <c r="B50" s="261" t="s">
        <v>60</v>
      </c>
      <c r="C50" s="261"/>
      <c r="D50" s="261"/>
      <c r="E50" s="261"/>
      <c r="F50" s="261"/>
      <c r="G50" s="261"/>
      <c r="H50" s="261"/>
      <c r="I50" s="261"/>
      <c r="J50" s="34">
        <f>J49</f>
        <v>0</v>
      </c>
      <c r="K50" s="34">
        <f t="shared" ref="K50:N50" si="15">K49</f>
        <v>8734.0099999999984</v>
      </c>
      <c r="L50" s="34">
        <f t="shared" si="15"/>
        <v>0</v>
      </c>
      <c r="M50" s="34">
        <f t="shared" si="15"/>
        <v>0</v>
      </c>
      <c r="N50" s="34">
        <f t="shared" si="15"/>
        <v>8734.0099999999984</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8334.1</v>
      </c>
      <c r="L51" s="34"/>
      <c r="M51" s="34"/>
      <c r="N51" s="34">
        <f>ROUND($C$4*P51,2)</f>
        <v>8334.1</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2309.69</v>
      </c>
      <c r="L53" s="34"/>
      <c r="M53" s="34"/>
      <c r="N53" s="34">
        <f>ROUND($L$4*P53,2)</f>
        <v>2309.69</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2166.1100000000042</v>
      </c>
      <c r="L54" s="34"/>
      <c r="M54" s="34"/>
      <c r="N54" s="34">
        <f>M4-SUM(N15,N27,N41)</f>
        <v>2166.1100000000042</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12809.900000000005</v>
      </c>
      <c r="L55" s="34">
        <f>SUM(L51:L54)</f>
        <v>0</v>
      </c>
      <c r="M55" s="34">
        <f>SUM(M51:M54)</f>
        <v>0</v>
      </c>
      <c r="N55" s="34">
        <f>SUM(N51:N54)</f>
        <v>12809.900000000005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12809.900000000005</v>
      </c>
      <c r="L56" s="34">
        <f t="shared" si="17"/>
        <v>0</v>
      </c>
      <c r="M56" s="34">
        <f t="shared" si="17"/>
        <v>0</v>
      </c>
      <c r="N56" s="34">
        <f t="shared" si="17"/>
        <v>12809.900000000005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21543.910000000003</v>
      </c>
      <c r="L57" s="34">
        <f>L50+L56</f>
        <v>0</v>
      </c>
      <c r="M57" s="34">
        <f>M50+M56</f>
        <v>0</v>
      </c>
      <c r="N57" s="34">
        <f>N50+N56</f>
        <v>21543.910000000003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74.819999999999993</v>
      </c>
      <c r="L59" s="34"/>
      <c r="M59" s="34"/>
      <c r="N59" s="34">
        <f>D3</f>
        <v>74.819999999999993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532.54999999999995</v>
      </c>
      <c r="L60" s="34"/>
      <c r="M60" s="34"/>
      <c r="N60" s="34">
        <f>E3</f>
        <v>532.54999999999995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771.74</v>
      </c>
      <c r="L61" s="34"/>
      <c r="M61" s="34"/>
      <c r="N61" s="34">
        <f>G3-SUM(N9,N20,N33,N46)</f>
        <v>771.74</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339.64</v>
      </c>
      <c r="L62" s="34"/>
      <c r="M62" s="34"/>
      <c r="N62" s="34">
        <f>H3</f>
        <v>339.64</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4373.1899999999996</v>
      </c>
      <c r="L63" s="34"/>
      <c r="M63" s="34"/>
      <c r="N63" s="34">
        <f>I3</f>
        <v>4373.1899999999996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257.10000000000002</v>
      </c>
      <c r="L64" s="34"/>
      <c r="M64" s="34"/>
      <c r="N64" s="34">
        <f>J3</f>
        <v>257.10000000000002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241.27</v>
      </c>
      <c r="L66" s="34"/>
      <c r="M66" s="34"/>
      <c r="N66" s="34">
        <f>K3</f>
        <v>241.27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6590.31</v>
      </c>
      <c r="L68" s="34">
        <f>SUM(L58:L67)</f>
        <v>0</v>
      </c>
      <c r="M68" s="34">
        <f>SUM(M58:M67)</f>
        <v>0</v>
      </c>
      <c r="N68" s="34">
        <f>SUM(N58:N67)</f>
        <v>6590.31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6590.31</v>
      </c>
      <c r="L69" s="34">
        <f t="shared" si="20"/>
        <v>0</v>
      </c>
      <c r="M69" s="34">
        <f t="shared" si="20"/>
        <v>0</v>
      </c>
      <c r="N69" s="34">
        <f t="shared" si="20"/>
        <v>6590.31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109.74</v>
      </c>
      <c r="L71" s="34"/>
      <c r="M71" s="34"/>
      <c r="N71" s="34">
        <f>D4</f>
        <v>109.74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781.07</v>
      </c>
      <c r="L72" s="34"/>
      <c r="M72" s="34"/>
      <c r="N72" s="34">
        <f>E4</f>
        <v>781.07</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1131.8699999999999</v>
      </c>
      <c r="L73" s="34"/>
      <c r="M73" s="34"/>
      <c r="N73" s="34">
        <f>G4-SUM(N14,N26,N39,N52)</f>
        <v>1131.8699999999999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498.14</v>
      </c>
      <c r="L74" s="34"/>
      <c r="M74" s="34"/>
      <c r="N74" s="34">
        <f>H4</f>
        <v>498.14</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6414.02</v>
      </c>
      <c r="L75" s="34"/>
      <c r="M75" s="34"/>
      <c r="N75" s="34">
        <f>I4</f>
        <v>6414.02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377.09</v>
      </c>
      <c r="L76" s="34"/>
      <c r="M76" s="34"/>
      <c r="N76" s="34">
        <f>J4</f>
        <v>377.09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353.85</v>
      </c>
      <c r="L78" s="34"/>
      <c r="M78" s="34"/>
      <c r="N78" s="34">
        <f>K4</f>
        <v>353.85</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9665.7800000000007</v>
      </c>
      <c r="L80" s="34">
        <f>SUM(L70:L79)</f>
        <v>0</v>
      </c>
      <c r="M80" s="34">
        <f>SUM(M70:M79)</f>
        <v>0</v>
      </c>
      <c r="N80" s="34">
        <f>SUM(N70:N79)</f>
        <v>9665.7800000000007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9665.7800000000007</v>
      </c>
      <c r="L81" s="34">
        <f t="shared" si="23"/>
        <v>0</v>
      </c>
      <c r="M81" s="34">
        <f t="shared" si="23"/>
        <v>0</v>
      </c>
      <c r="N81" s="34">
        <f t="shared" si="23"/>
        <v>9665.7800000000007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16256.09</v>
      </c>
      <c r="L82" s="34">
        <f>L69+L81</f>
        <v>0</v>
      </c>
      <c r="M82" s="34">
        <f>M69+M81</f>
        <v>0</v>
      </c>
      <c r="N82" s="34">
        <f>N69+N81</f>
        <v>16256.09</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488527.27200000006</v>
      </c>
      <c r="L83" s="35">
        <f>L18+L31+L44+L57+L82</f>
        <v>394386.36299999995</v>
      </c>
      <c r="M83" s="35">
        <f>M18+M31+M44+M57+M82</f>
        <v>169022.72700000001</v>
      </c>
      <c r="N83" s="38">
        <f>N18+N31+N44+N57+N82</f>
        <v>1164618.18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9536EDC-35C5-4E58-857F-F62B4FFAFCE7}">
          <x14:formula1>
            <xm:f>'2026 COB breakdown_Kris'!$A$5:$A$103</xm:f>
          </x14:formula1>
          <xm:sqref>A3</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06349-6F84-4457-B9BF-1228414EF632}">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239</v>
      </c>
      <c r="B3" s="58" t="s">
        <v>158</v>
      </c>
      <c r="C3" s="59">
        <f>VLOOKUP($A3,COBTABLE,15, FALSE)</f>
        <v>6286.95</v>
      </c>
      <c r="D3" s="59">
        <f>VLOOKUP($A3,COBTABLE,16, FALSE)</f>
        <v>82.78</v>
      </c>
      <c r="E3" s="59">
        <f>VLOOKUP($A3,COBTABLE,17, FALSE)</f>
        <v>589.22</v>
      </c>
      <c r="F3" s="59">
        <f>VLOOKUP($A3,COBTABLE,18, FALSE)</f>
        <v>0</v>
      </c>
      <c r="G3" s="59">
        <f>VLOOKUP($A3,COBTABLE,19, FALSE)</f>
        <v>853.85</v>
      </c>
      <c r="H3" s="59">
        <f>VLOOKUP($A3,COBTABLE,20, FALSE)</f>
        <v>375.78</v>
      </c>
      <c r="I3" s="59">
        <f>VLOOKUP($A3,COBTABLE,21, FALSE)</f>
        <v>4838.51</v>
      </c>
      <c r="J3" s="59">
        <f>VLOOKUP($A3,COBTABLE,22, FALSE)</f>
        <v>284.45999999999998</v>
      </c>
      <c r="K3" s="59">
        <f>VLOOKUP($A3,COBTABLE,23, FALSE)</f>
        <v>266.94</v>
      </c>
      <c r="L3" s="59">
        <f>VLOOKUP($A3,COBTABLE,24, FALSE)</f>
        <v>1742.35</v>
      </c>
      <c r="M3" s="59">
        <f>VLOOKUP($A3,COBTABLE,25, FALSE)</f>
        <v>1634.0300000000025</v>
      </c>
      <c r="N3" s="60">
        <f>VLOOKUP($A3, countrygrant,2,FALSE)</f>
        <v>456818.18</v>
      </c>
      <c r="O3" s="92">
        <f>SUM(C3:N3)</f>
        <v>473773.05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9220.86</v>
      </c>
      <c r="D4" s="59">
        <f>VLOOKUP($A3,COBTABLE,28, FALSE)</f>
        <v>121.41</v>
      </c>
      <c r="E4" s="59">
        <f>VLOOKUP($A3,COBTABLE,29, FALSE)</f>
        <v>864.18</v>
      </c>
      <c r="F4" s="59">
        <f>VLOOKUP($A3,COBTABLE,30, FALSE)</f>
        <v>0</v>
      </c>
      <c r="G4" s="59">
        <f>VLOOKUP($A3,COBTABLE,31, FALSE)</f>
        <v>1252.31</v>
      </c>
      <c r="H4" s="59">
        <f>VLOOKUP($A3,COBTABLE,32, FALSE)</f>
        <v>551.14</v>
      </c>
      <c r="I4" s="59">
        <f>VLOOKUP($A3,COBTABLE,33, FALSE)</f>
        <v>7096.48</v>
      </c>
      <c r="J4" s="59">
        <f>VLOOKUP($A3,COBTABLE,34, FALSE)</f>
        <v>417.21</v>
      </c>
      <c r="K4" s="59">
        <f>VLOOKUP($A3,COBTABLE,35, FALSE)</f>
        <v>391.51</v>
      </c>
      <c r="L4" s="59">
        <f>VLOOKUP($A3,COBTABLE,36, FALSE)</f>
        <v>2555.4499999999998</v>
      </c>
      <c r="M4" s="59">
        <f>VLOOKUP($A3,COBTABLE,37, FALSE)</f>
        <v>2396.5900000000038</v>
      </c>
      <c r="N4" s="60">
        <f>VLOOKUP($A3, countrygrant,3,FALSE)</f>
        <v>670000</v>
      </c>
      <c r="O4" s="92">
        <f t="shared" ref="O4" si="0">SUM(C4:N4)</f>
        <v>694867.14</v>
      </c>
      <c r="P4" s="28"/>
      <c r="Q4" s="28"/>
      <c r="R4" s="28"/>
      <c r="S4" s="28"/>
      <c r="T4" s="28"/>
      <c r="U4" s="28"/>
      <c r="V4" s="28"/>
      <c r="W4" s="28"/>
      <c r="X4" s="28"/>
      <c r="Y4" s="28"/>
      <c r="Z4" s="28"/>
      <c r="AA4" s="28"/>
      <c r="AB4" s="28"/>
      <c r="AC4" s="28"/>
    </row>
    <row r="5" spans="1:36" s="53" customFormat="1" ht="12" customHeight="1" x14ac:dyDescent="0.25">
      <c r="A5" s="278"/>
      <c r="B5" s="61" t="s">
        <v>156</v>
      </c>
      <c r="C5" s="62">
        <f>SUM(C3:C4)</f>
        <v>15507.810000000001</v>
      </c>
      <c r="D5" s="62">
        <f t="shared" ref="D5:O5" si="1">SUM(D3:D4)</f>
        <v>204.19</v>
      </c>
      <c r="E5" s="62">
        <f t="shared" si="1"/>
        <v>1453.4</v>
      </c>
      <c r="F5" s="62">
        <f t="shared" si="1"/>
        <v>0</v>
      </c>
      <c r="G5" s="62">
        <f t="shared" si="1"/>
        <v>2106.16</v>
      </c>
      <c r="H5" s="62">
        <f t="shared" si="1"/>
        <v>926.92</v>
      </c>
      <c r="I5" s="62">
        <f t="shared" si="1"/>
        <v>11934.99</v>
      </c>
      <c r="J5" s="62">
        <f t="shared" si="1"/>
        <v>701.67</v>
      </c>
      <c r="K5" s="62">
        <f t="shared" si="1"/>
        <v>658.45</v>
      </c>
      <c r="L5" s="62">
        <f t="shared" si="1"/>
        <v>4297.7999999999993</v>
      </c>
      <c r="M5" s="62">
        <f t="shared" si="1"/>
        <v>4030.6200000000063</v>
      </c>
      <c r="N5" s="62">
        <f t="shared" si="1"/>
        <v>1126818.18</v>
      </c>
      <c r="O5" s="62">
        <f t="shared" si="1"/>
        <v>1168640.19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VLOOKUP(H28,starratio4,4,FALSE)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6286.95</v>
      </c>
      <c r="L45" s="34"/>
      <c r="M45" s="34"/>
      <c r="N45" s="34">
        <f>ROUND($C$3*P45,2)</f>
        <v>6286.95</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1742.35</v>
      </c>
      <c r="L47" s="34"/>
      <c r="M47" s="34"/>
      <c r="N47" s="34">
        <f>ROUND($L$3*P47,2)</f>
        <v>1742.35</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1634.0300000000025</v>
      </c>
      <c r="L48" s="34"/>
      <c r="M48" s="34"/>
      <c r="N48" s="34">
        <f>M3-SUM(N10,N21,N35)</f>
        <v>1634.0300000000025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9663.3300000000017</v>
      </c>
      <c r="L49" s="34">
        <f>SUM(L45:L48)</f>
        <v>0</v>
      </c>
      <c r="M49" s="34">
        <f>SUM(M45:M48)</f>
        <v>0</v>
      </c>
      <c r="N49" s="34">
        <f>SUM(N45:N48)</f>
        <v>9663.3300000000017</v>
      </c>
      <c r="O49" s="8"/>
      <c r="P49" s="9"/>
    </row>
    <row r="50" spans="1:36" ht="21.95" customHeight="1" x14ac:dyDescent="0.2">
      <c r="A50" s="262"/>
      <c r="B50" s="261" t="s">
        <v>60</v>
      </c>
      <c r="C50" s="261"/>
      <c r="D50" s="261"/>
      <c r="E50" s="261"/>
      <c r="F50" s="261"/>
      <c r="G50" s="261"/>
      <c r="H50" s="261"/>
      <c r="I50" s="261"/>
      <c r="J50" s="34">
        <f>J49</f>
        <v>0</v>
      </c>
      <c r="K50" s="34">
        <f t="shared" ref="K50:N50" si="15">K49</f>
        <v>9663.3300000000017</v>
      </c>
      <c r="L50" s="34">
        <f t="shared" si="15"/>
        <v>0</v>
      </c>
      <c r="M50" s="34">
        <f t="shared" si="15"/>
        <v>0</v>
      </c>
      <c r="N50" s="34">
        <f t="shared" si="15"/>
        <v>9663.3300000000017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9220.86</v>
      </c>
      <c r="L51" s="34"/>
      <c r="M51" s="34"/>
      <c r="N51" s="34">
        <f>ROUND($C$4*P51,2)</f>
        <v>9220.86</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2555.4499999999998</v>
      </c>
      <c r="L53" s="34"/>
      <c r="M53" s="34"/>
      <c r="N53" s="34">
        <f>ROUND($L$4*P53,2)</f>
        <v>2555.4499999999998</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2396.5900000000038</v>
      </c>
      <c r="L54" s="34"/>
      <c r="M54" s="34"/>
      <c r="N54" s="34">
        <f>M4-SUM(N15,N27,N41)</f>
        <v>2396.5900000000038</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14172.900000000005</v>
      </c>
      <c r="L55" s="34">
        <f>SUM(L51:L54)</f>
        <v>0</v>
      </c>
      <c r="M55" s="34">
        <f>SUM(M51:M54)</f>
        <v>0</v>
      </c>
      <c r="N55" s="34">
        <f>SUM(N51:N54)</f>
        <v>14172.900000000005</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14172.900000000005</v>
      </c>
      <c r="L56" s="34">
        <f t="shared" si="17"/>
        <v>0</v>
      </c>
      <c r="M56" s="34">
        <f t="shared" si="17"/>
        <v>0</v>
      </c>
      <c r="N56" s="34">
        <f t="shared" si="17"/>
        <v>14172.900000000005</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23836.230000000007</v>
      </c>
      <c r="L57" s="34">
        <f>L50+L56</f>
        <v>0</v>
      </c>
      <c r="M57" s="34">
        <f>M50+M56</f>
        <v>0</v>
      </c>
      <c r="N57" s="34">
        <f>N50+N56</f>
        <v>23836.230000000007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82.78</v>
      </c>
      <c r="L59" s="34"/>
      <c r="M59" s="34"/>
      <c r="N59" s="34">
        <f>D3</f>
        <v>82.78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589.22</v>
      </c>
      <c r="L60" s="34"/>
      <c r="M60" s="34"/>
      <c r="N60" s="34">
        <f>E3</f>
        <v>589.22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853.85</v>
      </c>
      <c r="L61" s="34"/>
      <c r="M61" s="34"/>
      <c r="N61" s="34">
        <f>G3-SUM(N9,N20,N33,N46)</f>
        <v>853.85</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375.78</v>
      </c>
      <c r="L62" s="34"/>
      <c r="M62" s="34"/>
      <c r="N62" s="34">
        <f>H3</f>
        <v>375.78</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4838.51</v>
      </c>
      <c r="L63" s="34"/>
      <c r="M63" s="34"/>
      <c r="N63" s="34">
        <f>I3</f>
        <v>4838.51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284.45999999999998</v>
      </c>
      <c r="L64" s="34"/>
      <c r="M64" s="34"/>
      <c r="N64" s="34">
        <f>J3</f>
        <v>284.45999999999998</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266.94</v>
      </c>
      <c r="L66" s="34"/>
      <c r="M66" s="34"/>
      <c r="N66" s="34">
        <f>K3</f>
        <v>266.94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7291.54</v>
      </c>
      <c r="L68" s="34">
        <f>SUM(L58:L67)</f>
        <v>0</v>
      </c>
      <c r="M68" s="34">
        <f>SUM(M58:M67)</f>
        <v>0</v>
      </c>
      <c r="N68" s="34">
        <f>SUM(N58:N67)</f>
        <v>7291.54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7291.54</v>
      </c>
      <c r="L69" s="34">
        <f t="shared" si="20"/>
        <v>0</v>
      </c>
      <c r="M69" s="34">
        <f t="shared" si="20"/>
        <v>0</v>
      </c>
      <c r="N69" s="34">
        <f t="shared" si="20"/>
        <v>7291.54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121.41</v>
      </c>
      <c r="L71" s="34"/>
      <c r="M71" s="34"/>
      <c r="N71" s="34">
        <f>D4</f>
        <v>121.41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864.18</v>
      </c>
      <c r="L72" s="34"/>
      <c r="M72" s="34"/>
      <c r="N72" s="34">
        <f>E4</f>
        <v>864.18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1252.31</v>
      </c>
      <c r="L73" s="34"/>
      <c r="M73" s="34"/>
      <c r="N73" s="34">
        <f>G4-SUM(N14,N26,N39,N52)</f>
        <v>1252.31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551.14</v>
      </c>
      <c r="L74" s="34"/>
      <c r="M74" s="34"/>
      <c r="N74" s="34">
        <f>H4</f>
        <v>551.14</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7096.48</v>
      </c>
      <c r="L75" s="34"/>
      <c r="M75" s="34"/>
      <c r="N75" s="34">
        <f>I4</f>
        <v>7096.48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417.21</v>
      </c>
      <c r="L76" s="34"/>
      <c r="M76" s="34"/>
      <c r="N76" s="34">
        <f>J4</f>
        <v>417.21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391.51</v>
      </c>
      <c r="L78" s="34"/>
      <c r="M78" s="34"/>
      <c r="N78" s="34">
        <f>K4</f>
        <v>391.51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10694.239999999998</v>
      </c>
      <c r="L80" s="34">
        <f>SUM(L70:L79)</f>
        <v>0</v>
      </c>
      <c r="M80" s="34">
        <f>SUM(M70:M79)</f>
        <v>0</v>
      </c>
      <c r="N80" s="34">
        <f>SUM(N70:N79)</f>
        <v>10694.239999999998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10694.239999999998</v>
      </c>
      <c r="L81" s="34">
        <f t="shared" si="23"/>
        <v>0</v>
      </c>
      <c r="M81" s="34">
        <f t="shared" si="23"/>
        <v>0</v>
      </c>
      <c r="N81" s="34">
        <f t="shared" si="23"/>
        <v>10694.239999999998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17985.78</v>
      </c>
      <c r="L82" s="34">
        <f>L69+L81</f>
        <v>0</v>
      </c>
      <c r="M82" s="34">
        <f>M69+M81</f>
        <v>0</v>
      </c>
      <c r="N82" s="34">
        <f>N69+N81</f>
        <v>17985.78</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492549.28200000001</v>
      </c>
      <c r="L83" s="35">
        <f>L18+L31+L44+L57+L82</f>
        <v>394386.36299999995</v>
      </c>
      <c r="M83" s="35">
        <f>M18+M31+M44+M57+M82</f>
        <v>169022.72700000001</v>
      </c>
      <c r="N83" s="38">
        <f>N18+N31+N44+N57+N82</f>
        <v>1168640.19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5C59BD7-B326-4652-8B77-9AE8C8E050B0}">
          <x14:formula1>
            <xm:f>'2026 COB breakdown_Kris'!$A$5:$A$103</xm:f>
          </x14:formula1>
          <xm:sqref>A3</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C7CF9-8AF1-478E-9A83-41008A0DCDBB}">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240</v>
      </c>
      <c r="B3" s="58" t="s">
        <v>158</v>
      </c>
      <c r="C3" s="59">
        <f>VLOOKUP($A3,COBTABLE,15, FALSE)</f>
        <v>5264.44</v>
      </c>
      <c r="D3" s="59">
        <f>VLOOKUP($A3,COBTABLE,16, FALSE)</f>
        <v>69.319999999999993</v>
      </c>
      <c r="E3" s="59">
        <f>VLOOKUP($A3,COBTABLE,17, FALSE)</f>
        <v>493.39</v>
      </c>
      <c r="F3" s="59">
        <f>VLOOKUP($A3,COBTABLE,18, FALSE)</f>
        <v>0</v>
      </c>
      <c r="G3" s="59">
        <f>VLOOKUP($A3,COBTABLE,19, FALSE)</f>
        <v>714.98</v>
      </c>
      <c r="H3" s="59">
        <f>VLOOKUP($A3,COBTABLE,20, FALSE)</f>
        <v>314.66000000000003</v>
      </c>
      <c r="I3" s="59">
        <f>VLOOKUP($A3,COBTABLE,21, FALSE)</f>
        <v>4051.57</v>
      </c>
      <c r="J3" s="59">
        <f>VLOOKUP($A3,COBTABLE,22, FALSE)</f>
        <v>238.2</v>
      </c>
      <c r="K3" s="59">
        <f>VLOOKUP($A3,COBTABLE,23, FALSE)</f>
        <v>223.52</v>
      </c>
      <c r="L3" s="59">
        <f>VLOOKUP($A3,COBTABLE,24, FALSE)</f>
        <v>1458.97</v>
      </c>
      <c r="M3" s="59">
        <f>VLOOKUP($A3,COBTABLE,25, FALSE)</f>
        <v>1368.2700000000004</v>
      </c>
      <c r="N3" s="60">
        <f>VLOOKUP($A3, countrygrant,2,FALSE)</f>
        <v>456818.18</v>
      </c>
      <c r="O3" s="92">
        <f>SUM(C3:N3)</f>
        <v>471015.5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6258.85</v>
      </c>
      <c r="D4" s="59">
        <f>VLOOKUP($A3,COBTABLE,28, FALSE)</f>
        <v>82.41</v>
      </c>
      <c r="E4" s="59">
        <f>VLOOKUP($A3,COBTABLE,29, FALSE)</f>
        <v>586.58000000000004</v>
      </c>
      <c r="F4" s="59">
        <f>VLOOKUP($A3,COBTABLE,30, FALSE)</f>
        <v>0</v>
      </c>
      <c r="G4" s="59">
        <f>VLOOKUP($A3,COBTABLE,31, FALSE)</f>
        <v>850.03</v>
      </c>
      <c r="H4" s="59">
        <f>VLOOKUP($A3,COBTABLE,32, FALSE)</f>
        <v>374.1</v>
      </c>
      <c r="I4" s="59">
        <f>VLOOKUP($A3,COBTABLE,33, FALSE)</f>
        <v>4816.88</v>
      </c>
      <c r="J4" s="59">
        <f>VLOOKUP($A3,COBTABLE,34, FALSE)</f>
        <v>283.19</v>
      </c>
      <c r="K4" s="59">
        <f>VLOOKUP($A3,COBTABLE,35, FALSE)</f>
        <v>265.74</v>
      </c>
      <c r="L4" s="59">
        <f>VLOOKUP($A3,COBTABLE,36, FALSE)</f>
        <v>1734.56</v>
      </c>
      <c r="M4" s="59">
        <f>VLOOKUP($A3,COBTABLE,37, FALSE)</f>
        <v>1626.7299999999996</v>
      </c>
      <c r="N4" s="60">
        <f>VLOOKUP($A3, countrygrant,3,FALSE)</f>
        <v>543107.36</v>
      </c>
      <c r="O4" s="92">
        <f t="shared" ref="O4" si="0">SUM(C4:N4)</f>
        <v>559986.42999999993</v>
      </c>
      <c r="P4" s="28"/>
      <c r="Q4" s="28"/>
      <c r="R4" s="28"/>
      <c r="S4" s="28"/>
      <c r="T4" s="28"/>
      <c r="U4" s="28"/>
      <c r="V4" s="28"/>
      <c r="W4" s="28"/>
      <c r="X4" s="28"/>
      <c r="Y4" s="28"/>
      <c r="Z4" s="28"/>
      <c r="AA4" s="28"/>
      <c r="AB4" s="28"/>
      <c r="AC4" s="28"/>
    </row>
    <row r="5" spans="1:36" s="53" customFormat="1" ht="12" customHeight="1" x14ac:dyDescent="0.25">
      <c r="A5" s="278"/>
      <c r="B5" s="61" t="s">
        <v>156</v>
      </c>
      <c r="C5" s="62">
        <f>SUM(C3:C4)</f>
        <v>11523.29</v>
      </c>
      <c r="D5" s="62">
        <f t="shared" ref="D5:O5" si="1">SUM(D3:D4)</f>
        <v>151.72999999999999</v>
      </c>
      <c r="E5" s="62">
        <f t="shared" si="1"/>
        <v>1079.97</v>
      </c>
      <c r="F5" s="62">
        <f t="shared" si="1"/>
        <v>0</v>
      </c>
      <c r="G5" s="62">
        <f t="shared" si="1"/>
        <v>1565.01</v>
      </c>
      <c r="H5" s="62">
        <f t="shared" si="1"/>
        <v>688.76</v>
      </c>
      <c r="I5" s="62">
        <f t="shared" si="1"/>
        <v>8868.4500000000007</v>
      </c>
      <c r="J5" s="62">
        <f t="shared" si="1"/>
        <v>521.39</v>
      </c>
      <c r="K5" s="62">
        <f t="shared" si="1"/>
        <v>489.26</v>
      </c>
      <c r="L5" s="62">
        <f t="shared" si="1"/>
        <v>3193.5299999999997</v>
      </c>
      <c r="M5" s="62">
        <f t="shared" si="1"/>
        <v>2995</v>
      </c>
      <c r="N5" s="62">
        <f t="shared" si="1"/>
        <v>999925.54</v>
      </c>
      <c r="O5" s="62">
        <f t="shared" si="1"/>
        <v>1031001.9299999999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54310.736000000004</v>
      </c>
      <c r="K28" s="34">
        <f>$N28*0.4</f>
        <v>217242.94400000002</v>
      </c>
      <c r="L28" s="34">
        <f>$N28*0.35</f>
        <v>190087.57599999997</v>
      </c>
      <c r="M28" s="34">
        <f>$N28*0.15</f>
        <v>81466.103999999992</v>
      </c>
      <c r="N28" s="34">
        <f>N4</f>
        <v>543107.36</v>
      </c>
      <c r="O28" s="8"/>
      <c r="P28" s="9">
        <f>VLOOKUP(H28,starratio4,4,FALSE)</f>
        <v>0</v>
      </c>
    </row>
    <row r="29" spans="1:36" ht="21.95" customHeight="1" x14ac:dyDescent="0.2">
      <c r="A29" s="262"/>
      <c r="B29" s="262"/>
      <c r="C29" s="263" t="s">
        <v>31</v>
      </c>
      <c r="D29" s="263"/>
      <c r="E29" s="263"/>
      <c r="F29" s="263"/>
      <c r="G29" s="263"/>
      <c r="H29" s="263"/>
      <c r="I29" s="263"/>
      <c r="J29" s="34">
        <f>SUM(J25:J28)</f>
        <v>54310.736000000004</v>
      </c>
      <c r="K29" s="34">
        <f>SUM(K25:K28)</f>
        <v>217242.94400000002</v>
      </c>
      <c r="L29" s="34">
        <f>SUM(L25:L28)</f>
        <v>190087.57599999997</v>
      </c>
      <c r="M29" s="34">
        <f>SUM(M25:M28)</f>
        <v>81466.103999999992</v>
      </c>
      <c r="N29" s="34">
        <f>SUM(N25:N28)</f>
        <v>543107.36</v>
      </c>
      <c r="O29" s="8"/>
      <c r="P29" s="9"/>
    </row>
    <row r="30" spans="1:36" ht="21.95" customHeight="1" x14ac:dyDescent="0.2">
      <c r="A30" s="262"/>
      <c r="B30" s="263" t="s">
        <v>44</v>
      </c>
      <c r="C30" s="263"/>
      <c r="D30" s="263"/>
      <c r="E30" s="263"/>
      <c r="F30" s="263"/>
      <c r="G30" s="263"/>
      <c r="H30" s="263"/>
      <c r="I30" s="263"/>
      <c r="J30" s="34">
        <f>J29</f>
        <v>54310.736000000004</v>
      </c>
      <c r="K30" s="34">
        <f t="shared" ref="K30:N30" si="9">K29</f>
        <v>217242.94400000002</v>
      </c>
      <c r="L30" s="34">
        <f t="shared" si="9"/>
        <v>190087.57599999997</v>
      </c>
      <c r="M30" s="34">
        <f t="shared" si="9"/>
        <v>81466.103999999992</v>
      </c>
      <c r="N30" s="34">
        <f t="shared" si="9"/>
        <v>543107.36</v>
      </c>
      <c r="O30" s="8"/>
      <c r="Q30" s="10"/>
      <c r="Z30" s="11"/>
      <c r="AC30" s="12"/>
      <c r="AD30" s="13"/>
    </row>
    <row r="31" spans="1:36" ht="21.95" customHeight="1" x14ac:dyDescent="0.2">
      <c r="A31" s="261" t="s">
        <v>45</v>
      </c>
      <c r="B31" s="261"/>
      <c r="C31" s="261"/>
      <c r="D31" s="261"/>
      <c r="E31" s="261"/>
      <c r="F31" s="261"/>
      <c r="G31" s="261"/>
      <c r="H31" s="261"/>
      <c r="I31" s="261"/>
      <c r="J31" s="34">
        <f>J24+J30</f>
        <v>99992.554000000004</v>
      </c>
      <c r="K31" s="34">
        <f>K24+K30</f>
        <v>399970.21600000001</v>
      </c>
      <c r="L31" s="34">
        <f>L24+L30</f>
        <v>349973.93899999995</v>
      </c>
      <c r="M31" s="34">
        <f>M24+M30</f>
        <v>149988.83100000001</v>
      </c>
      <c r="N31" s="34">
        <f>N24+N30</f>
        <v>999925.54</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5264.44</v>
      </c>
      <c r="L45" s="34"/>
      <c r="M45" s="34"/>
      <c r="N45" s="34">
        <f>ROUND($C$3*P45,2)</f>
        <v>5264.44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1458.97</v>
      </c>
      <c r="L47" s="34"/>
      <c r="M47" s="34"/>
      <c r="N47" s="34">
        <f>ROUND($L$3*P47,2)</f>
        <v>1458.97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1368.2700000000004</v>
      </c>
      <c r="L48" s="34"/>
      <c r="M48" s="34"/>
      <c r="N48" s="34">
        <f>M3-SUM(N10,N21,N35)</f>
        <v>1368.2700000000004</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8091.68</v>
      </c>
      <c r="L49" s="34">
        <f>SUM(L45:L48)</f>
        <v>0</v>
      </c>
      <c r="M49" s="34">
        <f>SUM(M45:M48)</f>
        <v>0</v>
      </c>
      <c r="N49" s="34">
        <f>SUM(N45:N48)</f>
        <v>8091.68</v>
      </c>
      <c r="O49" s="8"/>
      <c r="P49" s="9"/>
    </row>
    <row r="50" spans="1:36" ht="21.95" customHeight="1" x14ac:dyDescent="0.2">
      <c r="A50" s="262"/>
      <c r="B50" s="261" t="s">
        <v>60</v>
      </c>
      <c r="C50" s="261"/>
      <c r="D50" s="261"/>
      <c r="E50" s="261"/>
      <c r="F50" s="261"/>
      <c r="G50" s="261"/>
      <c r="H50" s="261"/>
      <c r="I50" s="261"/>
      <c r="J50" s="34">
        <f>J49</f>
        <v>0</v>
      </c>
      <c r="K50" s="34">
        <f t="shared" ref="K50:N50" si="15">K49</f>
        <v>8091.68</v>
      </c>
      <c r="L50" s="34">
        <f t="shared" si="15"/>
        <v>0</v>
      </c>
      <c r="M50" s="34">
        <f t="shared" si="15"/>
        <v>0</v>
      </c>
      <c r="N50" s="34">
        <f t="shared" si="15"/>
        <v>8091.68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6258.85</v>
      </c>
      <c r="L51" s="34"/>
      <c r="M51" s="34"/>
      <c r="N51" s="34">
        <f>ROUND($C$4*P51,2)</f>
        <v>6258.85</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1734.56</v>
      </c>
      <c r="L53" s="34"/>
      <c r="M53" s="34"/>
      <c r="N53" s="34">
        <f>ROUND($L$4*P53,2)</f>
        <v>1734.56</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1626.7299999999996</v>
      </c>
      <c r="L54" s="34"/>
      <c r="M54" s="34"/>
      <c r="N54" s="34">
        <f>M4-SUM(N15,N27,N41)</f>
        <v>1626.7299999999996</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9620.14</v>
      </c>
      <c r="L55" s="34">
        <f>SUM(L51:L54)</f>
        <v>0</v>
      </c>
      <c r="M55" s="34">
        <f>SUM(M51:M54)</f>
        <v>0</v>
      </c>
      <c r="N55" s="34">
        <f>SUM(N51:N54)</f>
        <v>9620.14</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9620.14</v>
      </c>
      <c r="L56" s="34">
        <f t="shared" si="17"/>
        <v>0</v>
      </c>
      <c r="M56" s="34">
        <f t="shared" si="17"/>
        <v>0</v>
      </c>
      <c r="N56" s="34">
        <f t="shared" si="17"/>
        <v>9620.14</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17711.82</v>
      </c>
      <c r="L57" s="34">
        <f>L50+L56</f>
        <v>0</v>
      </c>
      <c r="M57" s="34">
        <f>M50+M56</f>
        <v>0</v>
      </c>
      <c r="N57" s="34">
        <f>N50+N56</f>
        <v>17711.82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69.319999999999993</v>
      </c>
      <c r="L59" s="34"/>
      <c r="M59" s="34"/>
      <c r="N59" s="34">
        <f>D3</f>
        <v>69.319999999999993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493.39</v>
      </c>
      <c r="L60" s="34"/>
      <c r="M60" s="34"/>
      <c r="N60" s="34">
        <f>E3</f>
        <v>493.39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714.98</v>
      </c>
      <c r="L61" s="34"/>
      <c r="M61" s="34"/>
      <c r="N61" s="34">
        <f>G3-SUM(N9,N20,N33,N46)</f>
        <v>714.98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314.66000000000003</v>
      </c>
      <c r="L62" s="34"/>
      <c r="M62" s="34"/>
      <c r="N62" s="34">
        <f>H3</f>
        <v>314.66000000000003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4051.57</v>
      </c>
      <c r="L63" s="34"/>
      <c r="M63" s="34"/>
      <c r="N63" s="34">
        <f>I3</f>
        <v>4051.57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238.2</v>
      </c>
      <c r="L64" s="34"/>
      <c r="M64" s="34"/>
      <c r="N64" s="34">
        <f>J3</f>
        <v>238.2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223.52</v>
      </c>
      <c r="L66" s="34"/>
      <c r="M66" s="34"/>
      <c r="N66" s="34">
        <f>K3</f>
        <v>223.52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6105.64</v>
      </c>
      <c r="L68" s="34">
        <f>SUM(L58:L67)</f>
        <v>0</v>
      </c>
      <c r="M68" s="34">
        <f>SUM(M58:M67)</f>
        <v>0</v>
      </c>
      <c r="N68" s="34">
        <f>SUM(N58:N67)</f>
        <v>6105.64</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6105.64</v>
      </c>
      <c r="L69" s="34">
        <f t="shared" si="20"/>
        <v>0</v>
      </c>
      <c r="M69" s="34">
        <f t="shared" si="20"/>
        <v>0</v>
      </c>
      <c r="N69" s="34">
        <f t="shared" si="20"/>
        <v>6105.64</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82.41</v>
      </c>
      <c r="L71" s="34"/>
      <c r="M71" s="34"/>
      <c r="N71" s="34">
        <f>D4</f>
        <v>82.41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586.58000000000004</v>
      </c>
      <c r="L72" s="34"/>
      <c r="M72" s="34"/>
      <c r="N72" s="34">
        <f>E4</f>
        <v>586.58000000000004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850.03</v>
      </c>
      <c r="L73" s="34"/>
      <c r="M73" s="34"/>
      <c r="N73" s="34">
        <f>G4-SUM(N14,N26,N39,N52)</f>
        <v>850.03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374.1</v>
      </c>
      <c r="L74" s="34"/>
      <c r="M74" s="34"/>
      <c r="N74" s="34">
        <f>H4</f>
        <v>374.1</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4816.88</v>
      </c>
      <c r="L75" s="34"/>
      <c r="M75" s="34"/>
      <c r="N75" s="34">
        <f>I4</f>
        <v>4816.88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283.19</v>
      </c>
      <c r="L76" s="34"/>
      <c r="M76" s="34"/>
      <c r="N76" s="34">
        <f>J4</f>
        <v>283.19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265.74</v>
      </c>
      <c r="L78" s="34"/>
      <c r="M78" s="34"/>
      <c r="N78" s="34">
        <f>K4</f>
        <v>265.74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7258.9299999999994</v>
      </c>
      <c r="L80" s="34">
        <f>SUM(L70:L79)</f>
        <v>0</v>
      </c>
      <c r="M80" s="34">
        <f>SUM(M70:M79)</f>
        <v>0</v>
      </c>
      <c r="N80" s="34">
        <f>SUM(N70:N79)</f>
        <v>7258.9299999999994</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7258.9299999999994</v>
      </c>
      <c r="L81" s="34">
        <f t="shared" si="23"/>
        <v>0</v>
      </c>
      <c r="M81" s="34">
        <f t="shared" si="23"/>
        <v>0</v>
      </c>
      <c r="N81" s="34">
        <f t="shared" si="23"/>
        <v>7258.9299999999994</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13364.57</v>
      </c>
      <c r="L82" s="34">
        <f>L69+L81</f>
        <v>0</v>
      </c>
      <c r="M82" s="34">
        <f>M69+M81</f>
        <v>0</v>
      </c>
      <c r="N82" s="34">
        <f>N69+N81</f>
        <v>13364.57</v>
      </c>
      <c r="O82" s="8"/>
      <c r="R82" s="14"/>
      <c r="Z82" s="15"/>
      <c r="AJ82" s="16"/>
    </row>
    <row r="83" spans="1:36" s="31" customFormat="1" ht="21.95" customHeight="1" x14ac:dyDescent="0.2">
      <c r="A83" s="275" t="s">
        <v>82</v>
      </c>
      <c r="B83" s="275"/>
      <c r="C83" s="275"/>
      <c r="D83" s="275"/>
      <c r="E83" s="275"/>
      <c r="F83" s="275"/>
      <c r="G83" s="275"/>
      <c r="H83" s="275"/>
      <c r="I83" s="275"/>
      <c r="J83" s="35">
        <f>J18+J31+J44+J57+J82</f>
        <v>99992.554000000004</v>
      </c>
      <c r="K83" s="35">
        <f>K18+K31+K44+K57+K82</f>
        <v>431046.60600000003</v>
      </c>
      <c r="L83" s="35">
        <f>L18+L31+L44+L57+L82</f>
        <v>349973.93899999995</v>
      </c>
      <c r="M83" s="35">
        <f>M18+M31+M44+M57+M82</f>
        <v>149988.83100000001</v>
      </c>
      <c r="N83" s="38">
        <f>N18+N31+N44+N57+N82</f>
        <v>1031001.9299999999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35B5F86-3393-4142-A44B-33E69581ADA2}">
          <x14:formula1>
            <xm:f>'2026 COB breakdown_Kris'!$A$5:$A$103</xm:f>
          </x14:formula1>
          <xm:sqref>A3</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3D85A-6328-4317-8D3C-5781EDB1B08D}">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241</v>
      </c>
      <c r="B3" s="58" t="s">
        <v>158</v>
      </c>
      <c r="C3" s="59">
        <f>VLOOKUP($A3,COBTABLE,15, FALSE)</f>
        <v>4166.4399999999996</v>
      </c>
      <c r="D3" s="59">
        <f>VLOOKUP($A3,COBTABLE,16, FALSE)</f>
        <v>54.86</v>
      </c>
      <c r="E3" s="59">
        <f>VLOOKUP($A3,COBTABLE,17, FALSE)</f>
        <v>390.48</v>
      </c>
      <c r="F3" s="59">
        <f>VLOOKUP($A3,COBTABLE,18, FALSE)</f>
        <v>0</v>
      </c>
      <c r="G3" s="59">
        <f>VLOOKUP($A3,COBTABLE,19, FALSE)</f>
        <v>565.86</v>
      </c>
      <c r="H3" s="59">
        <f>VLOOKUP($A3,COBTABLE,20, FALSE)</f>
        <v>249.03</v>
      </c>
      <c r="I3" s="59">
        <f>VLOOKUP($A3,COBTABLE,21, FALSE)</f>
        <v>3206.54</v>
      </c>
      <c r="J3" s="59">
        <f>VLOOKUP($A3,COBTABLE,22, FALSE)</f>
        <v>188.52</v>
      </c>
      <c r="K3" s="59">
        <f>VLOOKUP($A3,COBTABLE,23, FALSE)</f>
        <v>176.9</v>
      </c>
      <c r="L3" s="59">
        <f>VLOOKUP($A3,COBTABLE,24, FALSE)</f>
        <v>1154.67</v>
      </c>
      <c r="M3" s="59">
        <f>VLOOKUP($A3,COBTABLE,25, FALSE)</f>
        <v>1082.9000000000015</v>
      </c>
      <c r="N3" s="60">
        <f>VLOOKUP($A3, countrygrant,2,FALSE)</f>
        <v>456818.18</v>
      </c>
      <c r="O3" s="92">
        <f>SUM(C3:N3)</f>
        <v>468054.38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4888.62</v>
      </c>
      <c r="D4" s="59">
        <f>VLOOKUP($A3,COBTABLE,28, FALSE)</f>
        <v>64.37</v>
      </c>
      <c r="E4" s="59">
        <f>VLOOKUP($A3,COBTABLE,29, FALSE)</f>
        <v>458.16</v>
      </c>
      <c r="F4" s="59">
        <f>VLOOKUP($A3,COBTABLE,30, FALSE)</f>
        <v>0</v>
      </c>
      <c r="G4" s="59">
        <f>VLOOKUP($A3,COBTABLE,31, FALSE)</f>
        <v>663.94</v>
      </c>
      <c r="H4" s="59">
        <f>VLOOKUP($A3,COBTABLE,32, FALSE)</f>
        <v>292.2</v>
      </c>
      <c r="I4" s="59">
        <f>VLOOKUP($A3,COBTABLE,33, FALSE)</f>
        <v>3762.34</v>
      </c>
      <c r="J4" s="59">
        <f>VLOOKUP($A3,COBTABLE,34, FALSE)</f>
        <v>221.19</v>
      </c>
      <c r="K4" s="59">
        <f>VLOOKUP($A3,COBTABLE,35, FALSE)</f>
        <v>207.56</v>
      </c>
      <c r="L4" s="59">
        <f>VLOOKUP($A3,COBTABLE,36, FALSE)</f>
        <v>1354.82</v>
      </c>
      <c r="M4" s="59">
        <f>VLOOKUP($A3,COBTABLE,37, FALSE)</f>
        <v>1270.5999999999985</v>
      </c>
      <c r="N4" s="60">
        <f>VLOOKUP($A3, countrygrant,3,FALSE)</f>
        <v>536000</v>
      </c>
      <c r="O4" s="92">
        <f t="shared" ref="O4" si="0">SUM(C4:N4)</f>
        <v>549183.80000000005</v>
      </c>
      <c r="P4" s="28"/>
      <c r="Q4" s="28"/>
      <c r="R4" s="28"/>
      <c r="S4" s="28"/>
      <c r="T4" s="28"/>
      <c r="U4" s="28"/>
      <c r="V4" s="28"/>
      <c r="W4" s="28"/>
      <c r="X4" s="28"/>
      <c r="Y4" s="28"/>
      <c r="Z4" s="28"/>
      <c r="AA4" s="28"/>
      <c r="AB4" s="28"/>
      <c r="AC4" s="28"/>
    </row>
    <row r="5" spans="1:36" s="53" customFormat="1" ht="12" customHeight="1" x14ac:dyDescent="0.25">
      <c r="A5" s="278"/>
      <c r="B5" s="61" t="s">
        <v>156</v>
      </c>
      <c r="C5" s="62">
        <f>SUM(C3:C4)</f>
        <v>9055.06</v>
      </c>
      <c r="D5" s="62">
        <f t="shared" ref="D5:O5" si="1">SUM(D3:D4)</f>
        <v>119.23</v>
      </c>
      <c r="E5" s="62">
        <f t="shared" si="1"/>
        <v>848.6400000000001</v>
      </c>
      <c r="F5" s="62">
        <f t="shared" si="1"/>
        <v>0</v>
      </c>
      <c r="G5" s="62">
        <f t="shared" si="1"/>
        <v>1229.8000000000002</v>
      </c>
      <c r="H5" s="62">
        <f t="shared" si="1"/>
        <v>541.23</v>
      </c>
      <c r="I5" s="62">
        <f t="shared" si="1"/>
        <v>6968.88</v>
      </c>
      <c r="J5" s="62">
        <f t="shared" si="1"/>
        <v>409.71000000000004</v>
      </c>
      <c r="K5" s="62">
        <f t="shared" si="1"/>
        <v>384.46000000000004</v>
      </c>
      <c r="L5" s="62">
        <f t="shared" si="1"/>
        <v>2509.4899999999998</v>
      </c>
      <c r="M5" s="62">
        <f t="shared" si="1"/>
        <v>2353.5</v>
      </c>
      <c r="N5" s="62">
        <f t="shared" si="1"/>
        <v>992818.17999999993</v>
      </c>
      <c r="O5" s="62">
        <f t="shared" si="1"/>
        <v>1017238.18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VLOOKUP(H28,starratio4,4,FALSE)</f>
        <v>0</v>
      </c>
    </row>
    <row r="29" spans="1:36" ht="21.95" customHeight="1" x14ac:dyDescent="0.2">
      <c r="A29" s="262"/>
      <c r="B29" s="262"/>
      <c r="C29" s="263" t="s">
        <v>31</v>
      </c>
      <c r="D29" s="263"/>
      <c r="E29" s="263"/>
      <c r="F29" s="263"/>
      <c r="G29" s="263"/>
      <c r="H29" s="263"/>
      <c r="I29" s="263"/>
      <c r="J29" s="34">
        <f>SUM(J25:J28)</f>
        <v>53600</v>
      </c>
      <c r="K29" s="34">
        <f>SUM(K25:K28)</f>
        <v>214400</v>
      </c>
      <c r="L29" s="34">
        <f>SUM(L25:L28)</f>
        <v>187600</v>
      </c>
      <c r="M29" s="34">
        <f>SUM(M25:M28)</f>
        <v>80400</v>
      </c>
      <c r="N29" s="34">
        <f>SUM(N25:N28)</f>
        <v>536000</v>
      </c>
      <c r="O29" s="8"/>
      <c r="P29" s="9"/>
    </row>
    <row r="30" spans="1:36" ht="21.95" customHeight="1" x14ac:dyDescent="0.2">
      <c r="A30" s="262"/>
      <c r="B30" s="263" t="s">
        <v>44</v>
      </c>
      <c r="C30" s="263"/>
      <c r="D30" s="263"/>
      <c r="E30" s="263"/>
      <c r="F30" s="263"/>
      <c r="G30" s="263"/>
      <c r="H30" s="263"/>
      <c r="I30" s="263"/>
      <c r="J30" s="34">
        <f>J29</f>
        <v>53600</v>
      </c>
      <c r="K30" s="34">
        <f t="shared" ref="K30:N30" si="9">K29</f>
        <v>214400</v>
      </c>
      <c r="L30" s="34">
        <f t="shared" si="9"/>
        <v>187600</v>
      </c>
      <c r="M30" s="34">
        <f t="shared" si="9"/>
        <v>80400</v>
      </c>
      <c r="N30" s="34">
        <f t="shared" si="9"/>
        <v>536000</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397127.272</v>
      </c>
      <c r="L31" s="34">
        <f>L24+L30</f>
        <v>347486.36300000001</v>
      </c>
      <c r="M31" s="34">
        <f>M24+M30</f>
        <v>148922.72700000001</v>
      </c>
      <c r="N31" s="34">
        <f>N24+N30</f>
        <v>992818.17999999993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4166.4399999999996</v>
      </c>
      <c r="L45" s="34"/>
      <c r="M45" s="34"/>
      <c r="N45" s="34">
        <f>ROUND($C$3*P45,2)</f>
        <v>4166.4399999999996</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1154.67</v>
      </c>
      <c r="L47" s="34"/>
      <c r="M47" s="34"/>
      <c r="N47" s="34">
        <f>ROUND($L$3*P47,2)</f>
        <v>1154.67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1082.9000000000015</v>
      </c>
      <c r="L48" s="34"/>
      <c r="M48" s="34"/>
      <c r="N48" s="34">
        <f>M3-SUM(N10,N21,N35)</f>
        <v>1082.9000000000015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6404.0100000000011</v>
      </c>
      <c r="L49" s="34">
        <f>SUM(L45:L48)</f>
        <v>0</v>
      </c>
      <c r="M49" s="34">
        <f>SUM(M45:M48)</f>
        <v>0</v>
      </c>
      <c r="N49" s="34">
        <f>SUM(N45:N48)</f>
        <v>6404.0100000000011</v>
      </c>
      <c r="O49" s="8"/>
      <c r="P49" s="9"/>
    </row>
    <row r="50" spans="1:36" ht="21.95" customHeight="1" x14ac:dyDescent="0.2">
      <c r="A50" s="262"/>
      <c r="B50" s="261" t="s">
        <v>60</v>
      </c>
      <c r="C50" s="261"/>
      <c r="D50" s="261"/>
      <c r="E50" s="261"/>
      <c r="F50" s="261"/>
      <c r="G50" s="261"/>
      <c r="H50" s="261"/>
      <c r="I50" s="261"/>
      <c r="J50" s="34">
        <f>J49</f>
        <v>0</v>
      </c>
      <c r="K50" s="34">
        <f t="shared" ref="K50:N50" si="15">K49</f>
        <v>6404.0100000000011</v>
      </c>
      <c r="L50" s="34">
        <f t="shared" si="15"/>
        <v>0</v>
      </c>
      <c r="M50" s="34">
        <f t="shared" si="15"/>
        <v>0</v>
      </c>
      <c r="N50" s="34">
        <f t="shared" si="15"/>
        <v>6404.0100000000011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4888.62</v>
      </c>
      <c r="L51" s="34"/>
      <c r="M51" s="34"/>
      <c r="N51" s="34">
        <f>ROUND($C$4*P51,2)</f>
        <v>4888.62</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1354.82</v>
      </c>
      <c r="L53" s="34"/>
      <c r="M53" s="34"/>
      <c r="N53" s="34">
        <f>ROUND($L$4*P53,2)</f>
        <v>1354.82</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1270.5999999999985</v>
      </c>
      <c r="L54" s="34"/>
      <c r="M54" s="34"/>
      <c r="N54" s="34">
        <f>M4-SUM(N15,N27,N41)</f>
        <v>1270.5999999999985</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7514.0399999999981</v>
      </c>
      <c r="L55" s="34">
        <f>SUM(L51:L54)</f>
        <v>0</v>
      </c>
      <c r="M55" s="34">
        <f>SUM(M51:M54)</f>
        <v>0</v>
      </c>
      <c r="N55" s="34">
        <f>SUM(N51:N54)</f>
        <v>7514.0399999999981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7514.0399999999981</v>
      </c>
      <c r="L56" s="34">
        <f t="shared" si="17"/>
        <v>0</v>
      </c>
      <c r="M56" s="34">
        <f t="shared" si="17"/>
        <v>0</v>
      </c>
      <c r="N56" s="34">
        <f t="shared" si="17"/>
        <v>7514.0399999999981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13918.05</v>
      </c>
      <c r="L57" s="34">
        <f>L50+L56</f>
        <v>0</v>
      </c>
      <c r="M57" s="34">
        <f>M50+M56</f>
        <v>0</v>
      </c>
      <c r="N57" s="34">
        <f>N50+N56</f>
        <v>13918.05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54.86</v>
      </c>
      <c r="L59" s="34"/>
      <c r="M59" s="34"/>
      <c r="N59" s="34">
        <f>D3</f>
        <v>54.86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390.48</v>
      </c>
      <c r="L60" s="34"/>
      <c r="M60" s="34"/>
      <c r="N60" s="34">
        <f>E3</f>
        <v>390.48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565.86</v>
      </c>
      <c r="L61" s="34"/>
      <c r="M61" s="34"/>
      <c r="N61" s="34">
        <f>G3-SUM(N9,N20,N33,N46)</f>
        <v>565.86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249.03</v>
      </c>
      <c r="L62" s="34"/>
      <c r="M62" s="34"/>
      <c r="N62" s="34">
        <f>H3</f>
        <v>249.03</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3206.54</v>
      </c>
      <c r="L63" s="34"/>
      <c r="M63" s="34"/>
      <c r="N63" s="34">
        <f>I3</f>
        <v>3206.54</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188.52</v>
      </c>
      <c r="L64" s="34"/>
      <c r="M64" s="34"/>
      <c r="N64" s="34">
        <f>J3</f>
        <v>188.52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176.9</v>
      </c>
      <c r="L66" s="34"/>
      <c r="M66" s="34"/>
      <c r="N66" s="34">
        <f>K3</f>
        <v>176.9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4832.1900000000005</v>
      </c>
      <c r="L68" s="34">
        <f>SUM(L58:L67)</f>
        <v>0</v>
      </c>
      <c r="M68" s="34">
        <f>SUM(M58:M67)</f>
        <v>0</v>
      </c>
      <c r="N68" s="34">
        <f>SUM(N58:N67)</f>
        <v>4832.1900000000005</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4832.1900000000005</v>
      </c>
      <c r="L69" s="34">
        <f t="shared" si="20"/>
        <v>0</v>
      </c>
      <c r="M69" s="34">
        <f t="shared" si="20"/>
        <v>0</v>
      </c>
      <c r="N69" s="34">
        <f t="shared" si="20"/>
        <v>4832.1900000000005</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64.37</v>
      </c>
      <c r="L71" s="34"/>
      <c r="M71" s="34"/>
      <c r="N71" s="34">
        <f>D4</f>
        <v>64.37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458.16</v>
      </c>
      <c r="L72" s="34"/>
      <c r="M72" s="34"/>
      <c r="N72" s="34">
        <f>E4</f>
        <v>458.16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663.94</v>
      </c>
      <c r="L73" s="34"/>
      <c r="M73" s="34"/>
      <c r="N73" s="34">
        <f>G4-SUM(N14,N26,N39,N52)</f>
        <v>663.94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292.2</v>
      </c>
      <c r="L74" s="34"/>
      <c r="M74" s="34"/>
      <c r="N74" s="34">
        <f>H4</f>
        <v>292.2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3762.34</v>
      </c>
      <c r="L75" s="34"/>
      <c r="M75" s="34"/>
      <c r="N75" s="34">
        <f>I4</f>
        <v>3762.34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221.19</v>
      </c>
      <c r="L76" s="34"/>
      <c r="M76" s="34"/>
      <c r="N76" s="34">
        <f>J4</f>
        <v>221.19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207.56</v>
      </c>
      <c r="L78" s="34"/>
      <c r="M78" s="34"/>
      <c r="N78" s="34">
        <f>K4</f>
        <v>207.56</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5669.76</v>
      </c>
      <c r="L80" s="34">
        <f>SUM(L70:L79)</f>
        <v>0</v>
      </c>
      <c r="M80" s="34">
        <f>SUM(M70:M79)</f>
        <v>0</v>
      </c>
      <c r="N80" s="34">
        <f>SUM(N70:N79)</f>
        <v>5669.76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5669.76</v>
      </c>
      <c r="L81" s="34">
        <f t="shared" si="23"/>
        <v>0</v>
      </c>
      <c r="M81" s="34">
        <f t="shared" si="23"/>
        <v>0</v>
      </c>
      <c r="N81" s="34">
        <f t="shared" si="23"/>
        <v>5669.76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10501.95</v>
      </c>
      <c r="L82" s="34">
        <f>L69+L81</f>
        <v>0</v>
      </c>
      <c r="M82" s="34">
        <f>M69+M81</f>
        <v>0</v>
      </c>
      <c r="N82" s="34">
        <f>N69+N81</f>
        <v>10501.95</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421547.272</v>
      </c>
      <c r="L83" s="35">
        <f>L18+L31+L44+L57+L82</f>
        <v>347486.36300000001</v>
      </c>
      <c r="M83" s="35">
        <f>M18+M31+M44+M57+M82</f>
        <v>148922.72700000001</v>
      </c>
      <c r="N83" s="38">
        <f>N18+N31+N44+N57+N82</f>
        <v>1017238.1799999999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3A61D1E-C64A-4BDF-8E7F-3FDFABCC1A05}">
          <x14:formula1>
            <xm:f>'2026 COB breakdown_Kris'!$A$5:$A$103</xm:f>
          </x14:formula1>
          <xm:sqref>A3</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59FBB-432A-4644-86AD-DD85CF12F8D1}">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242</v>
      </c>
      <c r="B3" s="58" t="s">
        <v>158</v>
      </c>
      <c r="C3" s="59">
        <f>VLOOKUP($A3,COBTABLE,15, FALSE)</f>
        <v>1706.52</v>
      </c>
      <c r="D3" s="59">
        <f>VLOOKUP($A3,COBTABLE,16, FALSE)</f>
        <v>22.47</v>
      </c>
      <c r="E3" s="59">
        <f>VLOOKUP($A3,COBTABLE,17, FALSE)</f>
        <v>159.94</v>
      </c>
      <c r="F3" s="59">
        <f>VLOOKUP($A3,COBTABLE,18, FALSE)</f>
        <v>0</v>
      </c>
      <c r="G3" s="59">
        <f>VLOOKUP($A3,COBTABLE,19, FALSE)</f>
        <v>231.77</v>
      </c>
      <c r="H3" s="59">
        <f>VLOOKUP($A3,COBTABLE,20, FALSE)</f>
        <v>102</v>
      </c>
      <c r="I3" s="59">
        <f>VLOOKUP($A3,COBTABLE,21, FALSE)</f>
        <v>1313.36</v>
      </c>
      <c r="J3" s="59">
        <f>VLOOKUP($A3,COBTABLE,22, FALSE)</f>
        <v>77.209999999999994</v>
      </c>
      <c r="K3" s="59">
        <f>VLOOKUP($A3,COBTABLE,23, FALSE)</f>
        <v>72.459999999999994</v>
      </c>
      <c r="L3" s="59">
        <f>VLOOKUP($A3,COBTABLE,24, FALSE)</f>
        <v>472.94</v>
      </c>
      <c r="M3" s="59">
        <f>VLOOKUP($A3,COBTABLE,25, FALSE)</f>
        <v>443.53000000000065</v>
      </c>
      <c r="N3" s="60">
        <f>VLOOKUP($A3, countrygrant,2,FALSE)</f>
        <v>456818.18</v>
      </c>
      <c r="O3" s="92">
        <f>SUM(C3:N3)</f>
        <v>461420.38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5005.8</v>
      </c>
      <c r="D4" s="59">
        <f>VLOOKUP($A3,COBTABLE,28, FALSE)</f>
        <v>65.91</v>
      </c>
      <c r="E4" s="59">
        <f>VLOOKUP($A3,COBTABLE,29, FALSE)</f>
        <v>469.14</v>
      </c>
      <c r="F4" s="59">
        <f>VLOOKUP($A3,COBTABLE,30, FALSE)</f>
        <v>0</v>
      </c>
      <c r="G4" s="59">
        <f>VLOOKUP($A3,COBTABLE,31, FALSE)</f>
        <v>679.85</v>
      </c>
      <c r="H4" s="59">
        <f>VLOOKUP($A3,COBTABLE,32, FALSE)</f>
        <v>299.2</v>
      </c>
      <c r="I4" s="59">
        <f>VLOOKUP($A3,COBTABLE,33, FALSE)</f>
        <v>3852.52</v>
      </c>
      <c r="J4" s="59">
        <f>VLOOKUP($A3,COBTABLE,34, FALSE)</f>
        <v>226.5</v>
      </c>
      <c r="K4" s="59">
        <f>VLOOKUP($A3,COBTABLE,35, FALSE)</f>
        <v>212.54</v>
      </c>
      <c r="L4" s="59">
        <f>VLOOKUP($A3,COBTABLE,36, FALSE)</f>
        <v>1387.29</v>
      </c>
      <c r="M4" s="59">
        <f>VLOOKUP($A3,COBTABLE,37, FALSE)</f>
        <v>1301.0499999999993</v>
      </c>
      <c r="N4" s="60">
        <f>VLOOKUP($A3, countrygrant,3,FALSE)</f>
        <v>1340000</v>
      </c>
      <c r="O4" s="92">
        <f t="shared" ref="O4" si="0">SUM(C4:N4)</f>
        <v>1353499.8</v>
      </c>
      <c r="P4" s="28"/>
      <c r="Q4" s="28"/>
      <c r="R4" s="28"/>
      <c r="S4" s="28"/>
      <c r="T4" s="28"/>
      <c r="U4" s="28"/>
      <c r="V4" s="28"/>
      <c r="W4" s="28"/>
      <c r="X4" s="28"/>
      <c r="Y4" s="28"/>
      <c r="Z4" s="28"/>
      <c r="AA4" s="28"/>
      <c r="AB4" s="28"/>
      <c r="AC4" s="28"/>
    </row>
    <row r="5" spans="1:36" s="53" customFormat="1" ht="12" customHeight="1" x14ac:dyDescent="0.25">
      <c r="A5" s="278"/>
      <c r="B5" s="61" t="s">
        <v>156</v>
      </c>
      <c r="C5" s="62">
        <f>SUM(C3:C4)</f>
        <v>6712.32</v>
      </c>
      <c r="D5" s="62">
        <f t="shared" ref="D5:O5" si="1">SUM(D3:D4)</f>
        <v>88.38</v>
      </c>
      <c r="E5" s="62">
        <f t="shared" si="1"/>
        <v>629.07999999999993</v>
      </c>
      <c r="F5" s="62">
        <f t="shared" si="1"/>
        <v>0</v>
      </c>
      <c r="G5" s="62">
        <f t="shared" si="1"/>
        <v>911.62</v>
      </c>
      <c r="H5" s="62">
        <f t="shared" si="1"/>
        <v>401.2</v>
      </c>
      <c r="I5" s="62">
        <f t="shared" si="1"/>
        <v>5165.88</v>
      </c>
      <c r="J5" s="62">
        <f t="shared" si="1"/>
        <v>303.70999999999998</v>
      </c>
      <c r="K5" s="62">
        <f t="shared" si="1"/>
        <v>285</v>
      </c>
      <c r="L5" s="62">
        <f t="shared" si="1"/>
        <v>1860.23</v>
      </c>
      <c r="M5" s="62">
        <f t="shared" si="1"/>
        <v>1744.58</v>
      </c>
      <c r="N5" s="62">
        <f t="shared" si="1"/>
        <v>1796818.18</v>
      </c>
      <c r="O5" s="62">
        <f t="shared" si="1"/>
        <v>1814920.1800000002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134000</v>
      </c>
      <c r="K28" s="34">
        <f>$N28*0.4</f>
        <v>536000</v>
      </c>
      <c r="L28" s="34">
        <f>$N28*0.35</f>
        <v>468999.99999999994</v>
      </c>
      <c r="M28" s="34">
        <f>$N28*0.15</f>
        <v>201000</v>
      </c>
      <c r="N28" s="34">
        <f>N4</f>
        <v>1340000</v>
      </c>
      <c r="O28" s="8"/>
      <c r="P28" s="9">
        <f>VLOOKUP(H28,starratio4,4,FALSE)</f>
        <v>0</v>
      </c>
    </row>
    <row r="29" spans="1:36" ht="21.95" customHeight="1" x14ac:dyDescent="0.2">
      <c r="A29" s="262"/>
      <c r="B29" s="262"/>
      <c r="C29" s="263" t="s">
        <v>31</v>
      </c>
      <c r="D29" s="263"/>
      <c r="E29" s="263"/>
      <c r="F29" s="263"/>
      <c r="G29" s="263"/>
      <c r="H29" s="263"/>
      <c r="I29" s="263"/>
      <c r="J29" s="34">
        <f>SUM(J25:J28)</f>
        <v>134000</v>
      </c>
      <c r="K29" s="34">
        <f>SUM(K25:K28)</f>
        <v>536000</v>
      </c>
      <c r="L29" s="34">
        <f>SUM(L25:L28)</f>
        <v>468999.99999999994</v>
      </c>
      <c r="M29" s="34">
        <f>SUM(M25:M28)</f>
        <v>201000</v>
      </c>
      <c r="N29" s="34">
        <f>SUM(N25:N28)</f>
        <v>1340000</v>
      </c>
      <c r="O29" s="8"/>
      <c r="P29" s="9"/>
    </row>
    <row r="30" spans="1:36" ht="21.95" customHeight="1" x14ac:dyDescent="0.2">
      <c r="A30" s="262"/>
      <c r="B30" s="263" t="s">
        <v>44</v>
      </c>
      <c r="C30" s="263"/>
      <c r="D30" s="263"/>
      <c r="E30" s="263"/>
      <c r="F30" s="263"/>
      <c r="G30" s="263"/>
      <c r="H30" s="263"/>
      <c r="I30" s="263"/>
      <c r="J30" s="34">
        <f>J29</f>
        <v>134000</v>
      </c>
      <c r="K30" s="34">
        <f t="shared" ref="K30:N30" si="9">K29</f>
        <v>536000</v>
      </c>
      <c r="L30" s="34">
        <f t="shared" si="9"/>
        <v>468999.99999999994</v>
      </c>
      <c r="M30" s="34">
        <f t="shared" si="9"/>
        <v>201000</v>
      </c>
      <c r="N30" s="34">
        <f t="shared" si="9"/>
        <v>1340000</v>
      </c>
      <c r="O30" s="8"/>
      <c r="Q30" s="10"/>
      <c r="Z30" s="11"/>
      <c r="AC30" s="12"/>
      <c r="AD30" s="13"/>
    </row>
    <row r="31" spans="1:36" ht="21.95" customHeight="1" x14ac:dyDescent="0.2">
      <c r="A31" s="261" t="s">
        <v>45</v>
      </c>
      <c r="B31" s="261"/>
      <c r="C31" s="261"/>
      <c r="D31" s="261"/>
      <c r="E31" s="261"/>
      <c r="F31" s="261"/>
      <c r="G31" s="261"/>
      <c r="H31" s="261"/>
      <c r="I31" s="261"/>
      <c r="J31" s="34">
        <f>J24+J30</f>
        <v>179681.818</v>
      </c>
      <c r="K31" s="34">
        <f>K24+K30</f>
        <v>718727.272</v>
      </c>
      <c r="L31" s="34">
        <f>L24+L30</f>
        <v>628886.3629999999</v>
      </c>
      <c r="M31" s="34">
        <f>M24+M30</f>
        <v>269522.72700000001</v>
      </c>
      <c r="N31" s="34">
        <f>N24+N30</f>
        <v>1796818.18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1706.52</v>
      </c>
      <c r="L45" s="34"/>
      <c r="M45" s="34"/>
      <c r="N45" s="34">
        <f>ROUND($C$3*P45,2)</f>
        <v>1706.52</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472.94</v>
      </c>
      <c r="L47" s="34"/>
      <c r="M47" s="34"/>
      <c r="N47" s="34">
        <f>ROUND($L$3*P47,2)</f>
        <v>472.94</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443.53000000000065</v>
      </c>
      <c r="L48" s="34"/>
      <c r="M48" s="34"/>
      <c r="N48" s="34">
        <f>M3-SUM(N10,N21,N35)</f>
        <v>443.53000000000065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2622.9900000000007</v>
      </c>
      <c r="L49" s="34">
        <f>SUM(L45:L48)</f>
        <v>0</v>
      </c>
      <c r="M49" s="34">
        <f>SUM(M45:M48)</f>
        <v>0</v>
      </c>
      <c r="N49" s="34">
        <f>SUM(N45:N48)</f>
        <v>2622.9900000000007</v>
      </c>
      <c r="O49" s="8"/>
      <c r="P49" s="9"/>
    </row>
    <row r="50" spans="1:36" ht="21.95" customHeight="1" x14ac:dyDescent="0.2">
      <c r="A50" s="262"/>
      <c r="B50" s="261" t="s">
        <v>60</v>
      </c>
      <c r="C50" s="261"/>
      <c r="D50" s="261"/>
      <c r="E50" s="261"/>
      <c r="F50" s="261"/>
      <c r="G50" s="261"/>
      <c r="H50" s="261"/>
      <c r="I50" s="261"/>
      <c r="J50" s="34">
        <f>J49</f>
        <v>0</v>
      </c>
      <c r="K50" s="34">
        <f t="shared" ref="K50:N50" si="15">K49</f>
        <v>2622.9900000000007</v>
      </c>
      <c r="L50" s="34">
        <f t="shared" si="15"/>
        <v>0</v>
      </c>
      <c r="M50" s="34">
        <f t="shared" si="15"/>
        <v>0</v>
      </c>
      <c r="N50" s="34">
        <f t="shared" si="15"/>
        <v>2622.9900000000007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5005.8</v>
      </c>
      <c r="L51" s="34"/>
      <c r="M51" s="34"/>
      <c r="N51" s="34">
        <f>ROUND($C$4*P51,2)</f>
        <v>5005.8</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1387.29</v>
      </c>
      <c r="L53" s="34"/>
      <c r="M53" s="34"/>
      <c r="N53" s="34">
        <f>ROUND($L$4*P53,2)</f>
        <v>1387.29</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1301.0499999999993</v>
      </c>
      <c r="L54" s="34"/>
      <c r="M54" s="34"/>
      <c r="N54" s="34">
        <f>M4-SUM(N15,N27,N41)</f>
        <v>1301.0499999999993</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7694.1399999999994</v>
      </c>
      <c r="L55" s="34">
        <f>SUM(L51:L54)</f>
        <v>0</v>
      </c>
      <c r="M55" s="34">
        <f>SUM(M51:M54)</f>
        <v>0</v>
      </c>
      <c r="N55" s="34">
        <f>SUM(N51:N54)</f>
        <v>7694.1399999999994</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7694.1399999999994</v>
      </c>
      <c r="L56" s="34">
        <f t="shared" si="17"/>
        <v>0</v>
      </c>
      <c r="M56" s="34">
        <f t="shared" si="17"/>
        <v>0</v>
      </c>
      <c r="N56" s="34">
        <f t="shared" si="17"/>
        <v>7694.1399999999994</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10317.130000000001</v>
      </c>
      <c r="L57" s="34">
        <f>L50+L56</f>
        <v>0</v>
      </c>
      <c r="M57" s="34">
        <f>M50+M56</f>
        <v>0</v>
      </c>
      <c r="N57" s="34">
        <f>N50+N56</f>
        <v>10317.130000000001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22.47</v>
      </c>
      <c r="L59" s="34"/>
      <c r="M59" s="34"/>
      <c r="N59" s="34">
        <f>D3</f>
        <v>22.47</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159.94</v>
      </c>
      <c r="L60" s="34"/>
      <c r="M60" s="34"/>
      <c r="N60" s="34">
        <f>E3</f>
        <v>159.94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231.77</v>
      </c>
      <c r="L61" s="34"/>
      <c r="M61" s="34"/>
      <c r="N61" s="34">
        <f>G3-SUM(N9,N20,N33,N46)</f>
        <v>231.77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102</v>
      </c>
      <c r="L62" s="34"/>
      <c r="M62" s="34"/>
      <c r="N62" s="34">
        <f>H3</f>
        <v>102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1313.36</v>
      </c>
      <c r="L63" s="34"/>
      <c r="M63" s="34"/>
      <c r="N63" s="34">
        <f>I3</f>
        <v>1313.36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77.209999999999994</v>
      </c>
      <c r="L64" s="34"/>
      <c r="M64" s="34"/>
      <c r="N64" s="34">
        <f>J3</f>
        <v>77.209999999999994</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72.459999999999994</v>
      </c>
      <c r="L66" s="34"/>
      <c r="M66" s="34"/>
      <c r="N66" s="34">
        <f>K3</f>
        <v>72.459999999999994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1979.21</v>
      </c>
      <c r="L68" s="34">
        <f>SUM(L58:L67)</f>
        <v>0</v>
      </c>
      <c r="M68" s="34">
        <f>SUM(M58:M67)</f>
        <v>0</v>
      </c>
      <c r="N68" s="34">
        <f>SUM(N58:N67)</f>
        <v>1979.21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1979.21</v>
      </c>
      <c r="L69" s="34">
        <f t="shared" si="20"/>
        <v>0</v>
      </c>
      <c r="M69" s="34">
        <f t="shared" si="20"/>
        <v>0</v>
      </c>
      <c r="N69" s="34">
        <f t="shared" si="20"/>
        <v>1979.21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65.91</v>
      </c>
      <c r="L71" s="34"/>
      <c r="M71" s="34"/>
      <c r="N71" s="34">
        <f>D4</f>
        <v>65.91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469.14</v>
      </c>
      <c r="L72" s="34"/>
      <c r="M72" s="34"/>
      <c r="N72" s="34">
        <f>E4</f>
        <v>469.14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679.85</v>
      </c>
      <c r="L73" s="34"/>
      <c r="M73" s="34"/>
      <c r="N73" s="34">
        <f>G4-SUM(N14,N26,N39,N52)</f>
        <v>679.85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299.2</v>
      </c>
      <c r="L74" s="34"/>
      <c r="M74" s="34"/>
      <c r="N74" s="34">
        <f>H4</f>
        <v>299.2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3852.52</v>
      </c>
      <c r="L75" s="34"/>
      <c r="M75" s="34"/>
      <c r="N75" s="34">
        <f>I4</f>
        <v>3852.52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226.5</v>
      </c>
      <c r="L76" s="34"/>
      <c r="M76" s="34"/>
      <c r="N76" s="34">
        <f>J4</f>
        <v>226.5</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212.54</v>
      </c>
      <c r="L78" s="34"/>
      <c r="M78" s="34"/>
      <c r="N78" s="34">
        <f>K4</f>
        <v>212.54</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5805.66</v>
      </c>
      <c r="L80" s="34">
        <f>SUM(L70:L79)</f>
        <v>0</v>
      </c>
      <c r="M80" s="34">
        <f>SUM(M70:M79)</f>
        <v>0</v>
      </c>
      <c r="N80" s="34">
        <f>SUM(N70:N79)</f>
        <v>5805.66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5805.66</v>
      </c>
      <c r="L81" s="34">
        <f t="shared" si="23"/>
        <v>0</v>
      </c>
      <c r="M81" s="34">
        <f t="shared" si="23"/>
        <v>0</v>
      </c>
      <c r="N81" s="34">
        <f t="shared" si="23"/>
        <v>5805.66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7784.87</v>
      </c>
      <c r="L82" s="34">
        <f>L69+L81</f>
        <v>0</v>
      </c>
      <c r="M82" s="34">
        <f>M69+M81</f>
        <v>0</v>
      </c>
      <c r="N82" s="34">
        <f>N69+N81</f>
        <v>7784.87</v>
      </c>
      <c r="O82" s="8"/>
      <c r="R82" s="14"/>
      <c r="Z82" s="15"/>
      <c r="AJ82" s="16"/>
    </row>
    <row r="83" spans="1:36" s="31" customFormat="1" ht="21.95" customHeight="1" x14ac:dyDescent="0.2">
      <c r="A83" s="275" t="s">
        <v>82</v>
      </c>
      <c r="B83" s="275"/>
      <c r="C83" s="275"/>
      <c r="D83" s="275"/>
      <c r="E83" s="275"/>
      <c r="F83" s="275"/>
      <c r="G83" s="275"/>
      <c r="H83" s="275"/>
      <c r="I83" s="275"/>
      <c r="J83" s="35">
        <f>J18+J31+J44+J57+J82</f>
        <v>179681.818</v>
      </c>
      <c r="K83" s="35">
        <f>K18+K31+K44+K57+K82</f>
        <v>736829.272</v>
      </c>
      <c r="L83" s="35">
        <f>L18+L31+L44+L57+L82</f>
        <v>628886.3629999999</v>
      </c>
      <c r="M83" s="35">
        <f>M18+M31+M44+M57+M82</f>
        <v>269522.72700000001</v>
      </c>
      <c r="N83" s="38">
        <f>N18+N31+N44+N57+N82</f>
        <v>1814920.18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41F4121-BB2C-418D-A180-51941685E402}">
          <x14:formula1>
            <xm:f>'2026 COB breakdown_Kris'!$A$5:$A$103</xm:f>
          </x14:formula1>
          <xm:sqref>A3</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A9133-70BC-4829-9D35-43A1F467508F}">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243</v>
      </c>
      <c r="B3" s="58" t="s">
        <v>158</v>
      </c>
      <c r="C3" s="59">
        <f>VLOOKUP($A3,COBTABLE,15, FALSE)</f>
        <v>10928.3</v>
      </c>
      <c r="D3" s="59">
        <f>VLOOKUP($A3,COBTABLE,16, FALSE)</f>
        <v>143.88999999999999</v>
      </c>
      <c r="E3" s="59">
        <f>VLOOKUP($A3,COBTABLE,17, FALSE)</f>
        <v>1024.21</v>
      </c>
      <c r="F3" s="59">
        <f>VLOOKUP($A3,COBTABLE,18, FALSE)</f>
        <v>0</v>
      </c>
      <c r="G3" s="59">
        <f>VLOOKUP($A3,COBTABLE,19, FALSE)</f>
        <v>1484.21</v>
      </c>
      <c r="H3" s="59">
        <f>VLOOKUP($A3,COBTABLE,20, FALSE)</f>
        <v>653.20000000000005</v>
      </c>
      <c r="I3" s="59">
        <f>VLOOKUP($A3,COBTABLE,21, FALSE)</f>
        <v>8410.5400000000009</v>
      </c>
      <c r="J3" s="59">
        <f>VLOOKUP($A3,COBTABLE,22, FALSE)</f>
        <v>494.46</v>
      </c>
      <c r="K3" s="59">
        <f>VLOOKUP($A3,COBTABLE,23, FALSE)</f>
        <v>464.01</v>
      </c>
      <c r="L3" s="59">
        <f>VLOOKUP($A3,COBTABLE,24, FALSE)</f>
        <v>3028.63</v>
      </c>
      <c r="M3" s="59">
        <f>VLOOKUP($A3,COBTABLE,25, FALSE)</f>
        <v>2840.3600000000042</v>
      </c>
      <c r="N3" s="60">
        <f>VLOOKUP($A3, countrygrant,2,FALSE)</f>
        <v>456818.18</v>
      </c>
      <c r="O3" s="92">
        <f>SUM(C3:N3)</f>
        <v>486289.99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10928.3</v>
      </c>
      <c r="D5" s="62">
        <f t="shared" ref="D5:O5" si="1">SUM(D3:D4)</f>
        <v>143.88999999999999</v>
      </c>
      <c r="E5" s="62">
        <f t="shared" si="1"/>
        <v>1024.21</v>
      </c>
      <c r="F5" s="62">
        <f t="shared" si="1"/>
        <v>0</v>
      </c>
      <c r="G5" s="62">
        <f t="shared" si="1"/>
        <v>1484.21</v>
      </c>
      <c r="H5" s="62">
        <f t="shared" si="1"/>
        <v>653.20000000000005</v>
      </c>
      <c r="I5" s="62">
        <f t="shared" si="1"/>
        <v>8410.5400000000009</v>
      </c>
      <c r="J5" s="62">
        <f t="shared" si="1"/>
        <v>494.46</v>
      </c>
      <c r="K5" s="62">
        <f t="shared" si="1"/>
        <v>464.01</v>
      </c>
      <c r="L5" s="62">
        <f t="shared" si="1"/>
        <v>3028.63</v>
      </c>
      <c r="M5" s="62">
        <f t="shared" si="1"/>
        <v>2840.3600000000042</v>
      </c>
      <c r="N5" s="62">
        <f t="shared" si="1"/>
        <v>456818.18</v>
      </c>
      <c r="O5" s="62">
        <f t="shared" si="1"/>
        <v>486289.99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10928.3</v>
      </c>
      <c r="L45" s="34"/>
      <c r="M45" s="34"/>
      <c r="N45" s="34">
        <f>ROUND($C$3*P45,2)</f>
        <v>10928.3</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3028.63</v>
      </c>
      <c r="L47" s="34"/>
      <c r="M47" s="34"/>
      <c r="N47" s="34">
        <f>ROUND($L$3*P47,2)</f>
        <v>3028.63</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2840.3600000000042</v>
      </c>
      <c r="L48" s="34"/>
      <c r="M48" s="34"/>
      <c r="N48" s="34">
        <f>M3-SUM(N10,N21,N35)</f>
        <v>2840.3600000000042</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16797.290000000005</v>
      </c>
      <c r="L49" s="34">
        <f>SUM(L45:L48)</f>
        <v>0</v>
      </c>
      <c r="M49" s="34">
        <f>SUM(M45:M48)</f>
        <v>0</v>
      </c>
      <c r="N49" s="34">
        <f>SUM(N45:N48)</f>
        <v>16797.290000000005</v>
      </c>
      <c r="O49" s="8"/>
      <c r="P49" s="9"/>
    </row>
    <row r="50" spans="1:36" ht="21.95" customHeight="1" x14ac:dyDescent="0.2">
      <c r="A50" s="262"/>
      <c r="B50" s="261" t="s">
        <v>60</v>
      </c>
      <c r="C50" s="261"/>
      <c r="D50" s="261"/>
      <c r="E50" s="261"/>
      <c r="F50" s="261"/>
      <c r="G50" s="261"/>
      <c r="H50" s="261"/>
      <c r="I50" s="261"/>
      <c r="J50" s="34">
        <f>J49</f>
        <v>0</v>
      </c>
      <c r="K50" s="34">
        <f t="shared" ref="K50:N50" si="15">K49</f>
        <v>16797.290000000005</v>
      </c>
      <c r="L50" s="34">
        <f t="shared" si="15"/>
        <v>0</v>
      </c>
      <c r="M50" s="34">
        <f t="shared" si="15"/>
        <v>0</v>
      </c>
      <c r="N50" s="34">
        <f t="shared" si="15"/>
        <v>16797.290000000005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16797.290000000005</v>
      </c>
      <c r="L57" s="34">
        <f>L50+L56</f>
        <v>0</v>
      </c>
      <c r="M57" s="34">
        <f>M50+M56</f>
        <v>0</v>
      </c>
      <c r="N57" s="34">
        <f>N50+N56</f>
        <v>16797.290000000005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143.88999999999999</v>
      </c>
      <c r="L59" s="34"/>
      <c r="M59" s="34"/>
      <c r="N59" s="34">
        <f>D3</f>
        <v>143.88999999999999</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1024.21</v>
      </c>
      <c r="L60" s="34"/>
      <c r="M60" s="34"/>
      <c r="N60" s="34">
        <f>E3</f>
        <v>1024.21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1484.21</v>
      </c>
      <c r="L61" s="34"/>
      <c r="M61" s="34"/>
      <c r="N61" s="34">
        <f>G3-SUM(N9,N20,N33,N46)</f>
        <v>1484.21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653.20000000000005</v>
      </c>
      <c r="L62" s="34"/>
      <c r="M62" s="34"/>
      <c r="N62" s="34">
        <f>H3</f>
        <v>653.20000000000005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8410.5400000000009</v>
      </c>
      <c r="L63" s="34"/>
      <c r="M63" s="34"/>
      <c r="N63" s="34">
        <f>I3</f>
        <v>8410.5400000000009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494.46</v>
      </c>
      <c r="L64" s="34"/>
      <c r="M64" s="34"/>
      <c r="N64" s="34">
        <f>J3</f>
        <v>494.46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464.01</v>
      </c>
      <c r="L66" s="34"/>
      <c r="M66" s="34"/>
      <c r="N66" s="34">
        <f>K3</f>
        <v>464.01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12674.52</v>
      </c>
      <c r="L68" s="34">
        <f>SUM(L58:L67)</f>
        <v>0</v>
      </c>
      <c r="M68" s="34">
        <f>SUM(M58:M67)</f>
        <v>0</v>
      </c>
      <c r="N68" s="34">
        <f>SUM(N58:N67)</f>
        <v>12674.52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12674.52</v>
      </c>
      <c r="L69" s="34">
        <f t="shared" si="20"/>
        <v>0</v>
      </c>
      <c r="M69" s="34">
        <f t="shared" si="20"/>
        <v>0</v>
      </c>
      <c r="N69" s="34">
        <f t="shared" si="20"/>
        <v>12674.52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12674.52</v>
      </c>
      <c r="L82" s="34">
        <f>L69+L81</f>
        <v>0</v>
      </c>
      <c r="M82" s="34">
        <f>M69+M81</f>
        <v>0</v>
      </c>
      <c r="N82" s="34">
        <f>N69+N81</f>
        <v>12674.52</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212199.08199999999</v>
      </c>
      <c r="L83" s="35">
        <f>L18+L31+L44+L57+L82</f>
        <v>159886.36299999998</v>
      </c>
      <c r="M83" s="35">
        <f>M18+M31+M44+M57+M82</f>
        <v>68522.726999999999</v>
      </c>
      <c r="N83" s="38">
        <f>N18+N31+N44+N57+N82</f>
        <v>486289.99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ACE1D6E-A162-40CB-9542-18553A654FD4}">
          <x14:formula1>
            <xm:f>'2026 COB breakdown_Kris'!$A$5:$A$103</xm:f>
          </x14:formula1>
          <xm:sqref>A3</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30A9C-D644-4556-8F97-C7891B3B2C12}">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244</v>
      </c>
      <c r="B3" s="58" t="s">
        <v>158</v>
      </c>
      <c r="C3" s="59">
        <f>VLOOKUP($A3,COBTABLE,15, FALSE)</f>
        <v>2298.7600000000002</v>
      </c>
      <c r="D3" s="59">
        <f>VLOOKUP($A3,COBTABLE,16, FALSE)</f>
        <v>30.27</v>
      </c>
      <c r="E3" s="59">
        <f>VLOOKUP($A3,COBTABLE,17, FALSE)</f>
        <v>215.44</v>
      </c>
      <c r="F3" s="59">
        <f>VLOOKUP($A3,COBTABLE,18, FALSE)</f>
        <v>0</v>
      </c>
      <c r="G3" s="59">
        <f>VLOOKUP($A3,COBTABLE,19, FALSE)</f>
        <v>312.2</v>
      </c>
      <c r="H3" s="59">
        <f>VLOOKUP($A3,COBTABLE,20, FALSE)</f>
        <v>137.4</v>
      </c>
      <c r="I3" s="59">
        <f>VLOOKUP($A3,COBTABLE,21, FALSE)</f>
        <v>1769.15</v>
      </c>
      <c r="J3" s="59">
        <f>VLOOKUP($A3,COBTABLE,22, FALSE)</f>
        <v>104.01</v>
      </c>
      <c r="K3" s="59">
        <f>VLOOKUP($A3,COBTABLE,23, FALSE)</f>
        <v>97.6</v>
      </c>
      <c r="L3" s="59">
        <f>VLOOKUP($A3,COBTABLE,24, FALSE)</f>
        <v>637.07000000000005</v>
      </c>
      <c r="M3" s="59">
        <f>VLOOKUP($A3,COBTABLE,25, FALSE)</f>
        <v>597.47000000000025</v>
      </c>
      <c r="N3" s="60">
        <f>VLOOKUP($A3, countrygrant,2,FALSE)</f>
        <v>456818.18</v>
      </c>
      <c r="O3" s="92">
        <f>SUM(C3:N3)</f>
        <v>463017.55</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3233.28</v>
      </c>
      <c r="D4" s="59">
        <f>VLOOKUP($A3,COBTABLE,28, FALSE)</f>
        <v>42.57</v>
      </c>
      <c r="E4" s="59">
        <f>VLOOKUP($A3,COBTABLE,29, FALSE)</f>
        <v>303.02</v>
      </c>
      <c r="F4" s="59">
        <f>VLOOKUP($A3,COBTABLE,30, FALSE)</f>
        <v>0</v>
      </c>
      <c r="G4" s="59">
        <f>VLOOKUP($A3,COBTABLE,31, FALSE)</f>
        <v>439.12</v>
      </c>
      <c r="H4" s="59">
        <f>VLOOKUP($A3,COBTABLE,32, FALSE)</f>
        <v>193.26</v>
      </c>
      <c r="I4" s="59">
        <f>VLOOKUP($A3,COBTABLE,33, FALSE)</f>
        <v>2488.37</v>
      </c>
      <c r="J4" s="59">
        <f>VLOOKUP($A3,COBTABLE,34, FALSE)</f>
        <v>146.30000000000001</v>
      </c>
      <c r="K4" s="59">
        <f>VLOOKUP($A3,COBTABLE,35, FALSE)</f>
        <v>137.28</v>
      </c>
      <c r="L4" s="59">
        <f>VLOOKUP($A3,COBTABLE,36, FALSE)</f>
        <v>896.06</v>
      </c>
      <c r="M4" s="59">
        <f>VLOOKUP($A3,COBTABLE,37, FALSE)</f>
        <v>840.36999999999898</v>
      </c>
      <c r="N4" s="60">
        <f>VLOOKUP($A3, countrygrant,3,FALSE)</f>
        <v>642530</v>
      </c>
      <c r="O4" s="92">
        <f t="shared" ref="O4" si="0">SUM(C4:N4)</f>
        <v>651249.63</v>
      </c>
      <c r="P4" s="28"/>
      <c r="Q4" s="28"/>
      <c r="R4" s="28"/>
      <c r="S4" s="28"/>
      <c r="T4" s="28"/>
      <c r="U4" s="28"/>
      <c r="V4" s="28"/>
      <c r="W4" s="28"/>
      <c r="X4" s="28"/>
      <c r="Y4" s="28"/>
      <c r="Z4" s="28"/>
      <c r="AA4" s="28"/>
      <c r="AB4" s="28"/>
      <c r="AC4" s="28"/>
    </row>
    <row r="5" spans="1:36" s="53" customFormat="1" ht="12" customHeight="1" x14ac:dyDescent="0.25">
      <c r="A5" s="278"/>
      <c r="B5" s="61" t="s">
        <v>156</v>
      </c>
      <c r="C5" s="62">
        <f>SUM(C3:C4)</f>
        <v>5532.0400000000009</v>
      </c>
      <c r="D5" s="62">
        <f t="shared" ref="D5:O5" si="1">SUM(D3:D4)</f>
        <v>72.84</v>
      </c>
      <c r="E5" s="62">
        <f t="shared" si="1"/>
        <v>518.46</v>
      </c>
      <c r="F5" s="62">
        <f t="shared" si="1"/>
        <v>0</v>
      </c>
      <c r="G5" s="62">
        <f t="shared" si="1"/>
        <v>751.31999999999994</v>
      </c>
      <c r="H5" s="62">
        <f t="shared" si="1"/>
        <v>330.65999999999997</v>
      </c>
      <c r="I5" s="62">
        <f t="shared" si="1"/>
        <v>4257.5200000000004</v>
      </c>
      <c r="J5" s="62">
        <f t="shared" si="1"/>
        <v>250.31</v>
      </c>
      <c r="K5" s="62">
        <f t="shared" si="1"/>
        <v>234.88</v>
      </c>
      <c r="L5" s="62">
        <f t="shared" si="1"/>
        <v>1533.13</v>
      </c>
      <c r="M5" s="62">
        <f t="shared" si="1"/>
        <v>1437.8399999999992</v>
      </c>
      <c r="N5" s="62">
        <f t="shared" si="1"/>
        <v>1099348.18</v>
      </c>
      <c r="O5" s="62">
        <f t="shared" si="1"/>
        <v>1114267.18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64253</v>
      </c>
      <c r="K28" s="34">
        <f>$N28*0.4</f>
        <v>257012</v>
      </c>
      <c r="L28" s="34">
        <f>$N28*0.35</f>
        <v>224885.5</v>
      </c>
      <c r="M28" s="34">
        <f>$N28*0.15</f>
        <v>96379.5</v>
      </c>
      <c r="N28" s="34">
        <f>N4</f>
        <v>642530</v>
      </c>
      <c r="O28" s="8"/>
      <c r="P28" s="9">
        <f>VLOOKUP(H28,starratio4,4,FALSE)</f>
        <v>0</v>
      </c>
    </row>
    <row r="29" spans="1:36" ht="21.95" customHeight="1" x14ac:dyDescent="0.2">
      <c r="A29" s="262"/>
      <c r="B29" s="262"/>
      <c r="C29" s="263" t="s">
        <v>31</v>
      </c>
      <c r="D29" s="263"/>
      <c r="E29" s="263"/>
      <c r="F29" s="263"/>
      <c r="G29" s="263"/>
      <c r="H29" s="263"/>
      <c r="I29" s="263"/>
      <c r="J29" s="34">
        <f>SUM(J25:J28)</f>
        <v>64253</v>
      </c>
      <c r="K29" s="34">
        <f>SUM(K25:K28)</f>
        <v>257012</v>
      </c>
      <c r="L29" s="34">
        <f>SUM(L25:L28)</f>
        <v>224885.5</v>
      </c>
      <c r="M29" s="34">
        <f>SUM(M25:M28)</f>
        <v>96379.5</v>
      </c>
      <c r="N29" s="34">
        <f>SUM(N25:N28)</f>
        <v>642530</v>
      </c>
      <c r="O29" s="8"/>
      <c r="P29" s="9"/>
    </row>
    <row r="30" spans="1:36" ht="21.95" customHeight="1" x14ac:dyDescent="0.2">
      <c r="A30" s="262"/>
      <c r="B30" s="263" t="s">
        <v>44</v>
      </c>
      <c r="C30" s="263"/>
      <c r="D30" s="263"/>
      <c r="E30" s="263"/>
      <c r="F30" s="263"/>
      <c r="G30" s="263"/>
      <c r="H30" s="263"/>
      <c r="I30" s="263"/>
      <c r="J30" s="34">
        <f>J29</f>
        <v>64253</v>
      </c>
      <c r="K30" s="34">
        <f t="shared" ref="K30:N30" si="9">K29</f>
        <v>257012</v>
      </c>
      <c r="L30" s="34">
        <f t="shared" si="9"/>
        <v>224885.5</v>
      </c>
      <c r="M30" s="34">
        <f t="shared" si="9"/>
        <v>96379.5</v>
      </c>
      <c r="N30" s="34">
        <f t="shared" si="9"/>
        <v>642530</v>
      </c>
      <c r="O30" s="8"/>
      <c r="Q30" s="10"/>
      <c r="Z30" s="11"/>
      <c r="AC30" s="12"/>
      <c r="AD30" s="13"/>
    </row>
    <row r="31" spans="1:36" ht="21.95" customHeight="1" x14ac:dyDescent="0.2">
      <c r="A31" s="261" t="s">
        <v>45</v>
      </c>
      <c r="B31" s="261"/>
      <c r="C31" s="261"/>
      <c r="D31" s="261"/>
      <c r="E31" s="261"/>
      <c r="F31" s="261"/>
      <c r="G31" s="261"/>
      <c r="H31" s="261"/>
      <c r="I31" s="261"/>
      <c r="J31" s="34">
        <f>J24+J30</f>
        <v>109934.818</v>
      </c>
      <c r="K31" s="34">
        <f>K24+K30</f>
        <v>439739.272</v>
      </c>
      <c r="L31" s="34">
        <f>L24+L30</f>
        <v>384771.86300000001</v>
      </c>
      <c r="M31" s="34">
        <f>M24+M30</f>
        <v>164902.22700000001</v>
      </c>
      <c r="N31" s="34">
        <f>N24+N30</f>
        <v>1099348.18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2298.7600000000002</v>
      </c>
      <c r="L45" s="34"/>
      <c r="M45" s="34"/>
      <c r="N45" s="34">
        <f>ROUND($C$3*P45,2)</f>
        <v>2298.7600000000002</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637.07000000000005</v>
      </c>
      <c r="L47" s="34"/>
      <c r="M47" s="34"/>
      <c r="N47" s="34">
        <f>ROUND($L$3*P47,2)</f>
        <v>637.07000000000005</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597.47000000000025</v>
      </c>
      <c r="L48" s="34"/>
      <c r="M48" s="34"/>
      <c r="N48" s="34">
        <f>M3-SUM(N10,N21,N35)</f>
        <v>597.47000000000025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3533.3000000000006</v>
      </c>
      <c r="L49" s="34">
        <f>SUM(L45:L48)</f>
        <v>0</v>
      </c>
      <c r="M49" s="34">
        <f>SUM(M45:M48)</f>
        <v>0</v>
      </c>
      <c r="N49" s="34">
        <f>SUM(N45:N48)</f>
        <v>3533.3000000000006</v>
      </c>
      <c r="O49" s="8"/>
      <c r="P49" s="9"/>
    </row>
    <row r="50" spans="1:36" ht="21.95" customHeight="1" x14ac:dyDescent="0.2">
      <c r="A50" s="262"/>
      <c r="B50" s="261" t="s">
        <v>60</v>
      </c>
      <c r="C50" s="261"/>
      <c r="D50" s="261"/>
      <c r="E50" s="261"/>
      <c r="F50" s="261"/>
      <c r="G50" s="261"/>
      <c r="H50" s="261"/>
      <c r="I50" s="261"/>
      <c r="J50" s="34">
        <f>J49</f>
        <v>0</v>
      </c>
      <c r="K50" s="34">
        <f t="shared" ref="K50:N50" si="15">K49</f>
        <v>3533.3000000000006</v>
      </c>
      <c r="L50" s="34">
        <f t="shared" si="15"/>
        <v>0</v>
      </c>
      <c r="M50" s="34">
        <f t="shared" si="15"/>
        <v>0</v>
      </c>
      <c r="N50" s="34">
        <f t="shared" si="15"/>
        <v>3533.3000000000006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3233.28</v>
      </c>
      <c r="L51" s="34"/>
      <c r="M51" s="34"/>
      <c r="N51" s="34">
        <f>ROUND($C$4*P51,2)</f>
        <v>3233.28</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896.06</v>
      </c>
      <c r="L53" s="34"/>
      <c r="M53" s="34"/>
      <c r="N53" s="34">
        <f>ROUND($L$4*P53,2)</f>
        <v>896.06</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840.36999999999898</v>
      </c>
      <c r="L54" s="34"/>
      <c r="M54" s="34"/>
      <c r="N54" s="34">
        <f>M4-SUM(N15,N27,N41)</f>
        <v>840.36999999999898</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4969.7099999999991</v>
      </c>
      <c r="L55" s="34">
        <f>SUM(L51:L54)</f>
        <v>0</v>
      </c>
      <c r="M55" s="34">
        <f>SUM(M51:M54)</f>
        <v>0</v>
      </c>
      <c r="N55" s="34">
        <f>SUM(N51:N54)</f>
        <v>4969.7099999999991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4969.7099999999991</v>
      </c>
      <c r="L56" s="34">
        <f t="shared" si="17"/>
        <v>0</v>
      </c>
      <c r="M56" s="34">
        <f t="shared" si="17"/>
        <v>0</v>
      </c>
      <c r="N56" s="34">
        <f t="shared" si="17"/>
        <v>4969.7099999999991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8503.01</v>
      </c>
      <c r="L57" s="34">
        <f>L50+L56</f>
        <v>0</v>
      </c>
      <c r="M57" s="34">
        <f>M50+M56</f>
        <v>0</v>
      </c>
      <c r="N57" s="34">
        <f>N50+N56</f>
        <v>8503.01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30.27</v>
      </c>
      <c r="L59" s="34"/>
      <c r="M59" s="34"/>
      <c r="N59" s="34">
        <f>D3</f>
        <v>30.27</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215.44</v>
      </c>
      <c r="L60" s="34"/>
      <c r="M60" s="34"/>
      <c r="N60" s="34">
        <f>E3</f>
        <v>215.44</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312.2</v>
      </c>
      <c r="L61" s="34"/>
      <c r="M61" s="34"/>
      <c r="N61" s="34">
        <f>G3-SUM(N9,N20,N33,N46)</f>
        <v>312.2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137.4</v>
      </c>
      <c r="L62" s="34"/>
      <c r="M62" s="34"/>
      <c r="N62" s="34">
        <f>H3</f>
        <v>137.4</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1769.15</v>
      </c>
      <c r="L63" s="34"/>
      <c r="M63" s="34"/>
      <c r="N63" s="34">
        <f>I3</f>
        <v>1769.15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104.01</v>
      </c>
      <c r="L64" s="34"/>
      <c r="M64" s="34"/>
      <c r="N64" s="34">
        <f>J3</f>
        <v>104.01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97.6</v>
      </c>
      <c r="L66" s="34"/>
      <c r="M66" s="34"/>
      <c r="N66" s="34">
        <f>K3</f>
        <v>97.6</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2666.07</v>
      </c>
      <c r="L68" s="34">
        <f>SUM(L58:L67)</f>
        <v>0</v>
      </c>
      <c r="M68" s="34">
        <f>SUM(M58:M67)</f>
        <v>0</v>
      </c>
      <c r="N68" s="34">
        <f>SUM(N58:N67)</f>
        <v>2666.07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2666.07</v>
      </c>
      <c r="L69" s="34">
        <f t="shared" si="20"/>
        <v>0</v>
      </c>
      <c r="M69" s="34">
        <f t="shared" si="20"/>
        <v>0</v>
      </c>
      <c r="N69" s="34">
        <f t="shared" si="20"/>
        <v>2666.07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42.57</v>
      </c>
      <c r="L71" s="34"/>
      <c r="M71" s="34"/>
      <c r="N71" s="34">
        <f>D4</f>
        <v>42.57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303.02</v>
      </c>
      <c r="L72" s="34"/>
      <c r="M72" s="34"/>
      <c r="N72" s="34">
        <f>E4</f>
        <v>303.02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439.12</v>
      </c>
      <c r="L73" s="34"/>
      <c r="M73" s="34"/>
      <c r="N73" s="34">
        <f>G4-SUM(N14,N26,N39,N52)</f>
        <v>439.12</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193.26</v>
      </c>
      <c r="L74" s="34"/>
      <c r="M74" s="34"/>
      <c r="N74" s="34">
        <f>H4</f>
        <v>193.26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2488.37</v>
      </c>
      <c r="L75" s="34"/>
      <c r="M75" s="34"/>
      <c r="N75" s="34">
        <f>I4</f>
        <v>2488.37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146.30000000000001</v>
      </c>
      <c r="L76" s="34"/>
      <c r="M76" s="34"/>
      <c r="N76" s="34">
        <f>J4</f>
        <v>146.30000000000001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137.28</v>
      </c>
      <c r="L78" s="34"/>
      <c r="M78" s="34"/>
      <c r="N78" s="34">
        <f>K4</f>
        <v>137.28</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3749.9200000000005</v>
      </c>
      <c r="L80" s="34">
        <f>SUM(L70:L79)</f>
        <v>0</v>
      </c>
      <c r="M80" s="34">
        <f>SUM(M70:M79)</f>
        <v>0</v>
      </c>
      <c r="N80" s="34">
        <f>SUM(N70:N79)</f>
        <v>3749.9200000000005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3749.9200000000005</v>
      </c>
      <c r="L81" s="34">
        <f t="shared" si="23"/>
        <v>0</v>
      </c>
      <c r="M81" s="34">
        <f t="shared" si="23"/>
        <v>0</v>
      </c>
      <c r="N81" s="34">
        <f t="shared" si="23"/>
        <v>3749.9200000000005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6415.9900000000007</v>
      </c>
      <c r="L82" s="34">
        <f>L69+L81</f>
        <v>0</v>
      </c>
      <c r="M82" s="34">
        <f>M69+M81</f>
        <v>0</v>
      </c>
      <c r="N82" s="34">
        <f>N69+N81</f>
        <v>6415.9900000000007</v>
      </c>
      <c r="O82" s="8"/>
      <c r="R82" s="14"/>
      <c r="Z82" s="15"/>
      <c r="AJ82" s="16"/>
    </row>
    <row r="83" spans="1:36" s="31" customFormat="1" ht="21.95" customHeight="1" x14ac:dyDescent="0.2">
      <c r="A83" s="275" t="s">
        <v>82</v>
      </c>
      <c r="B83" s="275"/>
      <c r="C83" s="275"/>
      <c r="D83" s="275"/>
      <c r="E83" s="275"/>
      <c r="F83" s="275"/>
      <c r="G83" s="275"/>
      <c r="H83" s="275"/>
      <c r="I83" s="275"/>
      <c r="J83" s="35">
        <f>J18+J31+J44+J57+J82</f>
        <v>109934.818</v>
      </c>
      <c r="K83" s="35">
        <f>K18+K31+K44+K57+K82</f>
        <v>454658.272</v>
      </c>
      <c r="L83" s="35">
        <f>L18+L31+L44+L57+L82</f>
        <v>384771.86300000001</v>
      </c>
      <c r="M83" s="35">
        <f>M18+M31+M44+M57+M82</f>
        <v>164902.22700000001</v>
      </c>
      <c r="N83" s="38">
        <f>N18+N31+N44+N57+N82</f>
        <v>1114267.18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29567A-E5F1-407D-B949-5B57CBF135D4}">
          <x14:formula1>
            <xm:f>'2026 COB breakdown_Kris'!$A$5:$A$103</xm:f>
          </x14:formula1>
          <xm:sqref>A3</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6CB1A-4D6A-4CB6-817B-10FAA2B53988}">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245</v>
      </c>
      <c r="B3" s="58" t="s">
        <v>158</v>
      </c>
      <c r="C3" s="59">
        <f>VLOOKUP($A3,COBTABLE,15, FALSE)</f>
        <v>4999.95</v>
      </c>
      <c r="D3" s="59">
        <f>VLOOKUP($A3,COBTABLE,16, FALSE)</f>
        <v>65.83</v>
      </c>
      <c r="E3" s="59">
        <f>VLOOKUP($A3,COBTABLE,17, FALSE)</f>
        <v>468.6</v>
      </c>
      <c r="F3" s="59">
        <f>VLOOKUP($A3,COBTABLE,18, FALSE)</f>
        <v>0</v>
      </c>
      <c r="G3" s="59">
        <f>VLOOKUP($A3,COBTABLE,19, FALSE)</f>
        <v>679.06</v>
      </c>
      <c r="H3" s="59">
        <f>VLOOKUP($A3,COBTABLE,20, FALSE)</f>
        <v>298.85000000000002</v>
      </c>
      <c r="I3" s="59">
        <f>VLOOKUP($A3,COBTABLE,21, FALSE)</f>
        <v>3848.02</v>
      </c>
      <c r="J3" s="59">
        <f>VLOOKUP($A3,COBTABLE,22, FALSE)</f>
        <v>226.23</v>
      </c>
      <c r="K3" s="59">
        <f>VLOOKUP($A3,COBTABLE,23, FALSE)</f>
        <v>212.29</v>
      </c>
      <c r="L3" s="59">
        <f>VLOOKUP($A3,COBTABLE,24, FALSE)</f>
        <v>1385.67</v>
      </c>
      <c r="M3" s="59">
        <f>VLOOKUP($A3,COBTABLE,25, FALSE)</f>
        <v>1299.5399999999991</v>
      </c>
      <c r="N3" s="60">
        <f>VLOOKUP($A3, countrygrant,2,FALSE)</f>
        <v>456818.18</v>
      </c>
      <c r="O3" s="92">
        <f>SUM(C3:N3)</f>
        <v>470302.22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4399.96</v>
      </c>
      <c r="D4" s="59">
        <f>VLOOKUP($A3,COBTABLE,28, FALSE)</f>
        <v>57.93</v>
      </c>
      <c r="E4" s="59">
        <f>VLOOKUP($A3,COBTABLE,29, FALSE)</f>
        <v>412.36</v>
      </c>
      <c r="F4" s="59">
        <f>VLOOKUP($A3,COBTABLE,30, FALSE)</f>
        <v>0</v>
      </c>
      <c r="G4" s="59">
        <f>VLOOKUP($A3,COBTABLE,31, FALSE)</f>
        <v>597.57000000000005</v>
      </c>
      <c r="H4" s="59">
        <f>VLOOKUP($A3,COBTABLE,32, FALSE)</f>
        <v>262.99</v>
      </c>
      <c r="I4" s="59">
        <f>VLOOKUP($A3,COBTABLE,33, FALSE)</f>
        <v>3386.26</v>
      </c>
      <c r="J4" s="59">
        <f>VLOOKUP($A3,COBTABLE,34, FALSE)</f>
        <v>199.08</v>
      </c>
      <c r="K4" s="59">
        <f>VLOOKUP($A3,COBTABLE,35, FALSE)</f>
        <v>186.82</v>
      </c>
      <c r="L4" s="59">
        <f>VLOOKUP($A3,COBTABLE,36, FALSE)</f>
        <v>1219.3900000000001</v>
      </c>
      <c r="M4" s="59">
        <f>VLOOKUP($A3,COBTABLE,37, FALSE)</f>
        <v>1143.6000000000004</v>
      </c>
      <c r="N4" s="60">
        <f>VLOOKUP($A3, countrygrant,3,FALSE)</f>
        <v>402000</v>
      </c>
      <c r="O4" s="92">
        <f t="shared" ref="O4" si="0">SUM(C4:N4)</f>
        <v>413865.96</v>
      </c>
      <c r="P4" s="28"/>
      <c r="Q4" s="28"/>
      <c r="R4" s="28"/>
      <c r="S4" s="28"/>
      <c r="T4" s="28"/>
      <c r="U4" s="28"/>
      <c r="V4" s="28"/>
      <c r="W4" s="28"/>
      <c r="X4" s="28"/>
      <c r="Y4" s="28"/>
      <c r="Z4" s="28"/>
      <c r="AA4" s="28"/>
      <c r="AB4" s="28"/>
      <c r="AC4" s="28"/>
    </row>
    <row r="5" spans="1:36" s="53" customFormat="1" ht="12" customHeight="1" x14ac:dyDescent="0.25">
      <c r="A5" s="278"/>
      <c r="B5" s="61" t="s">
        <v>156</v>
      </c>
      <c r="C5" s="62">
        <f>SUM(C3:C4)</f>
        <v>9399.91</v>
      </c>
      <c r="D5" s="62">
        <f t="shared" ref="D5:O5" si="1">SUM(D3:D4)</f>
        <v>123.75999999999999</v>
      </c>
      <c r="E5" s="62">
        <f t="shared" si="1"/>
        <v>880.96</v>
      </c>
      <c r="F5" s="62">
        <f t="shared" si="1"/>
        <v>0</v>
      </c>
      <c r="G5" s="62">
        <f t="shared" si="1"/>
        <v>1276.6300000000001</v>
      </c>
      <c r="H5" s="62">
        <f t="shared" si="1"/>
        <v>561.84</v>
      </c>
      <c r="I5" s="62">
        <f t="shared" si="1"/>
        <v>7234.2800000000007</v>
      </c>
      <c r="J5" s="62">
        <f t="shared" si="1"/>
        <v>425.31</v>
      </c>
      <c r="K5" s="62">
        <f t="shared" si="1"/>
        <v>399.11</v>
      </c>
      <c r="L5" s="62">
        <f t="shared" si="1"/>
        <v>2605.0600000000004</v>
      </c>
      <c r="M5" s="62">
        <f t="shared" si="1"/>
        <v>2443.1399999999994</v>
      </c>
      <c r="N5" s="62">
        <f t="shared" si="1"/>
        <v>858818.17999999993</v>
      </c>
      <c r="O5" s="62">
        <f t="shared" si="1"/>
        <v>884168.17999999993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40200</v>
      </c>
      <c r="K28" s="34">
        <f>$N28*0.4</f>
        <v>160800</v>
      </c>
      <c r="L28" s="34">
        <f>$N28*0.35</f>
        <v>140700</v>
      </c>
      <c r="M28" s="34">
        <f>$N28*0.15</f>
        <v>60300</v>
      </c>
      <c r="N28" s="34">
        <f>N4</f>
        <v>402000</v>
      </c>
      <c r="O28" s="8"/>
      <c r="P28" s="9">
        <f>VLOOKUP(H28,starratio4,4,FALSE)</f>
        <v>0</v>
      </c>
    </row>
    <row r="29" spans="1:36" ht="21.95" customHeight="1" x14ac:dyDescent="0.2">
      <c r="A29" s="262"/>
      <c r="B29" s="262"/>
      <c r="C29" s="263" t="s">
        <v>31</v>
      </c>
      <c r="D29" s="263"/>
      <c r="E29" s="263"/>
      <c r="F29" s="263"/>
      <c r="G29" s="263"/>
      <c r="H29" s="263"/>
      <c r="I29" s="263"/>
      <c r="J29" s="34">
        <f>SUM(J25:J28)</f>
        <v>40200</v>
      </c>
      <c r="K29" s="34">
        <f>SUM(K25:K28)</f>
        <v>160800</v>
      </c>
      <c r="L29" s="34">
        <f>SUM(L25:L28)</f>
        <v>140700</v>
      </c>
      <c r="M29" s="34">
        <f>SUM(M25:M28)</f>
        <v>60300</v>
      </c>
      <c r="N29" s="34">
        <f>SUM(N25:N28)</f>
        <v>402000</v>
      </c>
      <c r="O29" s="8"/>
      <c r="P29" s="9"/>
    </row>
    <row r="30" spans="1:36" ht="21.95" customHeight="1" x14ac:dyDescent="0.2">
      <c r="A30" s="262"/>
      <c r="B30" s="263" t="s">
        <v>44</v>
      </c>
      <c r="C30" s="263"/>
      <c r="D30" s="263"/>
      <c r="E30" s="263"/>
      <c r="F30" s="263"/>
      <c r="G30" s="263"/>
      <c r="H30" s="263"/>
      <c r="I30" s="263"/>
      <c r="J30" s="34">
        <f>J29</f>
        <v>40200</v>
      </c>
      <c r="K30" s="34">
        <f t="shared" ref="K30:N30" si="9">K29</f>
        <v>160800</v>
      </c>
      <c r="L30" s="34">
        <f t="shared" si="9"/>
        <v>140700</v>
      </c>
      <c r="M30" s="34">
        <f t="shared" si="9"/>
        <v>60300</v>
      </c>
      <c r="N30" s="34">
        <f t="shared" si="9"/>
        <v>402000</v>
      </c>
      <c r="O30" s="8"/>
      <c r="Q30" s="10"/>
      <c r="Z30" s="11"/>
      <c r="AC30" s="12"/>
      <c r="AD30" s="13"/>
    </row>
    <row r="31" spans="1:36" ht="21.95" customHeight="1" x14ac:dyDescent="0.2">
      <c r="A31" s="261" t="s">
        <v>45</v>
      </c>
      <c r="B31" s="261"/>
      <c r="C31" s="261"/>
      <c r="D31" s="261"/>
      <c r="E31" s="261"/>
      <c r="F31" s="261"/>
      <c r="G31" s="261"/>
      <c r="H31" s="261"/>
      <c r="I31" s="261"/>
      <c r="J31" s="34">
        <f>J24+J30</f>
        <v>85881.817999999999</v>
      </c>
      <c r="K31" s="34">
        <f>K24+K30</f>
        <v>343527.272</v>
      </c>
      <c r="L31" s="34">
        <f>L24+L30</f>
        <v>300586.36300000001</v>
      </c>
      <c r="M31" s="34">
        <f>M24+M30</f>
        <v>128822.727</v>
      </c>
      <c r="N31" s="34">
        <f>N24+N30</f>
        <v>858818.17999999993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4999.95</v>
      </c>
      <c r="L45" s="34"/>
      <c r="M45" s="34"/>
      <c r="N45" s="34">
        <f>ROUND($C$3*P45,2)</f>
        <v>4999.95</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1385.67</v>
      </c>
      <c r="L47" s="34"/>
      <c r="M47" s="34"/>
      <c r="N47" s="34">
        <f>ROUND($L$3*P47,2)</f>
        <v>1385.67</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1299.5399999999991</v>
      </c>
      <c r="L48" s="34"/>
      <c r="M48" s="34"/>
      <c r="N48" s="34">
        <f>M3-SUM(N10,N21,N35)</f>
        <v>1299.5399999999991</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7685.1599999999989</v>
      </c>
      <c r="L49" s="34">
        <f>SUM(L45:L48)</f>
        <v>0</v>
      </c>
      <c r="M49" s="34">
        <f>SUM(M45:M48)</f>
        <v>0</v>
      </c>
      <c r="N49" s="34">
        <f>SUM(N45:N48)</f>
        <v>7685.1599999999989</v>
      </c>
      <c r="O49" s="8"/>
      <c r="P49" s="9"/>
    </row>
    <row r="50" spans="1:36" ht="21.95" customHeight="1" x14ac:dyDescent="0.2">
      <c r="A50" s="262"/>
      <c r="B50" s="261" t="s">
        <v>60</v>
      </c>
      <c r="C50" s="261"/>
      <c r="D50" s="261"/>
      <c r="E50" s="261"/>
      <c r="F50" s="261"/>
      <c r="G50" s="261"/>
      <c r="H50" s="261"/>
      <c r="I50" s="261"/>
      <c r="J50" s="34">
        <f>J49</f>
        <v>0</v>
      </c>
      <c r="K50" s="34">
        <f t="shared" ref="K50:N50" si="15">K49</f>
        <v>7685.1599999999989</v>
      </c>
      <c r="L50" s="34">
        <f t="shared" si="15"/>
        <v>0</v>
      </c>
      <c r="M50" s="34">
        <f t="shared" si="15"/>
        <v>0</v>
      </c>
      <c r="N50" s="34">
        <f t="shared" si="15"/>
        <v>7685.1599999999989</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4399.96</v>
      </c>
      <c r="L51" s="34"/>
      <c r="M51" s="34"/>
      <c r="N51" s="34">
        <f>ROUND($C$4*P51,2)</f>
        <v>4399.96</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1219.3900000000001</v>
      </c>
      <c r="L53" s="34"/>
      <c r="M53" s="34"/>
      <c r="N53" s="34">
        <f>ROUND($L$4*P53,2)</f>
        <v>1219.3900000000001</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1143.6000000000004</v>
      </c>
      <c r="L54" s="34"/>
      <c r="M54" s="34"/>
      <c r="N54" s="34">
        <f>M4-SUM(N15,N27,N41)</f>
        <v>1143.6000000000004</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6762.9500000000007</v>
      </c>
      <c r="L55" s="34">
        <f>SUM(L51:L54)</f>
        <v>0</v>
      </c>
      <c r="M55" s="34">
        <f>SUM(M51:M54)</f>
        <v>0</v>
      </c>
      <c r="N55" s="34">
        <f>SUM(N51:N54)</f>
        <v>6762.9500000000007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6762.9500000000007</v>
      </c>
      <c r="L56" s="34">
        <f t="shared" si="17"/>
        <v>0</v>
      </c>
      <c r="M56" s="34">
        <f t="shared" si="17"/>
        <v>0</v>
      </c>
      <c r="N56" s="34">
        <f t="shared" si="17"/>
        <v>6762.9500000000007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14448.11</v>
      </c>
      <c r="L57" s="34">
        <f>L50+L56</f>
        <v>0</v>
      </c>
      <c r="M57" s="34">
        <f>M50+M56</f>
        <v>0</v>
      </c>
      <c r="N57" s="34">
        <f>N50+N56</f>
        <v>14448.11</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65.83</v>
      </c>
      <c r="L59" s="34"/>
      <c r="M59" s="34"/>
      <c r="N59" s="34">
        <f>D3</f>
        <v>65.83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468.6</v>
      </c>
      <c r="L60" s="34"/>
      <c r="M60" s="34"/>
      <c r="N60" s="34">
        <f>E3</f>
        <v>468.6</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679.06</v>
      </c>
      <c r="L61" s="34"/>
      <c r="M61" s="34"/>
      <c r="N61" s="34">
        <f>G3-SUM(N9,N20,N33,N46)</f>
        <v>679.06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298.85000000000002</v>
      </c>
      <c r="L62" s="34"/>
      <c r="M62" s="34"/>
      <c r="N62" s="34">
        <f>H3</f>
        <v>298.85000000000002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3848.02</v>
      </c>
      <c r="L63" s="34"/>
      <c r="M63" s="34"/>
      <c r="N63" s="34">
        <f>I3</f>
        <v>3848.02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226.23</v>
      </c>
      <c r="L64" s="34"/>
      <c r="M64" s="34"/>
      <c r="N64" s="34">
        <f>J3</f>
        <v>226.23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212.29</v>
      </c>
      <c r="L66" s="34"/>
      <c r="M66" s="34"/>
      <c r="N66" s="34">
        <f>K3</f>
        <v>212.29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5798.88</v>
      </c>
      <c r="L68" s="34">
        <f>SUM(L58:L67)</f>
        <v>0</v>
      </c>
      <c r="M68" s="34">
        <f>SUM(M58:M67)</f>
        <v>0</v>
      </c>
      <c r="N68" s="34">
        <f>SUM(N58:N67)</f>
        <v>5798.88</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5798.88</v>
      </c>
      <c r="L69" s="34">
        <f t="shared" si="20"/>
        <v>0</v>
      </c>
      <c r="M69" s="34">
        <f t="shared" si="20"/>
        <v>0</v>
      </c>
      <c r="N69" s="34">
        <f t="shared" si="20"/>
        <v>5798.88</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57.93</v>
      </c>
      <c r="L71" s="34"/>
      <c r="M71" s="34"/>
      <c r="N71" s="34">
        <f>D4</f>
        <v>57.93</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412.36</v>
      </c>
      <c r="L72" s="34"/>
      <c r="M72" s="34"/>
      <c r="N72" s="34">
        <f>E4</f>
        <v>412.36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597.57000000000005</v>
      </c>
      <c r="L73" s="34"/>
      <c r="M73" s="34"/>
      <c r="N73" s="34">
        <f>G4-SUM(N14,N26,N39,N52)</f>
        <v>597.57000000000005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262.99</v>
      </c>
      <c r="L74" s="34"/>
      <c r="M74" s="34"/>
      <c r="N74" s="34">
        <f>H4</f>
        <v>262.99</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3386.26</v>
      </c>
      <c r="L75" s="34"/>
      <c r="M75" s="34"/>
      <c r="N75" s="34">
        <f>I4</f>
        <v>3386.26</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199.08</v>
      </c>
      <c r="L76" s="34"/>
      <c r="M76" s="34"/>
      <c r="N76" s="34">
        <f>J4</f>
        <v>199.08</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186.82</v>
      </c>
      <c r="L78" s="34"/>
      <c r="M78" s="34"/>
      <c r="N78" s="34">
        <f>K4</f>
        <v>186.82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5103.01</v>
      </c>
      <c r="L80" s="34">
        <f>SUM(L70:L79)</f>
        <v>0</v>
      </c>
      <c r="M80" s="34">
        <f>SUM(M70:M79)</f>
        <v>0</v>
      </c>
      <c r="N80" s="34">
        <f>SUM(N70:N79)</f>
        <v>5103.01</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5103.01</v>
      </c>
      <c r="L81" s="34">
        <f t="shared" si="23"/>
        <v>0</v>
      </c>
      <c r="M81" s="34">
        <f t="shared" si="23"/>
        <v>0</v>
      </c>
      <c r="N81" s="34">
        <f t="shared" si="23"/>
        <v>5103.01</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10901.89</v>
      </c>
      <c r="L82" s="34">
        <f>L69+L81</f>
        <v>0</v>
      </c>
      <c r="M82" s="34">
        <f>M69+M81</f>
        <v>0</v>
      </c>
      <c r="N82" s="34">
        <f>N69+N81</f>
        <v>10901.89</v>
      </c>
      <c r="O82" s="8"/>
      <c r="R82" s="14"/>
      <c r="Z82" s="15"/>
      <c r="AJ82" s="16"/>
    </row>
    <row r="83" spans="1:36" s="31" customFormat="1" ht="21.95" customHeight="1" x14ac:dyDescent="0.2">
      <c r="A83" s="275" t="s">
        <v>82</v>
      </c>
      <c r="B83" s="275"/>
      <c r="C83" s="275"/>
      <c r="D83" s="275"/>
      <c r="E83" s="275"/>
      <c r="F83" s="275"/>
      <c r="G83" s="275"/>
      <c r="H83" s="275"/>
      <c r="I83" s="275"/>
      <c r="J83" s="35">
        <f>J18+J31+J44+J57+J82</f>
        <v>85881.817999999999</v>
      </c>
      <c r="K83" s="35">
        <f>K18+K31+K44+K57+K82</f>
        <v>368877.272</v>
      </c>
      <c r="L83" s="35">
        <f>L18+L31+L44+L57+L82</f>
        <v>300586.36300000001</v>
      </c>
      <c r="M83" s="35">
        <f>M18+M31+M44+M57+M82</f>
        <v>128822.727</v>
      </c>
      <c r="N83" s="38">
        <f>N18+N31+N44+N57+N82</f>
        <v>884168.17999999993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1EA3291-DA57-4F8B-9E2B-0462F1225FF6}">
          <x14:formula1>
            <xm:f>'2026 COB breakdown_Kris'!$A$5:$A$103</xm:f>
          </x14:formula1>
          <xm:sqref>A3</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E9799-CBA6-4975-88D4-C1BEB6D2C71F}">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246</v>
      </c>
      <c r="B3" s="58" t="s">
        <v>158</v>
      </c>
      <c r="C3" s="59">
        <f>VLOOKUP($A3,COBTABLE,15, FALSE)</f>
        <v>5741.39</v>
      </c>
      <c r="D3" s="59">
        <f>VLOOKUP($A3,COBTABLE,16, FALSE)</f>
        <v>75.599999999999994</v>
      </c>
      <c r="E3" s="59">
        <f>VLOOKUP($A3,COBTABLE,17, FALSE)</f>
        <v>538.09</v>
      </c>
      <c r="F3" s="59">
        <f>VLOOKUP($A3,COBTABLE,18, FALSE)</f>
        <v>3096.63</v>
      </c>
      <c r="G3" s="59">
        <f>VLOOKUP($A3,COBTABLE,19, FALSE)</f>
        <v>779.76</v>
      </c>
      <c r="H3" s="59">
        <f>VLOOKUP($A3,COBTABLE,20, FALSE)</f>
        <v>343.17</v>
      </c>
      <c r="I3" s="59">
        <f>VLOOKUP($A3,COBTABLE,21, FALSE)</f>
        <v>4418.6400000000003</v>
      </c>
      <c r="J3" s="59">
        <f>VLOOKUP($A3,COBTABLE,22, FALSE)</f>
        <v>259.77999999999997</v>
      </c>
      <c r="K3" s="59">
        <f>VLOOKUP($A3,COBTABLE,23, FALSE)</f>
        <v>243.78</v>
      </c>
      <c r="L3" s="59">
        <f>VLOOKUP($A3,COBTABLE,24, FALSE)</f>
        <v>1591.15</v>
      </c>
      <c r="M3" s="59">
        <f>VLOOKUP($A3,COBTABLE,25, FALSE)</f>
        <v>1492.2199999999939</v>
      </c>
      <c r="N3" s="60">
        <f>VLOOKUP($A3, countrygrant,2,FALSE)</f>
        <v>456818.18</v>
      </c>
      <c r="O3" s="92">
        <f>SUM(C3:N3)</f>
        <v>475398.39</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6736.57</v>
      </c>
      <c r="D4" s="59">
        <f>VLOOKUP($A3,COBTABLE,28, FALSE)</f>
        <v>88.7</v>
      </c>
      <c r="E4" s="59">
        <f>VLOOKUP($A3,COBTABLE,29, FALSE)</f>
        <v>631.35</v>
      </c>
      <c r="F4" s="59">
        <f>VLOOKUP($A3,COBTABLE,30, FALSE)</f>
        <v>3633.37</v>
      </c>
      <c r="G4" s="59">
        <f>VLOOKUP($A3,COBTABLE,31, FALSE)</f>
        <v>914.91</v>
      </c>
      <c r="H4" s="59">
        <f>VLOOKUP($A3,COBTABLE,32, FALSE)</f>
        <v>402.65</v>
      </c>
      <c r="I4" s="59">
        <f>VLOOKUP($A3,COBTABLE,33, FALSE)</f>
        <v>5184.54</v>
      </c>
      <c r="J4" s="59">
        <f>VLOOKUP($A3,COBTABLE,34, FALSE)</f>
        <v>304.81</v>
      </c>
      <c r="K4" s="59">
        <f>VLOOKUP($A3,COBTABLE,35, FALSE)</f>
        <v>286.02999999999997</v>
      </c>
      <c r="L4" s="59">
        <f>VLOOKUP($A3,COBTABLE,36, FALSE)</f>
        <v>1866.96</v>
      </c>
      <c r="M4" s="59">
        <f>VLOOKUP($A3,COBTABLE,37, FALSE)</f>
        <v>1750.9000000000015</v>
      </c>
      <c r="N4" s="60">
        <f>VLOOKUP($A3, countrygrant,3,FALSE)</f>
        <v>536000</v>
      </c>
      <c r="O4" s="92">
        <f t="shared" ref="O4" si="0">SUM(C4:N4)</f>
        <v>557800.79</v>
      </c>
      <c r="P4" s="28"/>
      <c r="Q4" s="28"/>
      <c r="R4" s="28"/>
      <c r="S4" s="28"/>
      <c r="T4" s="28"/>
      <c r="U4" s="28"/>
      <c r="V4" s="28"/>
      <c r="W4" s="28"/>
      <c r="X4" s="28"/>
      <c r="Y4" s="28"/>
      <c r="Z4" s="28"/>
      <c r="AA4" s="28"/>
      <c r="AB4" s="28"/>
      <c r="AC4" s="28"/>
    </row>
    <row r="5" spans="1:36" s="53" customFormat="1" ht="12" customHeight="1" x14ac:dyDescent="0.25">
      <c r="A5" s="278"/>
      <c r="B5" s="61" t="s">
        <v>156</v>
      </c>
      <c r="C5" s="62">
        <f>SUM(C3:C4)</f>
        <v>12477.96</v>
      </c>
      <c r="D5" s="62">
        <f t="shared" ref="D5:O5" si="1">SUM(D3:D4)</f>
        <v>164.3</v>
      </c>
      <c r="E5" s="62">
        <f t="shared" si="1"/>
        <v>1169.44</v>
      </c>
      <c r="F5" s="62">
        <f t="shared" si="1"/>
        <v>6730</v>
      </c>
      <c r="G5" s="62">
        <f t="shared" si="1"/>
        <v>1694.67</v>
      </c>
      <c r="H5" s="62">
        <f t="shared" si="1"/>
        <v>745.81999999999994</v>
      </c>
      <c r="I5" s="62">
        <f t="shared" si="1"/>
        <v>9603.18</v>
      </c>
      <c r="J5" s="62">
        <f t="shared" si="1"/>
        <v>564.58999999999992</v>
      </c>
      <c r="K5" s="62">
        <f t="shared" si="1"/>
        <v>529.80999999999995</v>
      </c>
      <c r="L5" s="62">
        <f t="shared" si="1"/>
        <v>3458.11</v>
      </c>
      <c r="M5" s="62">
        <f t="shared" si="1"/>
        <v>3243.1199999999953</v>
      </c>
      <c r="N5" s="62">
        <f t="shared" si="1"/>
        <v>992818.17999999993</v>
      </c>
      <c r="O5" s="62">
        <f t="shared" si="1"/>
        <v>1033199.18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VLOOKUP(H28,starratio4,4,FALSE)</f>
        <v>0</v>
      </c>
    </row>
    <row r="29" spans="1:36" ht="21.95" customHeight="1" x14ac:dyDescent="0.2">
      <c r="A29" s="262"/>
      <c r="B29" s="262"/>
      <c r="C29" s="263" t="s">
        <v>31</v>
      </c>
      <c r="D29" s="263"/>
      <c r="E29" s="263"/>
      <c r="F29" s="263"/>
      <c r="G29" s="263"/>
      <c r="H29" s="263"/>
      <c r="I29" s="263"/>
      <c r="J29" s="34">
        <f>SUM(J25:J28)</f>
        <v>53600</v>
      </c>
      <c r="K29" s="34">
        <f>SUM(K25:K28)</f>
        <v>214400</v>
      </c>
      <c r="L29" s="34">
        <f>SUM(L25:L28)</f>
        <v>187600</v>
      </c>
      <c r="M29" s="34">
        <f>SUM(M25:M28)</f>
        <v>80400</v>
      </c>
      <c r="N29" s="34">
        <f>SUM(N25:N28)</f>
        <v>536000</v>
      </c>
      <c r="O29" s="8"/>
      <c r="P29" s="9"/>
    </row>
    <row r="30" spans="1:36" ht="21.95" customHeight="1" x14ac:dyDescent="0.2">
      <c r="A30" s="262"/>
      <c r="B30" s="263" t="s">
        <v>44</v>
      </c>
      <c r="C30" s="263"/>
      <c r="D30" s="263"/>
      <c r="E30" s="263"/>
      <c r="F30" s="263"/>
      <c r="G30" s="263"/>
      <c r="H30" s="263"/>
      <c r="I30" s="263"/>
      <c r="J30" s="34">
        <f>J29</f>
        <v>53600</v>
      </c>
      <c r="K30" s="34">
        <f t="shared" ref="K30:N30" si="9">K29</f>
        <v>214400</v>
      </c>
      <c r="L30" s="34">
        <f t="shared" si="9"/>
        <v>187600</v>
      </c>
      <c r="M30" s="34">
        <f t="shared" si="9"/>
        <v>80400</v>
      </c>
      <c r="N30" s="34">
        <f t="shared" si="9"/>
        <v>536000</v>
      </c>
      <c r="O30" s="8"/>
      <c r="Q30" s="10"/>
      <c r="Z30" s="11"/>
      <c r="AC30" s="12"/>
      <c r="AD30" s="13"/>
    </row>
    <row r="31" spans="1:36" ht="21.95" customHeight="1" x14ac:dyDescent="0.2">
      <c r="A31" s="261" t="s">
        <v>45</v>
      </c>
      <c r="B31" s="261"/>
      <c r="C31" s="261"/>
      <c r="D31" s="261"/>
      <c r="E31" s="261"/>
      <c r="F31" s="261"/>
      <c r="G31" s="261"/>
      <c r="H31" s="261"/>
      <c r="I31" s="261"/>
      <c r="J31" s="34">
        <f>J24+J30</f>
        <v>99281.817999999999</v>
      </c>
      <c r="K31" s="34">
        <f>K24+K30</f>
        <v>397127.272</v>
      </c>
      <c r="L31" s="34">
        <f>L24+L30</f>
        <v>347486.36300000001</v>
      </c>
      <c r="M31" s="34">
        <f>M24+M30</f>
        <v>148922.72700000001</v>
      </c>
      <c r="N31" s="34">
        <f>N24+N30</f>
        <v>992818.17999999993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5741.39</v>
      </c>
      <c r="L45" s="34"/>
      <c r="M45" s="34"/>
      <c r="N45" s="34">
        <f>ROUND($C$3*P45,2)</f>
        <v>5741.39</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1591.15</v>
      </c>
      <c r="L47" s="34"/>
      <c r="M47" s="34"/>
      <c r="N47" s="34">
        <f>ROUND($L$3*P47,2)</f>
        <v>1591.15</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1492.2199999999939</v>
      </c>
      <c r="L48" s="34"/>
      <c r="M48" s="34"/>
      <c r="N48" s="34">
        <f>M3-SUM(N10,N21,N35)</f>
        <v>1492.2199999999939</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8824.7599999999948</v>
      </c>
      <c r="L49" s="34">
        <f>SUM(L45:L48)</f>
        <v>0</v>
      </c>
      <c r="M49" s="34">
        <f>SUM(M45:M48)</f>
        <v>0</v>
      </c>
      <c r="N49" s="34">
        <f>SUM(N45:N48)</f>
        <v>8824.7599999999948</v>
      </c>
      <c r="O49" s="8"/>
      <c r="P49" s="9"/>
    </row>
    <row r="50" spans="1:36" ht="21.95" customHeight="1" x14ac:dyDescent="0.2">
      <c r="A50" s="262"/>
      <c r="B50" s="261" t="s">
        <v>60</v>
      </c>
      <c r="C50" s="261"/>
      <c r="D50" s="261"/>
      <c r="E50" s="261"/>
      <c r="F50" s="261"/>
      <c r="G50" s="261"/>
      <c r="H50" s="261"/>
      <c r="I50" s="261"/>
      <c r="J50" s="34">
        <f>J49</f>
        <v>0</v>
      </c>
      <c r="K50" s="34">
        <f t="shared" ref="K50:N50" si="15">K49</f>
        <v>8824.7599999999948</v>
      </c>
      <c r="L50" s="34">
        <f t="shared" si="15"/>
        <v>0</v>
      </c>
      <c r="M50" s="34">
        <f t="shared" si="15"/>
        <v>0</v>
      </c>
      <c r="N50" s="34">
        <f t="shared" si="15"/>
        <v>8824.7599999999948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6736.57</v>
      </c>
      <c r="L51" s="34"/>
      <c r="M51" s="34"/>
      <c r="N51" s="34">
        <f>ROUND($C$4*P51,2)</f>
        <v>6736.57</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1866.96</v>
      </c>
      <c r="L53" s="34"/>
      <c r="M53" s="34"/>
      <c r="N53" s="34">
        <f>ROUND($L$4*P53,2)</f>
        <v>1866.96</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1750.9000000000015</v>
      </c>
      <c r="L54" s="34"/>
      <c r="M54" s="34"/>
      <c r="N54" s="34">
        <f>M4-SUM(N15,N27,N41)</f>
        <v>1750.9000000000015</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10354.43</v>
      </c>
      <c r="L55" s="34">
        <f>SUM(L51:L54)</f>
        <v>0</v>
      </c>
      <c r="M55" s="34">
        <f>SUM(M51:M54)</f>
        <v>0</v>
      </c>
      <c r="N55" s="34">
        <f>SUM(N51:N54)</f>
        <v>10354.43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10354.43</v>
      </c>
      <c r="L56" s="34">
        <f t="shared" si="17"/>
        <v>0</v>
      </c>
      <c r="M56" s="34">
        <f t="shared" si="17"/>
        <v>0</v>
      </c>
      <c r="N56" s="34">
        <f t="shared" si="17"/>
        <v>10354.43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19179.189999999995</v>
      </c>
      <c r="L57" s="34">
        <f>L50+L56</f>
        <v>0</v>
      </c>
      <c r="M57" s="34">
        <f>M50+M56</f>
        <v>0</v>
      </c>
      <c r="N57" s="34">
        <f>N50+N56</f>
        <v>19179.189999999995</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75.599999999999994</v>
      </c>
      <c r="L59" s="34"/>
      <c r="M59" s="34"/>
      <c r="N59" s="34">
        <f>D3</f>
        <v>75.599999999999994</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538.09</v>
      </c>
      <c r="L60" s="34"/>
      <c r="M60" s="34"/>
      <c r="N60" s="34">
        <f>E3</f>
        <v>538.09</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779.76</v>
      </c>
      <c r="L61" s="34"/>
      <c r="M61" s="34"/>
      <c r="N61" s="34">
        <f>G3-SUM(N9,N20,N33,N46)</f>
        <v>779.76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343.17</v>
      </c>
      <c r="L62" s="34"/>
      <c r="M62" s="34"/>
      <c r="N62" s="34">
        <f>H3</f>
        <v>343.17</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4418.6400000000003</v>
      </c>
      <c r="L63" s="34"/>
      <c r="M63" s="34"/>
      <c r="N63" s="34">
        <f>I3</f>
        <v>4418.6400000000003</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259.77999999999997</v>
      </c>
      <c r="L64" s="34"/>
      <c r="M64" s="34"/>
      <c r="N64" s="34">
        <f>J3</f>
        <v>259.77999999999997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3096.63</v>
      </c>
      <c r="L65" s="34"/>
      <c r="M65" s="34"/>
      <c r="N65" s="34">
        <f>F3</f>
        <v>3096.63</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243.78</v>
      </c>
      <c r="L66" s="34"/>
      <c r="M66" s="34"/>
      <c r="N66" s="34">
        <f>K3</f>
        <v>243.78</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9755.4500000000007</v>
      </c>
      <c r="L68" s="34">
        <f>SUM(L58:L67)</f>
        <v>0</v>
      </c>
      <c r="M68" s="34">
        <f>SUM(M58:M67)</f>
        <v>0</v>
      </c>
      <c r="N68" s="34">
        <f>SUM(N58:N67)</f>
        <v>9755.4500000000007</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9755.4500000000007</v>
      </c>
      <c r="L69" s="34">
        <f t="shared" si="20"/>
        <v>0</v>
      </c>
      <c r="M69" s="34">
        <f t="shared" si="20"/>
        <v>0</v>
      </c>
      <c r="N69" s="34">
        <f t="shared" si="20"/>
        <v>9755.4500000000007</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88.7</v>
      </c>
      <c r="L71" s="34"/>
      <c r="M71" s="34"/>
      <c r="N71" s="34">
        <f>D4</f>
        <v>88.7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631.35</v>
      </c>
      <c r="L72" s="34"/>
      <c r="M72" s="34"/>
      <c r="N72" s="34">
        <f>E4</f>
        <v>631.35</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914.91</v>
      </c>
      <c r="L73" s="34"/>
      <c r="M73" s="34"/>
      <c r="N73" s="34">
        <f>G4-SUM(N14,N26,N39,N52)</f>
        <v>914.91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402.65</v>
      </c>
      <c r="L74" s="34"/>
      <c r="M74" s="34"/>
      <c r="N74" s="34">
        <f>H4</f>
        <v>402.65</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5184.54</v>
      </c>
      <c r="L75" s="34"/>
      <c r="M75" s="34"/>
      <c r="N75" s="34">
        <f>I4</f>
        <v>5184.54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304.81</v>
      </c>
      <c r="L76" s="34"/>
      <c r="M76" s="34"/>
      <c r="N76" s="34">
        <f>J4</f>
        <v>304.81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3633.37</v>
      </c>
      <c r="L77" s="34"/>
      <c r="M77" s="34"/>
      <c r="N77" s="34">
        <f>F4</f>
        <v>3633.37</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286.02999999999997</v>
      </c>
      <c r="L78" s="34"/>
      <c r="M78" s="34"/>
      <c r="N78" s="34">
        <f>K4</f>
        <v>286.02999999999997</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11446.36</v>
      </c>
      <c r="L80" s="34">
        <f>SUM(L70:L79)</f>
        <v>0</v>
      </c>
      <c r="M80" s="34">
        <f>SUM(M70:M79)</f>
        <v>0</v>
      </c>
      <c r="N80" s="34">
        <f>SUM(N70:N79)</f>
        <v>11446.36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11446.36</v>
      </c>
      <c r="L81" s="34">
        <f t="shared" si="23"/>
        <v>0</v>
      </c>
      <c r="M81" s="34">
        <f t="shared" si="23"/>
        <v>0</v>
      </c>
      <c r="N81" s="34">
        <f t="shared" si="23"/>
        <v>11446.36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21201.81</v>
      </c>
      <c r="L82" s="34">
        <f>L69+L81</f>
        <v>0</v>
      </c>
      <c r="M82" s="34">
        <f>M69+M81</f>
        <v>0</v>
      </c>
      <c r="N82" s="34">
        <f>N69+N81</f>
        <v>21201.81</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437508.272</v>
      </c>
      <c r="L83" s="35">
        <f>L18+L31+L44+L57+L82</f>
        <v>347486.36300000001</v>
      </c>
      <c r="M83" s="35">
        <f>M18+M31+M44+M57+M82</f>
        <v>148922.72700000001</v>
      </c>
      <c r="N83" s="38">
        <f>N18+N31+N44+N57+N82</f>
        <v>1033199.1799999999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65A8184-834C-45CA-848C-4B69E9A201AC}">
          <x14:formula1>
            <xm:f>'2026 COB breakdown_Kris'!$A$5:$A$103</xm:f>
          </x14:formula1>
          <xm:sqref>A3</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641A2-BC53-4220-ADAF-945E8467F7A0}">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247</v>
      </c>
      <c r="B3" s="58" t="s">
        <v>158</v>
      </c>
      <c r="C3" s="59">
        <f>VLOOKUP($A3,COBTABLE,15, FALSE)</f>
        <v>9835.6</v>
      </c>
      <c r="D3" s="59">
        <f>VLOOKUP($A3,COBTABLE,16, FALSE)</f>
        <v>129.5</v>
      </c>
      <c r="E3" s="59">
        <f>VLOOKUP($A3,COBTABLE,17, FALSE)</f>
        <v>921.8</v>
      </c>
      <c r="F3" s="59">
        <f>VLOOKUP($A3,COBTABLE,18, FALSE)</f>
        <v>0</v>
      </c>
      <c r="G3" s="59">
        <f>VLOOKUP($A3,COBTABLE,19, FALSE)</f>
        <v>1335.8</v>
      </c>
      <c r="H3" s="59">
        <f>VLOOKUP($A3,COBTABLE,20, FALSE)</f>
        <v>587.89</v>
      </c>
      <c r="I3" s="59">
        <f>VLOOKUP($A3,COBTABLE,21, FALSE)</f>
        <v>7569.59</v>
      </c>
      <c r="J3" s="59">
        <f>VLOOKUP($A3,COBTABLE,22, FALSE)</f>
        <v>445.02</v>
      </c>
      <c r="K3" s="59">
        <f>VLOOKUP($A3,COBTABLE,23, FALSE)</f>
        <v>417.61</v>
      </c>
      <c r="L3" s="59">
        <f>VLOOKUP($A3,COBTABLE,24, FALSE)</f>
        <v>2725.81</v>
      </c>
      <c r="M3" s="59">
        <f>VLOOKUP($A3,COBTABLE,25, FALSE)</f>
        <v>2556.369999999999</v>
      </c>
      <c r="N3" s="60">
        <f>VLOOKUP($A3, countrygrant,2,FALSE)</f>
        <v>456818.18</v>
      </c>
      <c r="O3" s="92">
        <f>SUM(C3:N3)</f>
        <v>483343.17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9835.6</v>
      </c>
      <c r="D5" s="62">
        <f t="shared" ref="D5:O5" si="1">SUM(D3:D4)</f>
        <v>129.5</v>
      </c>
      <c r="E5" s="62">
        <f t="shared" si="1"/>
        <v>921.8</v>
      </c>
      <c r="F5" s="62">
        <f t="shared" si="1"/>
        <v>0</v>
      </c>
      <c r="G5" s="62">
        <f t="shared" si="1"/>
        <v>1335.8</v>
      </c>
      <c r="H5" s="62">
        <f t="shared" si="1"/>
        <v>587.89</v>
      </c>
      <c r="I5" s="62">
        <f t="shared" si="1"/>
        <v>7569.59</v>
      </c>
      <c r="J5" s="62">
        <f t="shared" si="1"/>
        <v>445.02</v>
      </c>
      <c r="K5" s="62">
        <f t="shared" si="1"/>
        <v>417.61</v>
      </c>
      <c r="L5" s="62">
        <f t="shared" si="1"/>
        <v>2725.81</v>
      </c>
      <c r="M5" s="62">
        <f t="shared" si="1"/>
        <v>2556.369999999999</v>
      </c>
      <c r="N5" s="62">
        <f t="shared" si="1"/>
        <v>456818.18</v>
      </c>
      <c r="O5" s="62">
        <f t="shared" si="1"/>
        <v>483343.17</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9835.6</v>
      </c>
      <c r="L45" s="34"/>
      <c r="M45" s="34"/>
      <c r="N45" s="34">
        <f>ROUND($C$3*P45,2)</f>
        <v>9835.6</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2725.81</v>
      </c>
      <c r="L47" s="34"/>
      <c r="M47" s="34"/>
      <c r="N47" s="34">
        <f>ROUND($L$3*P47,2)</f>
        <v>2725.81</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2556.369999999999</v>
      </c>
      <c r="L48" s="34"/>
      <c r="M48" s="34"/>
      <c r="N48" s="34">
        <f>M3-SUM(N10,N21,N35)</f>
        <v>2556.369999999999</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15117.779999999999</v>
      </c>
      <c r="L49" s="34">
        <f>SUM(L45:L48)</f>
        <v>0</v>
      </c>
      <c r="M49" s="34">
        <f>SUM(M45:M48)</f>
        <v>0</v>
      </c>
      <c r="N49" s="34">
        <f>SUM(N45:N48)</f>
        <v>15117.779999999999</v>
      </c>
      <c r="O49" s="8"/>
      <c r="P49" s="9"/>
    </row>
    <row r="50" spans="1:36" ht="21.95" customHeight="1" x14ac:dyDescent="0.2">
      <c r="A50" s="262"/>
      <c r="B50" s="261" t="s">
        <v>60</v>
      </c>
      <c r="C50" s="261"/>
      <c r="D50" s="261"/>
      <c r="E50" s="261"/>
      <c r="F50" s="261"/>
      <c r="G50" s="261"/>
      <c r="H50" s="261"/>
      <c r="I50" s="261"/>
      <c r="J50" s="34">
        <f>J49</f>
        <v>0</v>
      </c>
      <c r="K50" s="34">
        <f t="shared" ref="K50:N50" si="15">K49</f>
        <v>15117.779999999999</v>
      </c>
      <c r="L50" s="34">
        <f t="shared" si="15"/>
        <v>0</v>
      </c>
      <c r="M50" s="34">
        <f t="shared" si="15"/>
        <v>0</v>
      </c>
      <c r="N50" s="34">
        <f t="shared" si="15"/>
        <v>15117.779999999999</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15117.779999999999</v>
      </c>
      <c r="L57" s="34">
        <f>L50+L56</f>
        <v>0</v>
      </c>
      <c r="M57" s="34">
        <f>M50+M56</f>
        <v>0</v>
      </c>
      <c r="N57" s="34">
        <f>N50+N56</f>
        <v>15117.779999999999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129.5</v>
      </c>
      <c r="L59" s="34"/>
      <c r="M59" s="34"/>
      <c r="N59" s="34">
        <f>D3</f>
        <v>129.5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921.8</v>
      </c>
      <c r="L60" s="34"/>
      <c r="M60" s="34"/>
      <c r="N60" s="34">
        <f>E3</f>
        <v>921.8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1335.8</v>
      </c>
      <c r="L61" s="34"/>
      <c r="M61" s="34"/>
      <c r="N61" s="34">
        <f>G3-SUM(N9,N20,N33,N46)</f>
        <v>1335.8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587.89</v>
      </c>
      <c r="L62" s="34"/>
      <c r="M62" s="34"/>
      <c r="N62" s="34">
        <f>H3</f>
        <v>587.89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7569.59</v>
      </c>
      <c r="L63" s="34"/>
      <c r="M63" s="34"/>
      <c r="N63" s="34">
        <f>I3</f>
        <v>7569.59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445.02</v>
      </c>
      <c r="L64" s="34"/>
      <c r="M64" s="34"/>
      <c r="N64" s="34">
        <f>J3</f>
        <v>445.02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417.61</v>
      </c>
      <c r="L66" s="34"/>
      <c r="M66" s="34"/>
      <c r="N66" s="34">
        <f>K3</f>
        <v>417.61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11407.210000000001</v>
      </c>
      <c r="L68" s="34">
        <f>SUM(L58:L67)</f>
        <v>0</v>
      </c>
      <c r="M68" s="34">
        <f>SUM(M58:M67)</f>
        <v>0</v>
      </c>
      <c r="N68" s="34">
        <f>SUM(N58:N67)</f>
        <v>11407.210000000001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11407.210000000001</v>
      </c>
      <c r="L69" s="34">
        <f t="shared" si="20"/>
        <v>0</v>
      </c>
      <c r="M69" s="34">
        <f t="shared" si="20"/>
        <v>0</v>
      </c>
      <c r="N69" s="34">
        <f t="shared" si="20"/>
        <v>11407.210000000001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11407.210000000001</v>
      </c>
      <c r="L82" s="34">
        <f>L69+L81</f>
        <v>0</v>
      </c>
      <c r="M82" s="34">
        <f>M69+M81</f>
        <v>0</v>
      </c>
      <c r="N82" s="34">
        <f>N69+N81</f>
        <v>11407.210000000001</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209252.26199999999</v>
      </c>
      <c r="L83" s="35">
        <f>L18+L31+L44+L57+L82</f>
        <v>159886.36299999998</v>
      </c>
      <c r="M83" s="35">
        <f>M18+M31+M44+M57+M82</f>
        <v>68522.726999999999</v>
      </c>
      <c r="N83" s="38">
        <f>N18+N31+N44+N57+N82</f>
        <v>483343.17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CE0340D-4563-4E3F-9CE2-2D745A8875CD}">
          <x14:formula1>
            <xm:f>'2026 COB breakdown_Kris'!$A$5:$A$103</xm:f>
          </x14:formula1>
          <xm:sqref>A3</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47C13-1873-4129-AFCD-7F09E23F7F2C}">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248</v>
      </c>
      <c r="B3" s="58" t="s">
        <v>158</v>
      </c>
      <c r="C3" s="59">
        <f>VLOOKUP($A3,COBTABLE,15, FALSE)</f>
        <v>8221.39</v>
      </c>
      <c r="D3" s="59">
        <f>VLOOKUP($A3,COBTABLE,16, FALSE)</f>
        <v>108.25</v>
      </c>
      <c r="E3" s="59">
        <f>VLOOKUP($A3,COBTABLE,17, FALSE)</f>
        <v>770.51</v>
      </c>
      <c r="F3" s="59">
        <f>VLOOKUP($A3,COBTABLE,18, FALSE)</f>
        <v>0</v>
      </c>
      <c r="G3" s="59">
        <f>VLOOKUP($A3,COBTABLE,19, FALSE)</f>
        <v>1116.57</v>
      </c>
      <c r="H3" s="59">
        <f>VLOOKUP($A3,COBTABLE,20, FALSE)</f>
        <v>491.4</v>
      </c>
      <c r="I3" s="59">
        <f>VLOOKUP($A3,COBTABLE,21, FALSE)</f>
        <v>6327.27</v>
      </c>
      <c r="J3" s="59">
        <f>VLOOKUP($A3,COBTABLE,22, FALSE)</f>
        <v>371.99</v>
      </c>
      <c r="K3" s="59">
        <f>VLOOKUP($A3,COBTABLE,23, FALSE)</f>
        <v>349.07</v>
      </c>
      <c r="L3" s="59">
        <f>VLOOKUP($A3,COBTABLE,24, FALSE)</f>
        <v>2278.4499999999998</v>
      </c>
      <c r="M3" s="59">
        <f>VLOOKUP($A3,COBTABLE,25, FALSE)</f>
        <v>2136.8299999999981</v>
      </c>
      <c r="N3" s="60">
        <f>VLOOKUP($A3, countrygrant,2,FALSE)</f>
        <v>456818.18</v>
      </c>
      <c r="O3" s="92">
        <f>SUM(C3:N3)</f>
        <v>478989.91</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4238.3999999999996</v>
      </c>
      <c r="D4" s="59">
        <f>VLOOKUP($A3,COBTABLE,28, FALSE)</f>
        <v>55.81</v>
      </c>
      <c r="E4" s="59">
        <f>VLOOKUP($A3,COBTABLE,29, FALSE)</f>
        <v>397.22</v>
      </c>
      <c r="F4" s="59">
        <f>VLOOKUP($A3,COBTABLE,30, FALSE)</f>
        <v>0</v>
      </c>
      <c r="G4" s="59">
        <f>VLOOKUP($A3,COBTABLE,31, FALSE)</f>
        <v>575.63</v>
      </c>
      <c r="H4" s="59">
        <f>VLOOKUP($A3,COBTABLE,32, FALSE)</f>
        <v>253.34</v>
      </c>
      <c r="I4" s="59">
        <f>VLOOKUP($A3,COBTABLE,33, FALSE)</f>
        <v>3261.92</v>
      </c>
      <c r="J4" s="59">
        <f>VLOOKUP($A3,COBTABLE,34, FALSE)</f>
        <v>191.77</v>
      </c>
      <c r="K4" s="59">
        <f>VLOOKUP($A3,COBTABLE,35, FALSE)</f>
        <v>179.96</v>
      </c>
      <c r="L4" s="59">
        <f>VLOOKUP($A3,COBTABLE,36, FALSE)</f>
        <v>1174.6199999999999</v>
      </c>
      <c r="M4" s="59">
        <f>VLOOKUP($A3,COBTABLE,37, FALSE)</f>
        <v>1101.6000000000022</v>
      </c>
      <c r="N4" s="60">
        <f>VLOOKUP($A3, countrygrant,3,FALSE)</f>
        <v>235505</v>
      </c>
      <c r="O4" s="92">
        <f t="shared" ref="O4" si="0">SUM(C4:N4)</f>
        <v>246935.27</v>
      </c>
      <c r="P4" s="28"/>
      <c r="Q4" s="28"/>
      <c r="R4" s="28"/>
      <c r="S4" s="28"/>
      <c r="T4" s="28"/>
      <c r="U4" s="28"/>
      <c r="V4" s="28"/>
      <c r="W4" s="28"/>
      <c r="X4" s="28"/>
      <c r="Y4" s="28"/>
      <c r="Z4" s="28"/>
      <c r="AA4" s="28"/>
      <c r="AB4" s="28"/>
      <c r="AC4" s="28"/>
    </row>
    <row r="5" spans="1:36" s="53" customFormat="1" ht="12" customHeight="1" x14ac:dyDescent="0.25">
      <c r="A5" s="278"/>
      <c r="B5" s="61" t="s">
        <v>156</v>
      </c>
      <c r="C5" s="62">
        <f>SUM(C3:C4)</f>
        <v>12459.789999999999</v>
      </c>
      <c r="D5" s="62">
        <f t="shared" ref="D5:O5" si="1">SUM(D3:D4)</f>
        <v>164.06</v>
      </c>
      <c r="E5" s="62">
        <f t="shared" si="1"/>
        <v>1167.73</v>
      </c>
      <c r="F5" s="62">
        <f t="shared" si="1"/>
        <v>0</v>
      </c>
      <c r="G5" s="62">
        <f t="shared" si="1"/>
        <v>1692.1999999999998</v>
      </c>
      <c r="H5" s="62">
        <f t="shared" si="1"/>
        <v>744.74</v>
      </c>
      <c r="I5" s="62">
        <f t="shared" si="1"/>
        <v>9589.19</v>
      </c>
      <c r="J5" s="62">
        <f t="shared" si="1"/>
        <v>563.76</v>
      </c>
      <c r="K5" s="62">
        <f t="shared" si="1"/>
        <v>529.03</v>
      </c>
      <c r="L5" s="62">
        <f t="shared" si="1"/>
        <v>3453.0699999999997</v>
      </c>
      <c r="M5" s="62">
        <f t="shared" si="1"/>
        <v>3238.4300000000003</v>
      </c>
      <c r="N5" s="62">
        <f t="shared" si="1"/>
        <v>692323.17999999993</v>
      </c>
      <c r="O5" s="62">
        <f t="shared" si="1"/>
        <v>725925.17999999993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23550.5</v>
      </c>
      <c r="K28" s="34">
        <f>$N28*0.4</f>
        <v>94202</v>
      </c>
      <c r="L28" s="34">
        <f>$N28*0.35</f>
        <v>82426.75</v>
      </c>
      <c r="M28" s="34">
        <f>$N28*0.15</f>
        <v>35325.75</v>
      </c>
      <c r="N28" s="34">
        <f>N4</f>
        <v>235505</v>
      </c>
      <c r="O28" s="8"/>
      <c r="P28" s="9">
        <f>VLOOKUP(H28,starratio4,4,FALSE)</f>
        <v>0</v>
      </c>
    </row>
    <row r="29" spans="1:36" ht="21.95" customHeight="1" x14ac:dyDescent="0.2">
      <c r="A29" s="262"/>
      <c r="B29" s="262"/>
      <c r="C29" s="263" t="s">
        <v>31</v>
      </c>
      <c r="D29" s="263"/>
      <c r="E29" s="263"/>
      <c r="F29" s="263"/>
      <c r="G29" s="263"/>
      <c r="H29" s="263"/>
      <c r="I29" s="263"/>
      <c r="J29" s="34">
        <f>SUM(J25:J28)</f>
        <v>23550.5</v>
      </c>
      <c r="K29" s="34">
        <f>SUM(K25:K28)</f>
        <v>94202</v>
      </c>
      <c r="L29" s="34">
        <f>SUM(L25:L28)</f>
        <v>82426.75</v>
      </c>
      <c r="M29" s="34">
        <f>SUM(M25:M28)</f>
        <v>35325.75</v>
      </c>
      <c r="N29" s="34">
        <f>SUM(N25:N28)</f>
        <v>235505</v>
      </c>
      <c r="O29" s="8"/>
      <c r="P29" s="9"/>
    </row>
    <row r="30" spans="1:36" ht="21.95" customHeight="1" x14ac:dyDescent="0.2">
      <c r="A30" s="262"/>
      <c r="B30" s="263" t="s">
        <v>44</v>
      </c>
      <c r="C30" s="263"/>
      <c r="D30" s="263"/>
      <c r="E30" s="263"/>
      <c r="F30" s="263"/>
      <c r="G30" s="263"/>
      <c r="H30" s="263"/>
      <c r="I30" s="263"/>
      <c r="J30" s="34">
        <f>J29</f>
        <v>23550.5</v>
      </c>
      <c r="K30" s="34">
        <f t="shared" ref="K30:N30" si="9">K29</f>
        <v>94202</v>
      </c>
      <c r="L30" s="34">
        <f t="shared" si="9"/>
        <v>82426.75</v>
      </c>
      <c r="M30" s="34">
        <f t="shared" si="9"/>
        <v>35325.75</v>
      </c>
      <c r="N30" s="34">
        <f t="shared" si="9"/>
        <v>235505</v>
      </c>
      <c r="O30" s="8"/>
      <c r="Q30" s="10"/>
      <c r="Z30" s="11"/>
      <c r="AC30" s="12"/>
      <c r="AD30" s="13"/>
    </row>
    <row r="31" spans="1:36" ht="21.95" customHeight="1" x14ac:dyDescent="0.2">
      <c r="A31" s="261" t="s">
        <v>45</v>
      </c>
      <c r="B31" s="261"/>
      <c r="C31" s="261"/>
      <c r="D31" s="261"/>
      <c r="E31" s="261"/>
      <c r="F31" s="261"/>
      <c r="G31" s="261"/>
      <c r="H31" s="261"/>
      <c r="I31" s="261"/>
      <c r="J31" s="34">
        <f>J24+J30</f>
        <v>69232.317999999999</v>
      </c>
      <c r="K31" s="34">
        <f>K24+K30</f>
        <v>276929.272</v>
      </c>
      <c r="L31" s="34">
        <f>L24+L30</f>
        <v>242313.11299999998</v>
      </c>
      <c r="M31" s="34">
        <f>M24+M30</f>
        <v>103848.477</v>
      </c>
      <c r="N31" s="34">
        <f>N24+N30</f>
        <v>692323.17999999993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8221.39</v>
      </c>
      <c r="L45" s="34"/>
      <c r="M45" s="34"/>
      <c r="N45" s="34">
        <f>ROUND($C$3*P45,2)</f>
        <v>8221.39</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2278.4499999999998</v>
      </c>
      <c r="L47" s="34"/>
      <c r="M47" s="34"/>
      <c r="N47" s="34">
        <f>ROUND($L$3*P47,2)</f>
        <v>2278.4499999999998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2136.8299999999981</v>
      </c>
      <c r="L48" s="34"/>
      <c r="M48" s="34"/>
      <c r="N48" s="34">
        <f>M3-SUM(N10,N21,N35)</f>
        <v>2136.8299999999981</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12636.669999999998</v>
      </c>
      <c r="L49" s="34">
        <f>SUM(L45:L48)</f>
        <v>0</v>
      </c>
      <c r="M49" s="34">
        <f>SUM(M45:M48)</f>
        <v>0</v>
      </c>
      <c r="N49" s="34">
        <f>SUM(N45:N48)</f>
        <v>12636.669999999998</v>
      </c>
      <c r="O49" s="8"/>
      <c r="P49" s="9"/>
    </row>
    <row r="50" spans="1:36" ht="21.95" customHeight="1" x14ac:dyDescent="0.2">
      <c r="A50" s="262"/>
      <c r="B50" s="261" t="s">
        <v>60</v>
      </c>
      <c r="C50" s="261"/>
      <c r="D50" s="261"/>
      <c r="E50" s="261"/>
      <c r="F50" s="261"/>
      <c r="G50" s="261"/>
      <c r="H50" s="261"/>
      <c r="I50" s="261"/>
      <c r="J50" s="34">
        <f>J49</f>
        <v>0</v>
      </c>
      <c r="K50" s="34">
        <f t="shared" ref="K50:N50" si="15">K49</f>
        <v>12636.669999999998</v>
      </c>
      <c r="L50" s="34">
        <f t="shared" si="15"/>
        <v>0</v>
      </c>
      <c r="M50" s="34">
        <f t="shared" si="15"/>
        <v>0</v>
      </c>
      <c r="N50" s="34">
        <f t="shared" si="15"/>
        <v>12636.669999999998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4238.3999999999996</v>
      </c>
      <c r="L51" s="34"/>
      <c r="M51" s="34"/>
      <c r="N51" s="34">
        <f>ROUND($C$4*P51,2)</f>
        <v>4238.3999999999996</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1174.6199999999999</v>
      </c>
      <c r="L53" s="34"/>
      <c r="M53" s="34"/>
      <c r="N53" s="34">
        <f>ROUND($L$4*P53,2)</f>
        <v>1174.6199999999999</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1101.6000000000022</v>
      </c>
      <c r="L54" s="34"/>
      <c r="M54" s="34"/>
      <c r="N54" s="34">
        <f>M4-SUM(N15,N27,N41)</f>
        <v>1101.6000000000022</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6514.6200000000017</v>
      </c>
      <c r="L55" s="34">
        <f>SUM(L51:L54)</f>
        <v>0</v>
      </c>
      <c r="M55" s="34">
        <f>SUM(M51:M54)</f>
        <v>0</v>
      </c>
      <c r="N55" s="34">
        <f>SUM(N51:N54)</f>
        <v>6514.6200000000017</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6514.6200000000017</v>
      </c>
      <c r="L56" s="34">
        <f t="shared" si="17"/>
        <v>0</v>
      </c>
      <c r="M56" s="34">
        <f t="shared" si="17"/>
        <v>0</v>
      </c>
      <c r="N56" s="34">
        <f t="shared" si="17"/>
        <v>6514.6200000000017</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19151.29</v>
      </c>
      <c r="L57" s="34">
        <f>L50+L56</f>
        <v>0</v>
      </c>
      <c r="M57" s="34">
        <f>M50+M56</f>
        <v>0</v>
      </c>
      <c r="N57" s="34">
        <f>N50+N56</f>
        <v>19151.29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108.25</v>
      </c>
      <c r="L59" s="34"/>
      <c r="M59" s="34"/>
      <c r="N59" s="34">
        <f>D3</f>
        <v>108.25</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770.51</v>
      </c>
      <c r="L60" s="34"/>
      <c r="M60" s="34"/>
      <c r="N60" s="34">
        <f>E3</f>
        <v>770.51</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1116.57</v>
      </c>
      <c r="L61" s="34"/>
      <c r="M61" s="34"/>
      <c r="N61" s="34">
        <f>G3-SUM(N9,N20,N33,N46)</f>
        <v>1116.57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491.4</v>
      </c>
      <c r="L62" s="34"/>
      <c r="M62" s="34"/>
      <c r="N62" s="34">
        <f>H3</f>
        <v>491.4</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6327.27</v>
      </c>
      <c r="L63" s="34"/>
      <c r="M63" s="34"/>
      <c r="N63" s="34">
        <f>I3</f>
        <v>6327.27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371.99</v>
      </c>
      <c r="L64" s="34"/>
      <c r="M64" s="34"/>
      <c r="N64" s="34">
        <f>J3</f>
        <v>371.99</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349.07</v>
      </c>
      <c r="L66" s="34"/>
      <c r="M66" s="34"/>
      <c r="N66" s="34">
        <f>K3</f>
        <v>349.07</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9535.06</v>
      </c>
      <c r="L68" s="34">
        <f>SUM(L58:L67)</f>
        <v>0</v>
      </c>
      <c r="M68" s="34">
        <f>SUM(M58:M67)</f>
        <v>0</v>
      </c>
      <c r="N68" s="34">
        <f>SUM(N58:N67)</f>
        <v>9535.06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9535.06</v>
      </c>
      <c r="L69" s="34">
        <f t="shared" si="20"/>
        <v>0</v>
      </c>
      <c r="M69" s="34">
        <f t="shared" si="20"/>
        <v>0</v>
      </c>
      <c r="N69" s="34">
        <f t="shared" si="20"/>
        <v>9535.06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55.81</v>
      </c>
      <c r="L71" s="34"/>
      <c r="M71" s="34"/>
      <c r="N71" s="34">
        <f>D4</f>
        <v>55.81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397.22</v>
      </c>
      <c r="L72" s="34"/>
      <c r="M72" s="34"/>
      <c r="N72" s="34">
        <f>E4</f>
        <v>397.22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575.63</v>
      </c>
      <c r="L73" s="34"/>
      <c r="M73" s="34"/>
      <c r="N73" s="34">
        <f>G4-SUM(N14,N26,N39,N52)</f>
        <v>575.63</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253.34</v>
      </c>
      <c r="L74" s="34"/>
      <c r="M74" s="34"/>
      <c r="N74" s="34">
        <f>H4</f>
        <v>253.34</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3261.92</v>
      </c>
      <c r="L75" s="34"/>
      <c r="M75" s="34"/>
      <c r="N75" s="34">
        <f>I4</f>
        <v>3261.92</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191.77</v>
      </c>
      <c r="L76" s="34"/>
      <c r="M76" s="34"/>
      <c r="N76" s="34">
        <f>J4</f>
        <v>191.77</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179.96</v>
      </c>
      <c r="L78" s="34"/>
      <c r="M78" s="34"/>
      <c r="N78" s="34">
        <f>K4</f>
        <v>179.96</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4915.6500000000005</v>
      </c>
      <c r="L80" s="34">
        <f>SUM(L70:L79)</f>
        <v>0</v>
      </c>
      <c r="M80" s="34">
        <f>SUM(M70:M79)</f>
        <v>0</v>
      </c>
      <c r="N80" s="34">
        <f>SUM(N70:N79)</f>
        <v>4915.6500000000005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4915.6500000000005</v>
      </c>
      <c r="L81" s="34">
        <f t="shared" si="23"/>
        <v>0</v>
      </c>
      <c r="M81" s="34">
        <f t="shared" si="23"/>
        <v>0</v>
      </c>
      <c r="N81" s="34">
        <f t="shared" si="23"/>
        <v>4915.6500000000005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14450.71</v>
      </c>
      <c r="L82" s="34">
        <f>L69+L81</f>
        <v>0</v>
      </c>
      <c r="M82" s="34">
        <f>M69+M81</f>
        <v>0</v>
      </c>
      <c r="N82" s="34">
        <f>N69+N81</f>
        <v>14450.71</v>
      </c>
      <c r="O82" s="8"/>
      <c r="R82" s="14"/>
      <c r="Z82" s="15"/>
      <c r="AJ82" s="16"/>
    </row>
    <row r="83" spans="1:36" s="31" customFormat="1" ht="21.95" customHeight="1" x14ac:dyDescent="0.2">
      <c r="A83" s="275" t="s">
        <v>82</v>
      </c>
      <c r="B83" s="275"/>
      <c r="C83" s="275"/>
      <c r="D83" s="275"/>
      <c r="E83" s="275"/>
      <c r="F83" s="275"/>
      <c r="G83" s="275"/>
      <c r="H83" s="275"/>
      <c r="I83" s="275"/>
      <c r="J83" s="35">
        <f>J18+J31+J44+J57+J82</f>
        <v>69232.317999999999</v>
      </c>
      <c r="K83" s="35">
        <f>K18+K31+K44+K57+K82</f>
        <v>310531.272</v>
      </c>
      <c r="L83" s="35">
        <f>L18+L31+L44+L57+L82</f>
        <v>242313.11299999998</v>
      </c>
      <c r="M83" s="35">
        <f>M18+M31+M44+M57+M82</f>
        <v>103848.477</v>
      </c>
      <c r="N83" s="38">
        <f>N18+N31+N44+N57+N82</f>
        <v>725925.17999999993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B341442-1530-416F-BD6E-D6BECD6A334E}">
          <x14:formula1>
            <xm:f>'2026 COB breakdown_Kris'!$A$5:$A$103</xm:f>
          </x14:formula1>
          <xm:sqref>A3</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5824-C94E-4DB9-A1B8-671989D49903}">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249</v>
      </c>
      <c r="B3" s="58" t="s">
        <v>158</v>
      </c>
      <c r="C3" s="59">
        <f>VLOOKUP($A3,COBTABLE,15, FALSE)</f>
        <v>3608.34</v>
      </c>
      <c r="D3" s="59">
        <f>VLOOKUP($A3,COBTABLE,16, FALSE)</f>
        <v>47.51</v>
      </c>
      <c r="E3" s="59">
        <f>VLOOKUP($A3,COBTABLE,17, FALSE)</f>
        <v>338.18</v>
      </c>
      <c r="F3" s="59">
        <f>VLOOKUP($A3,COBTABLE,18, FALSE)</f>
        <v>0</v>
      </c>
      <c r="G3" s="59">
        <f>VLOOKUP($A3,COBTABLE,19, FALSE)</f>
        <v>490.06</v>
      </c>
      <c r="H3" s="59">
        <f>VLOOKUP($A3,COBTABLE,20, FALSE)</f>
        <v>215.67</v>
      </c>
      <c r="I3" s="59">
        <f>VLOOKUP($A3,COBTABLE,21, FALSE)</f>
        <v>2777.02</v>
      </c>
      <c r="J3" s="59">
        <f>VLOOKUP($A3,COBTABLE,22, FALSE)</f>
        <v>163.26</v>
      </c>
      <c r="K3" s="59">
        <f>VLOOKUP($A3,COBTABLE,23, FALSE)</f>
        <v>153.21</v>
      </c>
      <c r="L3" s="59">
        <f>VLOOKUP($A3,COBTABLE,24, FALSE)</f>
        <v>1000</v>
      </c>
      <c r="M3" s="59">
        <f>VLOOKUP($A3,COBTABLE,25, FALSE)</f>
        <v>937.84000000000015</v>
      </c>
      <c r="N3" s="60">
        <f>VLOOKUP($A3, countrygrant,2,FALSE)</f>
        <v>456818.18</v>
      </c>
      <c r="O3" s="92">
        <f>SUM(C3:N3)</f>
        <v>466549.27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2116.89</v>
      </c>
      <c r="D4" s="59">
        <f>VLOOKUP($A3,COBTABLE,28, FALSE)</f>
        <v>27.87</v>
      </c>
      <c r="E4" s="59">
        <f>VLOOKUP($A3,COBTABLE,29, FALSE)</f>
        <v>198.4</v>
      </c>
      <c r="F4" s="59">
        <f>VLOOKUP($A3,COBTABLE,30, FALSE)</f>
        <v>0</v>
      </c>
      <c r="G4" s="59">
        <f>VLOOKUP($A3,COBTABLE,31, FALSE)</f>
        <v>287.5</v>
      </c>
      <c r="H4" s="59">
        <f>VLOOKUP($A3,COBTABLE,32, FALSE)</f>
        <v>126.53</v>
      </c>
      <c r="I4" s="59">
        <f>VLOOKUP($A3,COBTABLE,33, FALSE)</f>
        <v>1629.19</v>
      </c>
      <c r="J4" s="59">
        <f>VLOOKUP($A3,COBTABLE,34, FALSE)</f>
        <v>95.78</v>
      </c>
      <c r="K4" s="59">
        <f>VLOOKUP($A3,COBTABLE,35, FALSE)</f>
        <v>89.88</v>
      </c>
      <c r="L4" s="59">
        <f>VLOOKUP($A3,COBTABLE,36, FALSE)</f>
        <v>586.66999999999996</v>
      </c>
      <c r="M4" s="59">
        <f>VLOOKUP($A3,COBTABLE,37, FALSE)</f>
        <v>550.19999999999982</v>
      </c>
      <c r="N4" s="60">
        <f>VLOOKUP($A3, countrygrant,3,FALSE)</f>
        <v>268000</v>
      </c>
      <c r="O4" s="92">
        <f t="shared" ref="O4" si="0">SUM(C4:N4)</f>
        <v>273708.90999999997</v>
      </c>
      <c r="P4" s="28"/>
      <c r="Q4" s="28"/>
      <c r="R4" s="28"/>
      <c r="S4" s="28"/>
      <c r="T4" s="28"/>
      <c r="U4" s="28"/>
      <c r="V4" s="28"/>
      <c r="W4" s="28"/>
      <c r="X4" s="28"/>
      <c r="Y4" s="28"/>
      <c r="Z4" s="28"/>
      <c r="AA4" s="28"/>
      <c r="AB4" s="28"/>
      <c r="AC4" s="28"/>
    </row>
    <row r="5" spans="1:36" s="53" customFormat="1" ht="12" customHeight="1" x14ac:dyDescent="0.25">
      <c r="A5" s="278"/>
      <c r="B5" s="61" t="s">
        <v>156</v>
      </c>
      <c r="C5" s="62">
        <f>SUM(C3:C4)</f>
        <v>5725.23</v>
      </c>
      <c r="D5" s="62">
        <f t="shared" ref="D5:O5" si="1">SUM(D3:D4)</f>
        <v>75.38</v>
      </c>
      <c r="E5" s="62">
        <f t="shared" si="1"/>
        <v>536.58000000000004</v>
      </c>
      <c r="F5" s="62">
        <f t="shared" si="1"/>
        <v>0</v>
      </c>
      <c r="G5" s="62">
        <f t="shared" si="1"/>
        <v>777.56</v>
      </c>
      <c r="H5" s="62">
        <f t="shared" si="1"/>
        <v>342.2</v>
      </c>
      <c r="I5" s="62">
        <f t="shared" si="1"/>
        <v>4406.21</v>
      </c>
      <c r="J5" s="62">
        <f t="shared" si="1"/>
        <v>259.03999999999996</v>
      </c>
      <c r="K5" s="62">
        <f t="shared" si="1"/>
        <v>243.09</v>
      </c>
      <c r="L5" s="62">
        <f t="shared" si="1"/>
        <v>1586.67</v>
      </c>
      <c r="M5" s="62">
        <f t="shared" si="1"/>
        <v>1488.04</v>
      </c>
      <c r="N5" s="62">
        <f t="shared" si="1"/>
        <v>724818.17999999993</v>
      </c>
      <c r="O5" s="62">
        <f t="shared" si="1"/>
        <v>740258.17999999993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26800</v>
      </c>
      <c r="K28" s="34">
        <f>$N28*0.4</f>
        <v>107200</v>
      </c>
      <c r="L28" s="34">
        <f>$N28*0.35</f>
        <v>93800</v>
      </c>
      <c r="M28" s="34">
        <f>$N28*0.15</f>
        <v>40200</v>
      </c>
      <c r="N28" s="34">
        <f>N4</f>
        <v>268000</v>
      </c>
      <c r="O28" s="8"/>
      <c r="P28" s="9">
        <f>VLOOKUP(H28,starratio4,4,FALSE)</f>
        <v>0</v>
      </c>
    </row>
    <row r="29" spans="1:36" ht="21.95" customHeight="1" x14ac:dyDescent="0.2">
      <c r="A29" s="262"/>
      <c r="B29" s="262"/>
      <c r="C29" s="263" t="s">
        <v>31</v>
      </c>
      <c r="D29" s="263"/>
      <c r="E29" s="263"/>
      <c r="F29" s="263"/>
      <c r="G29" s="263"/>
      <c r="H29" s="263"/>
      <c r="I29" s="263"/>
      <c r="J29" s="34">
        <f>SUM(J25:J28)</f>
        <v>26800</v>
      </c>
      <c r="K29" s="34">
        <f>SUM(K25:K28)</f>
        <v>107200</v>
      </c>
      <c r="L29" s="34">
        <f>SUM(L25:L28)</f>
        <v>93800</v>
      </c>
      <c r="M29" s="34">
        <f>SUM(M25:M28)</f>
        <v>40200</v>
      </c>
      <c r="N29" s="34">
        <f>SUM(N25:N28)</f>
        <v>268000</v>
      </c>
      <c r="O29" s="8"/>
      <c r="P29" s="9"/>
    </row>
    <row r="30" spans="1:36" ht="21.95" customHeight="1" x14ac:dyDescent="0.2">
      <c r="A30" s="262"/>
      <c r="B30" s="263" t="s">
        <v>44</v>
      </c>
      <c r="C30" s="263"/>
      <c r="D30" s="263"/>
      <c r="E30" s="263"/>
      <c r="F30" s="263"/>
      <c r="G30" s="263"/>
      <c r="H30" s="263"/>
      <c r="I30" s="263"/>
      <c r="J30" s="34">
        <f>J29</f>
        <v>26800</v>
      </c>
      <c r="K30" s="34">
        <f t="shared" ref="K30:N30" si="9">K29</f>
        <v>107200</v>
      </c>
      <c r="L30" s="34">
        <f t="shared" si="9"/>
        <v>93800</v>
      </c>
      <c r="M30" s="34">
        <f t="shared" si="9"/>
        <v>40200</v>
      </c>
      <c r="N30" s="34">
        <f t="shared" si="9"/>
        <v>268000</v>
      </c>
      <c r="O30" s="8"/>
      <c r="Q30" s="10"/>
      <c r="Z30" s="11"/>
      <c r="AC30" s="12"/>
      <c r="AD30" s="13"/>
    </row>
    <row r="31" spans="1:36" ht="21.95" customHeight="1" x14ac:dyDescent="0.2">
      <c r="A31" s="261" t="s">
        <v>45</v>
      </c>
      <c r="B31" s="261"/>
      <c r="C31" s="261"/>
      <c r="D31" s="261"/>
      <c r="E31" s="261"/>
      <c r="F31" s="261"/>
      <c r="G31" s="261"/>
      <c r="H31" s="261"/>
      <c r="I31" s="261"/>
      <c r="J31" s="34">
        <f>J24+J30</f>
        <v>72481.817999999999</v>
      </c>
      <c r="K31" s="34">
        <f>K24+K30</f>
        <v>289927.272</v>
      </c>
      <c r="L31" s="34">
        <f>L24+L30</f>
        <v>253686.36299999998</v>
      </c>
      <c r="M31" s="34">
        <f>M24+M30</f>
        <v>108722.727</v>
      </c>
      <c r="N31" s="34">
        <f>N24+N30</f>
        <v>724818.17999999993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3608.34</v>
      </c>
      <c r="L45" s="34"/>
      <c r="M45" s="34"/>
      <c r="N45" s="34">
        <f>ROUND($C$3*P45,2)</f>
        <v>3608.34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1000</v>
      </c>
      <c r="L47" s="34"/>
      <c r="M47" s="34"/>
      <c r="N47" s="34">
        <f>ROUND($L$3*P47,2)</f>
        <v>1000</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937.84000000000015</v>
      </c>
      <c r="L48" s="34"/>
      <c r="M48" s="34"/>
      <c r="N48" s="34">
        <f>M3-SUM(N10,N21,N35)</f>
        <v>937.84000000000015</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5546.18</v>
      </c>
      <c r="L49" s="34">
        <f>SUM(L45:L48)</f>
        <v>0</v>
      </c>
      <c r="M49" s="34">
        <f>SUM(M45:M48)</f>
        <v>0</v>
      </c>
      <c r="N49" s="34">
        <f>SUM(N45:N48)</f>
        <v>5546.18</v>
      </c>
      <c r="O49" s="8"/>
      <c r="P49" s="9"/>
    </row>
    <row r="50" spans="1:36" ht="21.95" customHeight="1" x14ac:dyDescent="0.2">
      <c r="A50" s="262"/>
      <c r="B50" s="261" t="s">
        <v>60</v>
      </c>
      <c r="C50" s="261"/>
      <c r="D50" s="261"/>
      <c r="E50" s="261"/>
      <c r="F50" s="261"/>
      <c r="G50" s="261"/>
      <c r="H50" s="261"/>
      <c r="I50" s="261"/>
      <c r="J50" s="34">
        <f>J49</f>
        <v>0</v>
      </c>
      <c r="K50" s="34">
        <f t="shared" ref="K50:N50" si="15">K49</f>
        <v>5546.18</v>
      </c>
      <c r="L50" s="34">
        <f t="shared" si="15"/>
        <v>0</v>
      </c>
      <c r="M50" s="34">
        <f t="shared" si="15"/>
        <v>0</v>
      </c>
      <c r="N50" s="34">
        <f t="shared" si="15"/>
        <v>5546.18</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2116.89</v>
      </c>
      <c r="L51" s="34"/>
      <c r="M51" s="34"/>
      <c r="N51" s="34">
        <f>ROUND($C$4*P51,2)</f>
        <v>2116.89</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586.66999999999996</v>
      </c>
      <c r="L53" s="34"/>
      <c r="M53" s="34"/>
      <c r="N53" s="34">
        <f>ROUND($L$4*P53,2)</f>
        <v>586.66999999999996</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550.19999999999982</v>
      </c>
      <c r="L54" s="34"/>
      <c r="M54" s="34"/>
      <c r="N54" s="34">
        <f>M4-SUM(N15,N27,N41)</f>
        <v>550.19999999999982</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3253.7599999999998</v>
      </c>
      <c r="L55" s="34">
        <f>SUM(L51:L54)</f>
        <v>0</v>
      </c>
      <c r="M55" s="34">
        <f>SUM(M51:M54)</f>
        <v>0</v>
      </c>
      <c r="N55" s="34">
        <f>SUM(N51:N54)</f>
        <v>3253.7599999999998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3253.7599999999998</v>
      </c>
      <c r="L56" s="34">
        <f t="shared" si="17"/>
        <v>0</v>
      </c>
      <c r="M56" s="34">
        <f t="shared" si="17"/>
        <v>0</v>
      </c>
      <c r="N56" s="34">
        <f t="shared" si="17"/>
        <v>3253.7599999999998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8799.94</v>
      </c>
      <c r="L57" s="34">
        <f>L50+L56</f>
        <v>0</v>
      </c>
      <c r="M57" s="34">
        <f>M50+M56</f>
        <v>0</v>
      </c>
      <c r="N57" s="34">
        <f>N50+N56</f>
        <v>8799.94</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47.51</v>
      </c>
      <c r="L59" s="34"/>
      <c r="M59" s="34"/>
      <c r="N59" s="34">
        <f>D3</f>
        <v>47.51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338.18</v>
      </c>
      <c r="L60" s="34"/>
      <c r="M60" s="34"/>
      <c r="N60" s="34">
        <f>E3</f>
        <v>338.18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490.06</v>
      </c>
      <c r="L61" s="34"/>
      <c r="M61" s="34"/>
      <c r="N61" s="34">
        <f>G3-SUM(N9,N20,N33,N46)</f>
        <v>490.06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215.67</v>
      </c>
      <c r="L62" s="34"/>
      <c r="M62" s="34"/>
      <c r="N62" s="34">
        <f>H3</f>
        <v>215.67</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2777.02</v>
      </c>
      <c r="L63" s="34"/>
      <c r="M63" s="34"/>
      <c r="N63" s="34">
        <f>I3</f>
        <v>2777.02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163.26</v>
      </c>
      <c r="L64" s="34"/>
      <c r="M64" s="34"/>
      <c r="N64" s="34">
        <f>J3</f>
        <v>163.26</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153.21</v>
      </c>
      <c r="L66" s="34"/>
      <c r="M66" s="34"/>
      <c r="N66" s="34">
        <f>K3</f>
        <v>153.21</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4184.91</v>
      </c>
      <c r="L68" s="34">
        <f>SUM(L58:L67)</f>
        <v>0</v>
      </c>
      <c r="M68" s="34">
        <f>SUM(M58:M67)</f>
        <v>0</v>
      </c>
      <c r="N68" s="34">
        <f>SUM(N58:N67)</f>
        <v>4184.91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4184.91</v>
      </c>
      <c r="L69" s="34">
        <f t="shared" si="20"/>
        <v>0</v>
      </c>
      <c r="M69" s="34">
        <f t="shared" si="20"/>
        <v>0</v>
      </c>
      <c r="N69" s="34">
        <f t="shared" si="20"/>
        <v>4184.91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27.87</v>
      </c>
      <c r="L71" s="34"/>
      <c r="M71" s="34"/>
      <c r="N71" s="34">
        <f>D4</f>
        <v>27.87</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198.4</v>
      </c>
      <c r="L72" s="34"/>
      <c r="M72" s="34"/>
      <c r="N72" s="34">
        <f>E4</f>
        <v>198.4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287.5</v>
      </c>
      <c r="L73" s="34"/>
      <c r="M73" s="34"/>
      <c r="N73" s="34">
        <f>G4-SUM(N14,N26,N39,N52)</f>
        <v>287.5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126.53</v>
      </c>
      <c r="L74" s="34"/>
      <c r="M74" s="34"/>
      <c r="N74" s="34">
        <f>H4</f>
        <v>126.53</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1629.19</v>
      </c>
      <c r="L75" s="34"/>
      <c r="M75" s="34"/>
      <c r="N75" s="34">
        <f>I4</f>
        <v>1629.19</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95.78</v>
      </c>
      <c r="L76" s="34"/>
      <c r="M76" s="34"/>
      <c r="N76" s="34">
        <f>J4</f>
        <v>95.78</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89.88</v>
      </c>
      <c r="L78" s="34"/>
      <c r="M78" s="34"/>
      <c r="N78" s="34">
        <f>K4</f>
        <v>89.88</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2455.15</v>
      </c>
      <c r="L80" s="34">
        <f>SUM(L70:L79)</f>
        <v>0</v>
      </c>
      <c r="M80" s="34">
        <f>SUM(M70:M79)</f>
        <v>0</v>
      </c>
      <c r="N80" s="34">
        <f>SUM(N70:N79)</f>
        <v>2455.15</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2455.15</v>
      </c>
      <c r="L81" s="34">
        <f t="shared" si="23"/>
        <v>0</v>
      </c>
      <c r="M81" s="34">
        <f t="shared" si="23"/>
        <v>0</v>
      </c>
      <c r="N81" s="34">
        <f t="shared" si="23"/>
        <v>2455.15</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6640.0599999999995</v>
      </c>
      <c r="L82" s="34">
        <f>L69+L81</f>
        <v>0</v>
      </c>
      <c r="M82" s="34">
        <f>M69+M81</f>
        <v>0</v>
      </c>
      <c r="N82" s="34">
        <f>N69+N81</f>
        <v>6640.0599999999995</v>
      </c>
      <c r="O82" s="8"/>
      <c r="R82" s="14"/>
      <c r="Z82" s="15"/>
      <c r="AJ82" s="16"/>
    </row>
    <row r="83" spans="1:36" s="31" customFormat="1" ht="21.95" customHeight="1" x14ac:dyDescent="0.2">
      <c r="A83" s="275" t="s">
        <v>82</v>
      </c>
      <c r="B83" s="275"/>
      <c r="C83" s="275"/>
      <c r="D83" s="275"/>
      <c r="E83" s="275"/>
      <c r="F83" s="275"/>
      <c r="G83" s="275"/>
      <c r="H83" s="275"/>
      <c r="I83" s="275"/>
      <c r="J83" s="35">
        <f>J18+J31+J44+J57+J82</f>
        <v>72481.817999999999</v>
      </c>
      <c r="K83" s="35">
        <f>K18+K31+K44+K57+K82</f>
        <v>305367.272</v>
      </c>
      <c r="L83" s="35">
        <f>L18+L31+L44+L57+L82</f>
        <v>253686.36299999998</v>
      </c>
      <c r="M83" s="35">
        <f>M18+M31+M44+M57+M82</f>
        <v>108722.727</v>
      </c>
      <c r="N83" s="38">
        <f>N18+N31+N44+N57+N82</f>
        <v>740258.17999999993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E501586-2823-4AE4-B092-310CEBABD159}">
          <x14:formula1>
            <xm:f>'2026 COB breakdown_Kris'!$A$5:$A$103</xm:f>
          </x14:formula1>
          <xm:sqref>A3</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D5117-2996-4F5A-8926-07DB780812F1}">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250</v>
      </c>
      <c r="B3" s="58" t="s">
        <v>158</v>
      </c>
      <c r="C3" s="59">
        <f>VLOOKUP($A3,COBTABLE,15, FALSE)</f>
        <v>19011.55</v>
      </c>
      <c r="D3" s="59">
        <f>VLOOKUP($A3,COBTABLE,16, FALSE)</f>
        <v>250.32</v>
      </c>
      <c r="E3" s="59">
        <f>VLOOKUP($A3,COBTABLE,17, FALSE)</f>
        <v>1781.77</v>
      </c>
      <c r="F3" s="59">
        <f>VLOOKUP($A3,COBTABLE,18, FALSE)</f>
        <v>0</v>
      </c>
      <c r="G3" s="59">
        <f>VLOOKUP($A3,COBTABLE,19, FALSE)</f>
        <v>2582.02</v>
      </c>
      <c r="H3" s="59">
        <f>VLOOKUP($A3,COBTABLE,20, FALSE)</f>
        <v>1136.3399999999999</v>
      </c>
      <c r="I3" s="59">
        <f>VLOOKUP($A3,COBTABLE,21, FALSE)</f>
        <v>14631.5</v>
      </c>
      <c r="J3" s="59">
        <f>VLOOKUP($A3,COBTABLE,22, FALSE)</f>
        <v>860.2</v>
      </c>
      <c r="K3" s="59">
        <f>VLOOKUP($A3,COBTABLE,23, FALSE)</f>
        <v>807.22</v>
      </c>
      <c r="L3" s="59">
        <f>VLOOKUP($A3,COBTABLE,24, FALSE)</f>
        <v>5268.8</v>
      </c>
      <c r="M3" s="59">
        <f>VLOOKUP($A3,COBTABLE,25, FALSE)</f>
        <v>4941.2799999999988</v>
      </c>
      <c r="N3" s="60">
        <f>VLOOKUP($A3, countrygrant,2,FALSE)</f>
        <v>456818.18</v>
      </c>
      <c r="O3" s="92">
        <f>SUM(C3:N3)</f>
        <v>508089.18</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0</v>
      </c>
      <c r="D4" s="59">
        <f>VLOOKUP($A3,COBTABLE,28, FALSE)</f>
        <v>0</v>
      </c>
      <c r="E4" s="59">
        <f>VLOOKUP($A3,COBTABLE,29, FALSE)</f>
        <v>0</v>
      </c>
      <c r="F4" s="59">
        <f>VLOOKUP($A3,COBTABLE,30, FALSE)</f>
        <v>0</v>
      </c>
      <c r="G4" s="59">
        <f>VLOOKUP($A3,COBTABLE,31, FALSE)</f>
        <v>0</v>
      </c>
      <c r="H4" s="59">
        <f>VLOOKUP($A3,COBTABLE,32, FALSE)</f>
        <v>0</v>
      </c>
      <c r="I4" s="59">
        <f>VLOOKUP($A3,COBTABLE,33, FALSE)</f>
        <v>0</v>
      </c>
      <c r="J4" s="59">
        <f>VLOOKUP($A3,COBTABLE,34, FALSE)</f>
        <v>0</v>
      </c>
      <c r="K4" s="59">
        <f>VLOOKUP($A3,COBTABLE,35, FALSE)</f>
        <v>0</v>
      </c>
      <c r="L4" s="59">
        <f>VLOOKUP($A3,COBTABLE,36, FALSE)</f>
        <v>0</v>
      </c>
      <c r="M4" s="59">
        <f>VLOOKUP($A3,COBTABLE,37, FALSE)</f>
        <v>0</v>
      </c>
      <c r="N4" s="60">
        <f>VLOOKUP($A3, countrygrant,3,FALSE)</f>
        <v>0</v>
      </c>
      <c r="O4" s="92">
        <f t="shared" ref="O4" si="0">SUM(C4:N4)</f>
        <v>0</v>
      </c>
      <c r="P4" s="28"/>
      <c r="Q4" s="28"/>
      <c r="R4" s="28"/>
      <c r="S4" s="28"/>
      <c r="T4" s="28"/>
      <c r="U4" s="28"/>
      <c r="V4" s="28"/>
      <c r="W4" s="28"/>
      <c r="X4" s="28"/>
      <c r="Y4" s="28"/>
      <c r="Z4" s="28"/>
      <c r="AA4" s="28"/>
      <c r="AB4" s="28"/>
      <c r="AC4" s="28"/>
    </row>
    <row r="5" spans="1:36" s="53" customFormat="1" ht="12" customHeight="1" x14ac:dyDescent="0.25">
      <c r="A5" s="278"/>
      <c r="B5" s="61" t="s">
        <v>156</v>
      </c>
      <c r="C5" s="62">
        <f>SUM(C3:C4)</f>
        <v>19011.55</v>
      </c>
      <c r="D5" s="62">
        <f t="shared" ref="D5:O5" si="1">SUM(D3:D4)</f>
        <v>250.32</v>
      </c>
      <c r="E5" s="62">
        <f t="shared" si="1"/>
        <v>1781.77</v>
      </c>
      <c r="F5" s="62">
        <f t="shared" si="1"/>
        <v>0</v>
      </c>
      <c r="G5" s="62">
        <f t="shared" si="1"/>
        <v>2582.02</v>
      </c>
      <c r="H5" s="62">
        <f t="shared" si="1"/>
        <v>1136.3399999999999</v>
      </c>
      <c r="I5" s="62">
        <f t="shared" si="1"/>
        <v>14631.5</v>
      </c>
      <c r="J5" s="62">
        <f t="shared" si="1"/>
        <v>860.2</v>
      </c>
      <c r="K5" s="62">
        <f t="shared" si="1"/>
        <v>807.22</v>
      </c>
      <c r="L5" s="62">
        <f t="shared" si="1"/>
        <v>5268.8</v>
      </c>
      <c r="M5" s="62">
        <f t="shared" si="1"/>
        <v>4941.2799999999988</v>
      </c>
      <c r="N5" s="62">
        <f t="shared" si="1"/>
        <v>456818.18</v>
      </c>
      <c r="O5" s="62">
        <f t="shared" si="1"/>
        <v>508089.18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0</v>
      </c>
      <c r="K28" s="34">
        <f>$N28*0.4</f>
        <v>0</v>
      </c>
      <c r="L28" s="34">
        <f>$N28*0.35</f>
        <v>0</v>
      </c>
      <c r="M28" s="34">
        <f>$N28*0.15</f>
        <v>0</v>
      </c>
      <c r="N28" s="34">
        <f>N4</f>
        <v>0</v>
      </c>
      <c r="O28" s="8"/>
      <c r="P28" s="9">
        <f>VLOOKUP(H28,starratio4,4,FALSE)</f>
        <v>0</v>
      </c>
    </row>
    <row r="29" spans="1:36" ht="21.95" customHeight="1" x14ac:dyDescent="0.2">
      <c r="A29" s="262"/>
      <c r="B29" s="262"/>
      <c r="C29" s="263" t="s">
        <v>31</v>
      </c>
      <c r="D29" s="263"/>
      <c r="E29" s="263"/>
      <c r="F29" s="263"/>
      <c r="G29" s="263"/>
      <c r="H29" s="263"/>
      <c r="I29" s="263"/>
      <c r="J29" s="34">
        <f>SUM(J25:J28)</f>
        <v>0</v>
      </c>
      <c r="K29" s="34">
        <f>SUM(K25:K28)</f>
        <v>0</v>
      </c>
      <c r="L29" s="34">
        <f>SUM(L25:L28)</f>
        <v>0</v>
      </c>
      <c r="M29" s="34">
        <f>SUM(M25:M28)</f>
        <v>0</v>
      </c>
      <c r="N29" s="34">
        <f>SUM(N25:N28)</f>
        <v>0</v>
      </c>
      <c r="O29" s="8"/>
      <c r="P29" s="9"/>
    </row>
    <row r="30" spans="1:36" ht="21.95" customHeight="1" x14ac:dyDescent="0.2">
      <c r="A30" s="262"/>
      <c r="B30" s="263" t="s">
        <v>44</v>
      </c>
      <c r="C30" s="263"/>
      <c r="D30" s="263"/>
      <c r="E30" s="263"/>
      <c r="F30" s="263"/>
      <c r="G30" s="263"/>
      <c r="H30" s="263"/>
      <c r="I30" s="263"/>
      <c r="J30" s="34">
        <f>J29</f>
        <v>0</v>
      </c>
      <c r="K30" s="34">
        <f t="shared" ref="K30:N30" si="9">K29</f>
        <v>0</v>
      </c>
      <c r="L30" s="34">
        <f t="shared" si="9"/>
        <v>0</v>
      </c>
      <c r="M30" s="34">
        <f t="shared" si="9"/>
        <v>0</v>
      </c>
      <c r="N30" s="34">
        <f t="shared" si="9"/>
        <v>0</v>
      </c>
      <c r="O30" s="8"/>
      <c r="Q30" s="10"/>
      <c r="Z30" s="11"/>
      <c r="AC30" s="12"/>
      <c r="AD30" s="13"/>
    </row>
    <row r="31" spans="1:36" ht="21.95" customHeight="1" x14ac:dyDescent="0.2">
      <c r="A31" s="261" t="s">
        <v>45</v>
      </c>
      <c r="B31" s="261"/>
      <c r="C31" s="261"/>
      <c r="D31" s="261"/>
      <c r="E31" s="261"/>
      <c r="F31" s="261"/>
      <c r="G31" s="261"/>
      <c r="H31" s="261"/>
      <c r="I31" s="261"/>
      <c r="J31" s="34">
        <f>J24+J30</f>
        <v>45681.817999999999</v>
      </c>
      <c r="K31" s="34">
        <f>K24+K30</f>
        <v>182727.272</v>
      </c>
      <c r="L31" s="34">
        <f>L24+L30</f>
        <v>159886.36299999998</v>
      </c>
      <c r="M31" s="34">
        <f>M24+M30</f>
        <v>68522.726999999999</v>
      </c>
      <c r="N31" s="34">
        <f>N24+N30</f>
        <v>456818.18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19011.55</v>
      </c>
      <c r="L45" s="34"/>
      <c r="M45" s="34"/>
      <c r="N45" s="34">
        <f>ROUND($C$3*P45,2)</f>
        <v>19011.55</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5268.8</v>
      </c>
      <c r="L47" s="34"/>
      <c r="M47" s="34"/>
      <c r="N47" s="34">
        <f>ROUND($L$3*P47,2)</f>
        <v>5268.8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4941.2799999999988</v>
      </c>
      <c r="L48" s="34"/>
      <c r="M48" s="34"/>
      <c r="N48" s="34">
        <f>M3-SUM(N10,N21,N35)</f>
        <v>4941.2799999999988</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29221.629999999997</v>
      </c>
      <c r="L49" s="34">
        <f>SUM(L45:L48)</f>
        <v>0</v>
      </c>
      <c r="M49" s="34">
        <f>SUM(M45:M48)</f>
        <v>0</v>
      </c>
      <c r="N49" s="34">
        <f>SUM(N45:N48)</f>
        <v>29221.629999999997</v>
      </c>
      <c r="O49" s="8"/>
      <c r="P49" s="9"/>
    </row>
    <row r="50" spans="1:36" ht="21.95" customHeight="1" x14ac:dyDescent="0.2">
      <c r="A50" s="262"/>
      <c r="B50" s="261" t="s">
        <v>60</v>
      </c>
      <c r="C50" s="261"/>
      <c r="D50" s="261"/>
      <c r="E50" s="261"/>
      <c r="F50" s="261"/>
      <c r="G50" s="261"/>
      <c r="H50" s="261"/>
      <c r="I50" s="261"/>
      <c r="J50" s="34">
        <f>J49</f>
        <v>0</v>
      </c>
      <c r="K50" s="34">
        <f t="shared" ref="K50:N50" si="15">K49</f>
        <v>29221.629999999997</v>
      </c>
      <c r="L50" s="34">
        <f t="shared" si="15"/>
        <v>0</v>
      </c>
      <c r="M50" s="34">
        <f t="shared" si="15"/>
        <v>0</v>
      </c>
      <c r="N50" s="34">
        <f t="shared" si="15"/>
        <v>29221.629999999997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0</v>
      </c>
      <c r="L51" s="34"/>
      <c r="M51" s="34"/>
      <c r="N51" s="34">
        <f>ROUND($C$4*P51,2)</f>
        <v>0</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0</v>
      </c>
      <c r="L53" s="34"/>
      <c r="M53" s="34"/>
      <c r="N53" s="34">
        <f>ROUND($L$4*P53,2)</f>
        <v>0</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0</v>
      </c>
      <c r="L54" s="34"/>
      <c r="M54" s="34"/>
      <c r="N54" s="34">
        <f>M4-SUM(N15,N27,N41)</f>
        <v>0</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0</v>
      </c>
      <c r="L55" s="34">
        <f>SUM(L51:L54)</f>
        <v>0</v>
      </c>
      <c r="M55" s="34">
        <f>SUM(M51:M54)</f>
        <v>0</v>
      </c>
      <c r="N55" s="34">
        <f>SUM(N51:N54)</f>
        <v>0</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0</v>
      </c>
      <c r="L56" s="34">
        <f t="shared" si="17"/>
        <v>0</v>
      </c>
      <c r="M56" s="34">
        <f t="shared" si="17"/>
        <v>0</v>
      </c>
      <c r="N56" s="34">
        <f t="shared" si="17"/>
        <v>0</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29221.629999999997</v>
      </c>
      <c r="L57" s="34">
        <f>L50+L56</f>
        <v>0</v>
      </c>
      <c r="M57" s="34">
        <f>M50+M56</f>
        <v>0</v>
      </c>
      <c r="N57" s="34">
        <f>N50+N56</f>
        <v>29221.629999999997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250.32</v>
      </c>
      <c r="L59" s="34"/>
      <c r="M59" s="34"/>
      <c r="N59" s="34">
        <f>D3</f>
        <v>250.32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1781.77</v>
      </c>
      <c r="L60" s="34"/>
      <c r="M60" s="34"/>
      <c r="N60" s="34">
        <f>E3</f>
        <v>1781.77</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2582.02</v>
      </c>
      <c r="L61" s="34"/>
      <c r="M61" s="34"/>
      <c r="N61" s="34">
        <f>G3-SUM(N9,N20,N33,N46)</f>
        <v>2582.02</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1136.3399999999999</v>
      </c>
      <c r="L62" s="34"/>
      <c r="M62" s="34"/>
      <c r="N62" s="34">
        <f>H3</f>
        <v>1136.3399999999999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14631.5</v>
      </c>
      <c r="L63" s="34"/>
      <c r="M63" s="34"/>
      <c r="N63" s="34">
        <f>I3</f>
        <v>14631.5</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860.2</v>
      </c>
      <c r="L64" s="34"/>
      <c r="M64" s="34"/>
      <c r="N64" s="34">
        <f>J3</f>
        <v>860.2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807.22</v>
      </c>
      <c r="L66" s="34"/>
      <c r="M66" s="34"/>
      <c r="N66" s="34">
        <f>K3</f>
        <v>807.22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22049.370000000003</v>
      </c>
      <c r="L68" s="34">
        <f>SUM(L58:L67)</f>
        <v>0</v>
      </c>
      <c r="M68" s="34">
        <f>SUM(M58:M67)</f>
        <v>0</v>
      </c>
      <c r="N68" s="34">
        <f>SUM(N58:N67)</f>
        <v>22049.370000000003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22049.370000000003</v>
      </c>
      <c r="L69" s="34">
        <f t="shared" si="20"/>
        <v>0</v>
      </c>
      <c r="M69" s="34">
        <f t="shared" si="20"/>
        <v>0</v>
      </c>
      <c r="N69" s="34">
        <f t="shared" si="20"/>
        <v>22049.370000000003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0</v>
      </c>
      <c r="L71" s="34"/>
      <c r="M71" s="34"/>
      <c r="N71" s="34">
        <f>D4</f>
        <v>0</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0</v>
      </c>
      <c r="L72" s="34"/>
      <c r="M72" s="34"/>
      <c r="N72" s="34">
        <f>E4</f>
        <v>0</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0</v>
      </c>
      <c r="L73" s="34"/>
      <c r="M73" s="34"/>
      <c r="N73" s="34">
        <f>G4-SUM(N14,N26,N39,N52)</f>
        <v>0</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0</v>
      </c>
      <c r="L74" s="34"/>
      <c r="M74" s="34"/>
      <c r="N74" s="34">
        <f>H4</f>
        <v>0</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0</v>
      </c>
      <c r="L75" s="34"/>
      <c r="M75" s="34"/>
      <c r="N75" s="34">
        <f>I4</f>
        <v>0</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0</v>
      </c>
      <c r="L76" s="34"/>
      <c r="M76" s="34"/>
      <c r="N76" s="34">
        <f>J4</f>
        <v>0</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0</v>
      </c>
      <c r="L78" s="34"/>
      <c r="M78" s="34"/>
      <c r="N78" s="34">
        <f>K4</f>
        <v>0</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0</v>
      </c>
      <c r="L80" s="34">
        <f>SUM(L70:L79)</f>
        <v>0</v>
      </c>
      <c r="M80" s="34">
        <f>SUM(M70:M79)</f>
        <v>0</v>
      </c>
      <c r="N80" s="34">
        <f>SUM(N70:N79)</f>
        <v>0</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0</v>
      </c>
      <c r="L81" s="34">
        <f t="shared" si="23"/>
        <v>0</v>
      </c>
      <c r="M81" s="34">
        <f t="shared" si="23"/>
        <v>0</v>
      </c>
      <c r="N81" s="34">
        <f t="shared" si="23"/>
        <v>0</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22049.370000000003</v>
      </c>
      <c r="L82" s="34">
        <f>L69+L81</f>
        <v>0</v>
      </c>
      <c r="M82" s="34">
        <f>M69+M81</f>
        <v>0</v>
      </c>
      <c r="N82" s="34">
        <f>N69+N81</f>
        <v>22049.370000000003</v>
      </c>
      <c r="O82" s="8"/>
      <c r="R82" s="14"/>
      <c r="Z82" s="15"/>
      <c r="AJ82" s="16"/>
    </row>
    <row r="83" spans="1:36" s="31" customFormat="1" ht="21.95" customHeight="1" x14ac:dyDescent="0.2">
      <c r="A83" s="275" t="s">
        <v>82</v>
      </c>
      <c r="B83" s="275"/>
      <c r="C83" s="275"/>
      <c r="D83" s="275"/>
      <c r="E83" s="275"/>
      <c r="F83" s="275"/>
      <c r="G83" s="275"/>
      <c r="H83" s="275"/>
      <c r="I83" s="275"/>
      <c r="J83" s="35">
        <f>J18+J31+J44+J57+J82</f>
        <v>45681.817999999999</v>
      </c>
      <c r="K83" s="35">
        <f>K18+K31+K44+K57+K82</f>
        <v>233998.272</v>
      </c>
      <c r="L83" s="35">
        <f>L18+L31+L44+L57+L82</f>
        <v>159886.36299999998</v>
      </c>
      <c r="M83" s="35">
        <f>M18+M31+M44+M57+M82</f>
        <v>68522.726999999999</v>
      </c>
      <c r="N83" s="38">
        <f>N18+N31+N44+N57+N82</f>
        <v>508089.18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7157E47-4A8B-45D9-8974-AD20DFD7DC6D}">
          <x14:formula1>
            <xm:f>'2026 COB breakdown_Kris'!$A$5:$A$103</xm:f>
          </x14:formula1>
          <xm:sqref>A3</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F815E-A8CA-492F-998E-2738FEA39852}">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251</v>
      </c>
      <c r="B3" s="58" t="s">
        <v>158</v>
      </c>
      <c r="C3" s="59">
        <f>VLOOKUP($A3,COBTABLE,15, FALSE)</f>
        <v>2469.2600000000002</v>
      </c>
      <c r="D3" s="59">
        <f>VLOOKUP($A3,COBTABLE,16, FALSE)</f>
        <v>32.51</v>
      </c>
      <c r="E3" s="59">
        <f>VLOOKUP($A3,COBTABLE,17, FALSE)</f>
        <v>231.42</v>
      </c>
      <c r="F3" s="59">
        <f>VLOOKUP($A3,COBTABLE,18, FALSE)</f>
        <v>0</v>
      </c>
      <c r="G3" s="59">
        <f>VLOOKUP($A3,COBTABLE,19, FALSE)</f>
        <v>335.36</v>
      </c>
      <c r="H3" s="59">
        <f>VLOOKUP($A3,COBTABLE,20, FALSE)</f>
        <v>147.59</v>
      </c>
      <c r="I3" s="59">
        <f>VLOOKUP($A3,COBTABLE,21, FALSE)</f>
        <v>1900.37</v>
      </c>
      <c r="J3" s="59">
        <f>VLOOKUP($A3,COBTABLE,22, FALSE)</f>
        <v>111.72</v>
      </c>
      <c r="K3" s="59">
        <f>VLOOKUP($A3,COBTABLE,23, FALSE)</f>
        <v>104.84</v>
      </c>
      <c r="L3" s="59">
        <f>VLOOKUP($A3,COBTABLE,24, FALSE)</f>
        <v>684.32</v>
      </c>
      <c r="M3" s="59">
        <f>VLOOKUP($A3,COBTABLE,25, FALSE)</f>
        <v>641.78999999999814</v>
      </c>
      <c r="N3" s="60">
        <f>VLOOKUP($A3, countrygrant,2,FALSE)</f>
        <v>456818.18</v>
      </c>
      <c r="O3" s="92">
        <f>SUM(C3:N3)</f>
        <v>463477.36</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4708.05</v>
      </c>
      <c r="D4" s="59">
        <f>VLOOKUP($A3,COBTABLE,28, FALSE)</f>
        <v>61.99</v>
      </c>
      <c r="E4" s="59">
        <f>VLOOKUP($A3,COBTABLE,29, FALSE)</f>
        <v>441.24</v>
      </c>
      <c r="F4" s="59">
        <f>VLOOKUP($A3,COBTABLE,30, FALSE)</f>
        <v>0</v>
      </c>
      <c r="G4" s="59">
        <f>VLOOKUP($A3,COBTABLE,31, FALSE)</f>
        <v>639.41</v>
      </c>
      <c r="H4" s="59">
        <f>VLOOKUP($A3,COBTABLE,32, FALSE)</f>
        <v>281.41000000000003</v>
      </c>
      <c r="I4" s="59">
        <f>VLOOKUP($A3,COBTABLE,33, FALSE)</f>
        <v>3623.37</v>
      </c>
      <c r="J4" s="59">
        <f>VLOOKUP($A3,COBTABLE,34, FALSE)</f>
        <v>213.02</v>
      </c>
      <c r="K4" s="59">
        <f>VLOOKUP($A3,COBTABLE,35, FALSE)</f>
        <v>199.9</v>
      </c>
      <c r="L4" s="59">
        <f>VLOOKUP($A3,COBTABLE,36, FALSE)</f>
        <v>1304.78</v>
      </c>
      <c r="M4" s="59">
        <f>VLOOKUP($A3,COBTABLE,37, FALSE)</f>
        <v>1223.6599999999999</v>
      </c>
      <c r="N4" s="60">
        <f>VLOOKUP($A3, countrygrant,3,FALSE)</f>
        <v>871000</v>
      </c>
      <c r="O4" s="92">
        <f t="shared" ref="O4" si="0">SUM(C4:N4)</f>
        <v>883696.83</v>
      </c>
      <c r="P4" s="28"/>
      <c r="Q4" s="28"/>
      <c r="R4" s="28"/>
      <c r="S4" s="28"/>
      <c r="T4" s="28"/>
      <c r="U4" s="28"/>
      <c r="V4" s="28"/>
      <c r="W4" s="28"/>
      <c r="X4" s="28"/>
      <c r="Y4" s="28"/>
      <c r="Z4" s="28"/>
      <c r="AA4" s="28"/>
      <c r="AB4" s="28"/>
      <c r="AC4" s="28"/>
    </row>
    <row r="5" spans="1:36" s="53" customFormat="1" ht="12" customHeight="1" x14ac:dyDescent="0.25">
      <c r="A5" s="278"/>
      <c r="B5" s="61" t="s">
        <v>156</v>
      </c>
      <c r="C5" s="62">
        <f>SUM(C3:C4)</f>
        <v>7177.31</v>
      </c>
      <c r="D5" s="62">
        <f t="shared" ref="D5:O5" si="1">SUM(D3:D4)</f>
        <v>94.5</v>
      </c>
      <c r="E5" s="62">
        <f t="shared" si="1"/>
        <v>672.66</v>
      </c>
      <c r="F5" s="62">
        <f t="shared" si="1"/>
        <v>0</v>
      </c>
      <c r="G5" s="62">
        <f t="shared" si="1"/>
        <v>974.77</v>
      </c>
      <c r="H5" s="62">
        <f t="shared" si="1"/>
        <v>429</v>
      </c>
      <c r="I5" s="62">
        <f t="shared" si="1"/>
        <v>5523.74</v>
      </c>
      <c r="J5" s="62">
        <f t="shared" si="1"/>
        <v>324.74</v>
      </c>
      <c r="K5" s="62">
        <f t="shared" si="1"/>
        <v>304.74</v>
      </c>
      <c r="L5" s="62">
        <f t="shared" si="1"/>
        <v>1989.1</v>
      </c>
      <c r="M5" s="62">
        <f t="shared" si="1"/>
        <v>1865.449999999998</v>
      </c>
      <c r="N5" s="62">
        <f t="shared" si="1"/>
        <v>1327818.18</v>
      </c>
      <c r="O5" s="62">
        <f t="shared" si="1"/>
        <v>1347174.19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87100</v>
      </c>
      <c r="K28" s="34">
        <f>$N28*0.4</f>
        <v>348400</v>
      </c>
      <c r="L28" s="34">
        <f>$N28*0.35</f>
        <v>304850</v>
      </c>
      <c r="M28" s="34">
        <f>$N28*0.15</f>
        <v>130650</v>
      </c>
      <c r="N28" s="34">
        <f>N4</f>
        <v>871000</v>
      </c>
      <c r="O28" s="8"/>
      <c r="P28" s="9">
        <f>VLOOKUP(H28,starratio4,4,FALSE)</f>
        <v>0</v>
      </c>
    </row>
    <row r="29" spans="1:36" ht="21.95" customHeight="1" x14ac:dyDescent="0.2">
      <c r="A29" s="262"/>
      <c r="B29" s="262"/>
      <c r="C29" s="263" t="s">
        <v>31</v>
      </c>
      <c r="D29" s="263"/>
      <c r="E29" s="263"/>
      <c r="F29" s="263"/>
      <c r="G29" s="263"/>
      <c r="H29" s="263"/>
      <c r="I29" s="263"/>
      <c r="J29" s="34">
        <f>SUM(J25:J28)</f>
        <v>87100</v>
      </c>
      <c r="K29" s="34">
        <f>SUM(K25:K28)</f>
        <v>348400</v>
      </c>
      <c r="L29" s="34">
        <f>SUM(L25:L28)</f>
        <v>304850</v>
      </c>
      <c r="M29" s="34">
        <f>SUM(M25:M28)</f>
        <v>130650</v>
      </c>
      <c r="N29" s="34">
        <f>SUM(N25:N28)</f>
        <v>871000</v>
      </c>
      <c r="O29" s="8"/>
      <c r="P29" s="9"/>
    </row>
    <row r="30" spans="1:36" ht="21.95" customHeight="1" x14ac:dyDescent="0.2">
      <c r="A30" s="262"/>
      <c r="B30" s="263" t="s">
        <v>44</v>
      </c>
      <c r="C30" s="263"/>
      <c r="D30" s="263"/>
      <c r="E30" s="263"/>
      <c r="F30" s="263"/>
      <c r="G30" s="263"/>
      <c r="H30" s="263"/>
      <c r="I30" s="263"/>
      <c r="J30" s="34">
        <f>J29</f>
        <v>87100</v>
      </c>
      <c r="K30" s="34">
        <f t="shared" ref="K30:N30" si="9">K29</f>
        <v>348400</v>
      </c>
      <c r="L30" s="34">
        <f t="shared" si="9"/>
        <v>304850</v>
      </c>
      <c r="M30" s="34">
        <f t="shared" si="9"/>
        <v>130650</v>
      </c>
      <c r="N30" s="34">
        <f t="shared" si="9"/>
        <v>871000</v>
      </c>
      <c r="O30" s="8"/>
      <c r="Q30" s="10"/>
      <c r="Z30" s="11"/>
      <c r="AC30" s="12"/>
      <c r="AD30" s="13"/>
    </row>
    <row r="31" spans="1:36" ht="21.95" customHeight="1" x14ac:dyDescent="0.2">
      <c r="A31" s="261" t="s">
        <v>45</v>
      </c>
      <c r="B31" s="261"/>
      <c r="C31" s="261"/>
      <c r="D31" s="261"/>
      <c r="E31" s="261"/>
      <c r="F31" s="261"/>
      <c r="G31" s="261"/>
      <c r="H31" s="261"/>
      <c r="I31" s="261"/>
      <c r="J31" s="34">
        <f>J24+J30</f>
        <v>132781.818</v>
      </c>
      <c r="K31" s="34">
        <f>K24+K30</f>
        <v>531127.272</v>
      </c>
      <c r="L31" s="34">
        <f>L24+L30</f>
        <v>464736.36300000001</v>
      </c>
      <c r="M31" s="34">
        <f>M24+M30</f>
        <v>199172.72700000001</v>
      </c>
      <c r="N31" s="34">
        <f>N24+N30</f>
        <v>1327818.18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2469.2600000000002</v>
      </c>
      <c r="L45" s="34"/>
      <c r="M45" s="34"/>
      <c r="N45" s="34">
        <f>ROUND($C$3*P45,2)</f>
        <v>2469.2600000000002</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684.32</v>
      </c>
      <c r="L47" s="34"/>
      <c r="M47" s="34"/>
      <c r="N47" s="34">
        <f>ROUND($L$3*P47,2)</f>
        <v>684.32</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641.78999999999814</v>
      </c>
      <c r="L48" s="34"/>
      <c r="M48" s="34"/>
      <c r="N48" s="34">
        <f>M3-SUM(N10,N21,N35)</f>
        <v>641.78999999999814</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3795.3699999999985</v>
      </c>
      <c r="L49" s="34">
        <f>SUM(L45:L48)</f>
        <v>0</v>
      </c>
      <c r="M49" s="34">
        <f>SUM(M45:M48)</f>
        <v>0</v>
      </c>
      <c r="N49" s="34">
        <f>SUM(N45:N48)</f>
        <v>3795.3699999999985</v>
      </c>
      <c r="O49" s="8"/>
      <c r="P49" s="9"/>
    </row>
    <row r="50" spans="1:36" ht="21.95" customHeight="1" x14ac:dyDescent="0.2">
      <c r="A50" s="262"/>
      <c r="B50" s="261" t="s">
        <v>60</v>
      </c>
      <c r="C50" s="261"/>
      <c r="D50" s="261"/>
      <c r="E50" s="261"/>
      <c r="F50" s="261"/>
      <c r="G50" s="261"/>
      <c r="H50" s="261"/>
      <c r="I50" s="261"/>
      <c r="J50" s="34">
        <f>J49</f>
        <v>0</v>
      </c>
      <c r="K50" s="34">
        <f t="shared" ref="K50:N50" si="15">K49</f>
        <v>3795.3699999999985</v>
      </c>
      <c r="L50" s="34">
        <f t="shared" si="15"/>
        <v>0</v>
      </c>
      <c r="M50" s="34">
        <f t="shared" si="15"/>
        <v>0</v>
      </c>
      <c r="N50" s="34">
        <f t="shared" si="15"/>
        <v>3795.3699999999985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4708.05</v>
      </c>
      <c r="L51" s="34"/>
      <c r="M51" s="34"/>
      <c r="N51" s="34">
        <f>ROUND($C$4*P51,2)</f>
        <v>4708.05</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1304.78</v>
      </c>
      <c r="L53" s="34"/>
      <c r="M53" s="34"/>
      <c r="N53" s="34">
        <f>ROUND($L$4*P53,2)</f>
        <v>1304.78</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1223.6599999999999</v>
      </c>
      <c r="L54" s="34"/>
      <c r="M54" s="34"/>
      <c r="N54" s="34">
        <f>M4-SUM(N15,N27,N41)</f>
        <v>1223.6599999999999</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7236.49</v>
      </c>
      <c r="L55" s="34">
        <f>SUM(L51:L54)</f>
        <v>0</v>
      </c>
      <c r="M55" s="34">
        <f>SUM(M51:M54)</f>
        <v>0</v>
      </c>
      <c r="N55" s="34">
        <f>SUM(N51:N54)</f>
        <v>7236.49</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7236.49</v>
      </c>
      <c r="L56" s="34">
        <f t="shared" si="17"/>
        <v>0</v>
      </c>
      <c r="M56" s="34">
        <f t="shared" si="17"/>
        <v>0</v>
      </c>
      <c r="N56" s="34">
        <f t="shared" si="17"/>
        <v>7236.49</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11031.859999999999</v>
      </c>
      <c r="L57" s="34">
        <f>L50+L56</f>
        <v>0</v>
      </c>
      <c r="M57" s="34">
        <f>M50+M56</f>
        <v>0</v>
      </c>
      <c r="N57" s="34">
        <f>N50+N56</f>
        <v>11031.859999999999</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32.51</v>
      </c>
      <c r="L59" s="34"/>
      <c r="M59" s="34"/>
      <c r="N59" s="34">
        <f>D3</f>
        <v>32.51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231.42</v>
      </c>
      <c r="L60" s="34"/>
      <c r="M60" s="34"/>
      <c r="N60" s="34">
        <f>E3</f>
        <v>231.42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335.36</v>
      </c>
      <c r="L61" s="34"/>
      <c r="M61" s="34"/>
      <c r="N61" s="34">
        <f>G3-SUM(N9,N20,N33,N46)</f>
        <v>335.36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147.59</v>
      </c>
      <c r="L62" s="34"/>
      <c r="M62" s="34"/>
      <c r="N62" s="34">
        <f>H3</f>
        <v>147.59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1900.37</v>
      </c>
      <c r="L63" s="34"/>
      <c r="M63" s="34"/>
      <c r="N63" s="34">
        <f>I3</f>
        <v>1900.37</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111.72</v>
      </c>
      <c r="L64" s="34"/>
      <c r="M64" s="34"/>
      <c r="N64" s="34">
        <f>J3</f>
        <v>111.72</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104.84</v>
      </c>
      <c r="L66" s="34"/>
      <c r="M66" s="34"/>
      <c r="N66" s="34">
        <f>K3</f>
        <v>104.84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2863.81</v>
      </c>
      <c r="L68" s="34">
        <f>SUM(L58:L67)</f>
        <v>0</v>
      </c>
      <c r="M68" s="34">
        <f>SUM(M58:M67)</f>
        <v>0</v>
      </c>
      <c r="N68" s="34">
        <f>SUM(N58:N67)</f>
        <v>2863.81</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2863.81</v>
      </c>
      <c r="L69" s="34">
        <f t="shared" si="20"/>
        <v>0</v>
      </c>
      <c r="M69" s="34">
        <f t="shared" si="20"/>
        <v>0</v>
      </c>
      <c r="N69" s="34">
        <f t="shared" si="20"/>
        <v>2863.81</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61.99</v>
      </c>
      <c r="L71" s="34"/>
      <c r="M71" s="34"/>
      <c r="N71" s="34">
        <f>D4</f>
        <v>61.99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441.24</v>
      </c>
      <c r="L72" s="34"/>
      <c r="M72" s="34"/>
      <c r="N72" s="34">
        <f>E4</f>
        <v>441.24</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639.41</v>
      </c>
      <c r="L73" s="34"/>
      <c r="M73" s="34"/>
      <c r="N73" s="34">
        <f>G4-SUM(N14,N26,N39,N52)</f>
        <v>639.41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281.41000000000003</v>
      </c>
      <c r="L74" s="34"/>
      <c r="M74" s="34"/>
      <c r="N74" s="34">
        <f>H4</f>
        <v>281.41000000000003</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3623.37</v>
      </c>
      <c r="L75" s="34"/>
      <c r="M75" s="34"/>
      <c r="N75" s="34">
        <f>I4</f>
        <v>3623.37</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213.02</v>
      </c>
      <c r="L76" s="34"/>
      <c r="M76" s="34"/>
      <c r="N76" s="34">
        <f>J4</f>
        <v>213.02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199.9</v>
      </c>
      <c r="L78" s="34"/>
      <c r="M78" s="34"/>
      <c r="N78" s="34">
        <f>K4</f>
        <v>199.9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5460.34</v>
      </c>
      <c r="L80" s="34">
        <f>SUM(L70:L79)</f>
        <v>0</v>
      </c>
      <c r="M80" s="34">
        <f>SUM(M70:M79)</f>
        <v>0</v>
      </c>
      <c r="N80" s="34">
        <f>SUM(N70:N79)</f>
        <v>5460.34</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5460.34</v>
      </c>
      <c r="L81" s="34">
        <f t="shared" si="23"/>
        <v>0</v>
      </c>
      <c r="M81" s="34">
        <f t="shared" si="23"/>
        <v>0</v>
      </c>
      <c r="N81" s="34">
        <f t="shared" si="23"/>
        <v>5460.34</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8324.15</v>
      </c>
      <c r="L82" s="34">
        <f>L69+L81</f>
        <v>0</v>
      </c>
      <c r="M82" s="34">
        <f>M69+M81</f>
        <v>0</v>
      </c>
      <c r="N82" s="34">
        <f>N69+N81</f>
        <v>8324.15</v>
      </c>
      <c r="O82" s="8"/>
      <c r="R82" s="14"/>
      <c r="Z82" s="15"/>
      <c r="AJ82" s="16"/>
    </row>
    <row r="83" spans="1:36" s="31" customFormat="1" ht="21.95" customHeight="1" x14ac:dyDescent="0.2">
      <c r="A83" s="275" t="s">
        <v>82</v>
      </c>
      <c r="B83" s="275"/>
      <c r="C83" s="275"/>
      <c r="D83" s="275"/>
      <c r="E83" s="275"/>
      <c r="F83" s="275"/>
      <c r="G83" s="275"/>
      <c r="H83" s="275"/>
      <c r="I83" s="275"/>
      <c r="J83" s="35">
        <f>J18+J31+J44+J57+J82</f>
        <v>132781.818</v>
      </c>
      <c r="K83" s="35">
        <f>K18+K31+K44+K57+K82</f>
        <v>550483.28200000001</v>
      </c>
      <c r="L83" s="35">
        <f>L18+L31+L44+L57+L82</f>
        <v>464736.36300000001</v>
      </c>
      <c r="M83" s="35">
        <f>M18+M31+M44+M57+M82</f>
        <v>199172.72700000001</v>
      </c>
      <c r="N83" s="38">
        <f>N18+N31+N44+N57+N82</f>
        <v>1347174.19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0CFAB4F-1E0F-4323-8114-28CF4B09E279}">
          <x14:formula1>
            <xm:f>'2026 COB breakdown_Kris'!$A$5:$A$103</xm:f>
          </x14:formula1>
          <xm:sqref>A3</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AA42-13EA-464F-B9E6-E425598ACABC}">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252</v>
      </c>
      <c r="B3" s="58" t="s">
        <v>158</v>
      </c>
      <c r="C3" s="59">
        <f>VLOOKUP($A3,COBTABLE,15, FALSE)</f>
        <v>3282.92</v>
      </c>
      <c r="D3" s="59">
        <f>VLOOKUP($A3,COBTABLE,16, FALSE)</f>
        <v>43.23</v>
      </c>
      <c r="E3" s="59">
        <f>VLOOKUP($A3,COBTABLE,17, FALSE)</f>
        <v>307.68</v>
      </c>
      <c r="F3" s="59">
        <f>VLOOKUP($A3,COBTABLE,18, FALSE)</f>
        <v>0</v>
      </c>
      <c r="G3" s="59">
        <f>VLOOKUP($A3,COBTABLE,19, FALSE)</f>
        <v>445.86</v>
      </c>
      <c r="H3" s="59">
        <f>VLOOKUP($A3,COBTABLE,20, FALSE)</f>
        <v>196.22</v>
      </c>
      <c r="I3" s="59">
        <f>VLOOKUP($A3,COBTABLE,21, FALSE)</f>
        <v>2526.5700000000002</v>
      </c>
      <c r="J3" s="59">
        <f>VLOOKUP($A3,COBTABLE,22, FALSE)</f>
        <v>148.54</v>
      </c>
      <c r="K3" s="59">
        <f>VLOOKUP($A3,COBTABLE,23, FALSE)</f>
        <v>139.38999999999999</v>
      </c>
      <c r="L3" s="59">
        <f>VLOOKUP($A3,COBTABLE,24, FALSE)</f>
        <v>909.82</v>
      </c>
      <c r="M3" s="59">
        <f>VLOOKUP($A3,COBTABLE,25, FALSE)</f>
        <v>853.26000000000022</v>
      </c>
      <c r="N3" s="60">
        <f>VLOOKUP($A3, countrygrant,2,FALSE)</f>
        <v>456818.18</v>
      </c>
      <c r="O3" s="92">
        <f>SUM(C3:N3)</f>
        <v>465671.67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481.49</v>
      </c>
      <c r="D4" s="59">
        <f>VLOOKUP($A3,COBTABLE,28, FALSE)</f>
        <v>6.34</v>
      </c>
      <c r="E4" s="59">
        <f>VLOOKUP($A3,COBTABLE,29, FALSE)</f>
        <v>45.13</v>
      </c>
      <c r="F4" s="59">
        <f>VLOOKUP($A3,COBTABLE,30, FALSE)</f>
        <v>0</v>
      </c>
      <c r="G4" s="59">
        <f>VLOOKUP($A3,COBTABLE,31, FALSE)</f>
        <v>65.39</v>
      </c>
      <c r="H4" s="59">
        <f>VLOOKUP($A3,COBTABLE,32, FALSE)</f>
        <v>28.78</v>
      </c>
      <c r="I4" s="59">
        <f>VLOOKUP($A3,COBTABLE,33, FALSE)</f>
        <v>370.56</v>
      </c>
      <c r="J4" s="59">
        <f>VLOOKUP($A3,COBTABLE,34, FALSE)</f>
        <v>21.79</v>
      </c>
      <c r="K4" s="59">
        <f>VLOOKUP($A3,COBTABLE,35, FALSE)</f>
        <v>20.440000000000001</v>
      </c>
      <c r="L4" s="59">
        <f>VLOOKUP($A3,COBTABLE,36, FALSE)</f>
        <v>133.44</v>
      </c>
      <c r="M4" s="59">
        <f>VLOOKUP($A3,COBTABLE,37, FALSE)</f>
        <v>125.14999999999986</v>
      </c>
      <c r="N4" s="60">
        <f>VLOOKUP($A3, countrygrant,3,FALSE)</f>
        <v>67000</v>
      </c>
      <c r="O4" s="92">
        <f t="shared" ref="O4" si="0">SUM(C4:N4)</f>
        <v>68298.509999999995</v>
      </c>
      <c r="P4" s="28"/>
      <c r="Q4" s="28"/>
      <c r="R4" s="28"/>
      <c r="S4" s="28"/>
      <c r="T4" s="28"/>
      <c r="U4" s="28"/>
      <c r="V4" s="28"/>
      <c r="W4" s="28"/>
      <c r="X4" s="28"/>
      <c r="Y4" s="28"/>
      <c r="Z4" s="28"/>
      <c r="AA4" s="28"/>
      <c r="AB4" s="28"/>
      <c r="AC4" s="28"/>
    </row>
    <row r="5" spans="1:36" s="53" customFormat="1" ht="12" customHeight="1" x14ac:dyDescent="0.25">
      <c r="A5" s="278"/>
      <c r="B5" s="61" t="s">
        <v>156</v>
      </c>
      <c r="C5" s="62">
        <f>SUM(C3:C4)</f>
        <v>3764.41</v>
      </c>
      <c r="D5" s="62">
        <f t="shared" ref="D5:O5" si="1">SUM(D3:D4)</f>
        <v>49.569999999999993</v>
      </c>
      <c r="E5" s="62">
        <f t="shared" si="1"/>
        <v>352.81</v>
      </c>
      <c r="F5" s="62">
        <f t="shared" si="1"/>
        <v>0</v>
      </c>
      <c r="G5" s="62">
        <f t="shared" si="1"/>
        <v>511.25</v>
      </c>
      <c r="H5" s="62">
        <f t="shared" si="1"/>
        <v>225</v>
      </c>
      <c r="I5" s="62">
        <f t="shared" si="1"/>
        <v>2897.13</v>
      </c>
      <c r="J5" s="62">
        <f t="shared" si="1"/>
        <v>170.32999999999998</v>
      </c>
      <c r="K5" s="62">
        <f t="shared" si="1"/>
        <v>159.82999999999998</v>
      </c>
      <c r="L5" s="62">
        <f t="shared" si="1"/>
        <v>1043.26</v>
      </c>
      <c r="M5" s="62">
        <f t="shared" si="1"/>
        <v>978.41000000000008</v>
      </c>
      <c r="N5" s="62">
        <f t="shared" si="1"/>
        <v>523818.18</v>
      </c>
      <c r="O5" s="62">
        <f t="shared" si="1"/>
        <v>533970.17999999993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v>
      </c>
      <c r="K28" s="34">
        <f>$N28*0.4</f>
        <v>26800</v>
      </c>
      <c r="L28" s="34">
        <f>$N28*0.35</f>
        <v>23450</v>
      </c>
      <c r="M28" s="34">
        <f>$N28*0.15</f>
        <v>10050</v>
      </c>
      <c r="N28" s="34">
        <f>N4</f>
        <v>67000</v>
      </c>
      <c r="O28" s="8"/>
      <c r="P28" s="9">
        <f>VLOOKUP(H28,starratio4,4,FALSE)</f>
        <v>0</v>
      </c>
    </row>
    <row r="29" spans="1:36" ht="21.95" customHeight="1" x14ac:dyDescent="0.2">
      <c r="A29" s="262"/>
      <c r="B29" s="262"/>
      <c r="C29" s="263" t="s">
        <v>31</v>
      </c>
      <c r="D29" s="263"/>
      <c r="E29" s="263"/>
      <c r="F29" s="263"/>
      <c r="G29" s="263"/>
      <c r="H29" s="263"/>
      <c r="I29" s="263"/>
      <c r="J29" s="34">
        <f>SUM(J25:J28)</f>
        <v>6700</v>
      </c>
      <c r="K29" s="34">
        <f>SUM(K25:K28)</f>
        <v>26800</v>
      </c>
      <c r="L29" s="34">
        <f>SUM(L25:L28)</f>
        <v>23450</v>
      </c>
      <c r="M29" s="34">
        <f>SUM(M25:M28)</f>
        <v>10050</v>
      </c>
      <c r="N29" s="34">
        <f>SUM(N25:N28)</f>
        <v>67000</v>
      </c>
      <c r="O29" s="8"/>
      <c r="P29" s="9"/>
    </row>
    <row r="30" spans="1:36" ht="21.95" customHeight="1" x14ac:dyDescent="0.2">
      <c r="A30" s="262"/>
      <c r="B30" s="263" t="s">
        <v>44</v>
      </c>
      <c r="C30" s="263"/>
      <c r="D30" s="263"/>
      <c r="E30" s="263"/>
      <c r="F30" s="263"/>
      <c r="G30" s="263"/>
      <c r="H30" s="263"/>
      <c r="I30" s="263"/>
      <c r="J30" s="34">
        <f>J29</f>
        <v>6700</v>
      </c>
      <c r="K30" s="34">
        <f t="shared" ref="K30:N30" si="9">K29</f>
        <v>26800</v>
      </c>
      <c r="L30" s="34">
        <f t="shared" si="9"/>
        <v>23450</v>
      </c>
      <c r="M30" s="34">
        <f t="shared" si="9"/>
        <v>10050</v>
      </c>
      <c r="N30" s="34">
        <f t="shared" si="9"/>
        <v>67000</v>
      </c>
      <c r="O30" s="8"/>
      <c r="Q30" s="10"/>
      <c r="Z30" s="11"/>
      <c r="AC30" s="12"/>
      <c r="AD30" s="13"/>
    </row>
    <row r="31" spans="1:36" ht="21.95" customHeight="1" x14ac:dyDescent="0.2">
      <c r="A31" s="261" t="s">
        <v>45</v>
      </c>
      <c r="B31" s="261"/>
      <c r="C31" s="261"/>
      <c r="D31" s="261"/>
      <c r="E31" s="261"/>
      <c r="F31" s="261"/>
      <c r="G31" s="261"/>
      <c r="H31" s="261"/>
      <c r="I31" s="261"/>
      <c r="J31" s="34">
        <f>J24+J30</f>
        <v>52381.817999999999</v>
      </c>
      <c r="K31" s="34">
        <f>K24+K30</f>
        <v>209527.272</v>
      </c>
      <c r="L31" s="34">
        <f>L24+L30</f>
        <v>183336.36299999998</v>
      </c>
      <c r="M31" s="34">
        <f>M24+M30</f>
        <v>78572.726999999999</v>
      </c>
      <c r="N31" s="34">
        <f>N24+N30</f>
        <v>523818.18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3282.92</v>
      </c>
      <c r="L45" s="34"/>
      <c r="M45" s="34"/>
      <c r="N45" s="34">
        <f>ROUND($C$3*P45,2)</f>
        <v>3282.92</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909.82</v>
      </c>
      <c r="L47" s="34"/>
      <c r="M47" s="34"/>
      <c r="N47" s="34">
        <f>ROUND($L$3*P47,2)</f>
        <v>909.82</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853.26000000000022</v>
      </c>
      <c r="L48" s="34"/>
      <c r="M48" s="34"/>
      <c r="N48" s="34">
        <f>M3-SUM(N10,N21,N35)</f>
        <v>853.26000000000022</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5046</v>
      </c>
      <c r="L49" s="34">
        <f>SUM(L45:L48)</f>
        <v>0</v>
      </c>
      <c r="M49" s="34">
        <f>SUM(M45:M48)</f>
        <v>0</v>
      </c>
      <c r="N49" s="34">
        <f>SUM(N45:N48)</f>
        <v>5046</v>
      </c>
      <c r="O49" s="8"/>
      <c r="P49" s="9"/>
    </row>
    <row r="50" spans="1:36" ht="21.95" customHeight="1" x14ac:dyDescent="0.2">
      <c r="A50" s="262"/>
      <c r="B50" s="261" t="s">
        <v>60</v>
      </c>
      <c r="C50" s="261"/>
      <c r="D50" s="261"/>
      <c r="E50" s="261"/>
      <c r="F50" s="261"/>
      <c r="G50" s="261"/>
      <c r="H50" s="261"/>
      <c r="I50" s="261"/>
      <c r="J50" s="34">
        <f>J49</f>
        <v>0</v>
      </c>
      <c r="K50" s="34">
        <f t="shared" ref="K50:N50" si="15">K49</f>
        <v>5046</v>
      </c>
      <c r="L50" s="34">
        <f t="shared" si="15"/>
        <v>0</v>
      </c>
      <c r="M50" s="34">
        <f t="shared" si="15"/>
        <v>0</v>
      </c>
      <c r="N50" s="34">
        <f t="shared" si="15"/>
        <v>5046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481.49</v>
      </c>
      <c r="L51" s="34"/>
      <c r="M51" s="34"/>
      <c r="N51" s="34">
        <f>ROUND($C$4*P51,2)</f>
        <v>481.49</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133.44</v>
      </c>
      <c r="L53" s="34"/>
      <c r="M53" s="34"/>
      <c r="N53" s="34">
        <f>ROUND($L$4*P53,2)</f>
        <v>133.44</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125.14999999999986</v>
      </c>
      <c r="L54" s="34"/>
      <c r="M54" s="34"/>
      <c r="N54" s="34">
        <f>M4-SUM(N15,N27,N41)</f>
        <v>125.14999999999986</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740.07999999999993</v>
      </c>
      <c r="L55" s="34">
        <f>SUM(L51:L54)</f>
        <v>0</v>
      </c>
      <c r="M55" s="34">
        <f>SUM(M51:M54)</f>
        <v>0</v>
      </c>
      <c r="N55" s="34">
        <f>SUM(N51:N54)</f>
        <v>740.07999999999993</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740.07999999999993</v>
      </c>
      <c r="L56" s="34">
        <f t="shared" si="17"/>
        <v>0</v>
      </c>
      <c r="M56" s="34">
        <f t="shared" si="17"/>
        <v>0</v>
      </c>
      <c r="N56" s="34">
        <f t="shared" si="17"/>
        <v>740.07999999999993</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5786.08</v>
      </c>
      <c r="L57" s="34">
        <f>L50+L56</f>
        <v>0</v>
      </c>
      <c r="M57" s="34">
        <f>M50+M56</f>
        <v>0</v>
      </c>
      <c r="N57" s="34">
        <f>N50+N56</f>
        <v>5786.08</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43.23</v>
      </c>
      <c r="L59" s="34"/>
      <c r="M59" s="34"/>
      <c r="N59" s="34">
        <f>D3</f>
        <v>43.23</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307.68</v>
      </c>
      <c r="L60" s="34"/>
      <c r="M60" s="34"/>
      <c r="N60" s="34">
        <f>E3</f>
        <v>307.68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445.86</v>
      </c>
      <c r="L61" s="34"/>
      <c r="M61" s="34"/>
      <c r="N61" s="34">
        <f>G3-SUM(N9,N20,N33,N46)</f>
        <v>445.86</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196.22</v>
      </c>
      <c r="L62" s="34"/>
      <c r="M62" s="34"/>
      <c r="N62" s="34">
        <f>H3</f>
        <v>196.22</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2526.5700000000002</v>
      </c>
      <c r="L63" s="34"/>
      <c r="M63" s="34"/>
      <c r="N63" s="34">
        <f>I3</f>
        <v>2526.5700000000002</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148.54</v>
      </c>
      <c r="L64" s="34"/>
      <c r="M64" s="34"/>
      <c r="N64" s="34">
        <f>J3</f>
        <v>148.54</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139.38999999999999</v>
      </c>
      <c r="L66" s="34"/>
      <c r="M66" s="34"/>
      <c r="N66" s="34">
        <f>K3</f>
        <v>139.38999999999999</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3807.4900000000002</v>
      </c>
      <c r="L68" s="34">
        <f>SUM(L58:L67)</f>
        <v>0</v>
      </c>
      <c r="M68" s="34">
        <f>SUM(M58:M67)</f>
        <v>0</v>
      </c>
      <c r="N68" s="34">
        <f>SUM(N58:N67)</f>
        <v>3807.4900000000002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3807.4900000000002</v>
      </c>
      <c r="L69" s="34">
        <f t="shared" si="20"/>
        <v>0</v>
      </c>
      <c r="M69" s="34">
        <f t="shared" si="20"/>
        <v>0</v>
      </c>
      <c r="N69" s="34">
        <f t="shared" si="20"/>
        <v>3807.4900000000002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6.34</v>
      </c>
      <c r="L71" s="34"/>
      <c r="M71" s="34"/>
      <c r="N71" s="34">
        <f>D4</f>
        <v>6.34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45.13</v>
      </c>
      <c r="L72" s="34"/>
      <c r="M72" s="34"/>
      <c r="N72" s="34">
        <f>E4</f>
        <v>45.13</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65.39</v>
      </c>
      <c r="L73" s="34"/>
      <c r="M73" s="34"/>
      <c r="N73" s="34">
        <f>G4-SUM(N14,N26,N39,N52)</f>
        <v>65.39</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28.78</v>
      </c>
      <c r="L74" s="34"/>
      <c r="M74" s="34"/>
      <c r="N74" s="34">
        <f>H4</f>
        <v>28.78</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370.56</v>
      </c>
      <c r="L75" s="34"/>
      <c r="M75" s="34"/>
      <c r="N75" s="34">
        <f>I4</f>
        <v>370.56</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21.79</v>
      </c>
      <c r="L76" s="34"/>
      <c r="M76" s="34"/>
      <c r="N76" s="34">
        <f>J4</f>
        <v>21.79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20.440000000000001</v>
      </c>
      <c r="L78" s="34"/>
      <c r="M78" s="34"/>
      <c r="N78" s="34">
        <f>K4</f>
        <v>20.440000000000001</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558.43000000000006</v>
      </c>
      <c r="L80" s="34">
        <f>SUM(L70:L79)</f>
        <v>0</v>
      </c>
      <c r="M80" s="34">
        <f>SUM(M70:M79)</f>
        <v>0</v>
      </c>
      <c r="N80" s="34">
        <f>SUM(N70:N79)</f>
        <v>558.43000000000006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558.43000000000006</v>
      </c>
      <c r="L81" s="34">
        <f t="shared" si="23"/>
        <v>0</v>
      </c>
      <c r="M81" s="34">
        <f t="shared" si="23"/>
        <v>0</v>
      </c>
      <c r="N81" s="34">
        <f t="shared" si="23"/>
        <v>558.43000000000006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4365.92</v>
      </c>
      <c r="L82" s="34">
        <f>L69+L81</f>
        <v>0</v>
      </c>
      <c r="M82" s="34">
        <f>M69+M81</f>
        <v>0</v>
      </c>
      <c r="N82" s="34">
        <f>N69+N81</f>
        <v>4365.92</v>
      </c>
      <c r="O82" s="8"/>
      <c r="R82" s="14"/>
      <c r="Z82" s="15"/>
      <c r="AJ82" s="16"/>
    </row>
    <row r="83" spans="1:36" s="31" customFormat="1" ht="21.95" customHeight="1" x14ac:dyDescent="0.2">
      <c r="A83" s="275" t="s">
        <v>82</v>
      </c>
      <c r="B83" s="275"/>
      <c r="C83" s="275"/>
      <c r="D83" s="275"/>
      <c r="E83" s="275"/>
      <c r="F83" s="275"/>
      <c r="G83" s="275"/>
      <c r="H83" s="275"/>
      <c r="I83" s="275"/>
      <c r="J83" s="35">
        <f>J18+J31+J44+J57+J82</f>
        <v>52381.817999999999</v>
      </c>
      <c r="K83" s="35">
        <f>K18+K31+K44+K57+K82</f>
        <v>219679.272</v>
      </c>
      <c r="L83" s="35">
        <f>L18+L31+L44+L57+L82</f>
        <v>183336.36299999998</v>
      </c>
      <c r="M83" s="35">
        <f>M18+M31+M44+M57+M82</f>
        <v>78572.726999999999</v>
      </c>
      <c r="N83" s="38">
        <f>N18+N31+N44+N57+N82</f>
        <v>533970.18000000005</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9D1D670-795E-4BC6-9CE7-4D26FD57CD50}">
          <x14:formula1>
            <xm:f>'2026 COB breakdown_Kris'!$A$5:$A$103</xm:f>
          </x14:formula1>
          <xm:sqref>A3</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FCDD4-F578-4998-9143-56BB60A33861}">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253</v>
      </c>
      <c r="B3" s="58" t="s">
        <v>158</v>
      </c>
      <c r="C3" s="59">
        <f>VLOOKUP($A3,COBTABLE,15, FALSE)</f>
        <v>7935.06</v>
      </c>
      <c r="D3" s="59">
        <f>VLOOKUP($A3,COBTABLE,16, FALSE)</f>
        <v>104.48</v>
      </c>
      <c r="E3" s="59">
        <f>VLOOKUP($A3,COBTABLE,17, FALSE)</f>
        <v>743.68</v>
      </c>
      <c r="F3" s="59">
        <f>VLOOKUP($A3,COBTABLE,18, FALSE)</f>
        <v>0</v>
      </c>
      <c r="G3" s="59">
        <f>VLOOKUP($A3,COBTABLE,19, FALSE)</f>
        <v>1077.68</v>
      </c>
      <c r="H3" s="59">
        <f>VLOOKUP($A3,COBTABLE,20, FALSE)</f>
        <v>474.29</v>
      </c>
      <c r="I3" s="59">
        <f>VLOOKUP($A3,COBTABLE,21, FALSE)</f>
        <v>6106.91</v>
      </c>
      <c r="J3" s="59">
        <f>VLOOKUP($A3,COBTABLE,22, FALSE)</f>
        <v>359.03</v>
      </c>
      <c r="K3" s="59">
        <f>VLOOKUP($A3,COBTABLE,23, FALSE)</f>
        <v>336.92</v>
      </c>
      <c r="L3" s="59">
        <f>VLOOKUP($A3,COBTABLE,24, FALSE)</f>
        <v>2199.1</v>
      </c>
      <c r="M3" s="59">
        <f>VLOOKUP($A3,COBTABLE,25, FALSE)</f>
        <v>2062.3900000000067</v>
      </c>
      <c r="N3" s="60">
        <f>VLOOKUP($A3, countrygrant,2,FALSE)</f>
        <v>456818.18</v>
      </c>
      <c r="O3" s="92">
        <f>SUM(C3:N3)</f>
        <v>478217.72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1280.19</v>
      </c>
      <c r="D4" s="59">
        <f>VLOOKUP($A3,COBTABLE,28, FALSE)</f>
        <v>16.86</v>
      </c>
      <c r="E4" s="59">
        <f>VLOOKUP($A3,COBTABLE,29, FALSE)</f>
        <v>119.98</v>
      </c>
      <c r="F4" s="59">
        <f>VLOOKUP($A3,COBTABLE,30, FALSE)</f>
        <v>0</v>
      </c>
      <c r="G4" s="59">
        <f>VLOOKUP($A3,COBTABLE,31, FALSE)</f>
        <v>173.87</v>
      </c>
      <c r="H4" s="59">
        <f>VLOOKUP($A3,COBTABLE,32, FALSE)</f>
        <v>76.52</v>
      </c>
      <c r="I4" s="59">
        <f>VLOOKUP($A3,COBTABLE,33, FALSE)</f>
        <v>985.25</v>
      </c>
      <c r="J4" s="59">
        <f>VLOOKUP($A3,COBTABLE,34, FALSE)</f>
        <v>57.92</v>
      </c>
      <c r="K4" s="59">
        <f>VLOOKUP($A3,COBTABLE,35, FALSE)</f>
        <v>54.36</v>
      </c>
      <c r="L4" s="59">
        <f>VLOOKUP($A3,COBTABLE,36, FALSE)</f>
        <v>354.79</v>
      </c>
      <c r="M4" s="59">
        <f>VLOOKUP($A3,COBTABLE,37, FALSE)</f>
        <v>332.7199999999998</v>
      </c>
      <c r="N4" s="60">
        <f>VLOOKUP($A3, countrygrant,3,FALSE)</f>
        <v>73700</v>
      </c>
      <c r="O4" s="92">
        <f t="shared" ref="O4" si="0">SUM(C4:N4)</f>
        <v>77152.460000000006</v>
      </c>
      <c r="P4" s="28"/>
      <c r="Q4" s="28"/>
      <c r="R4" s="28"/>
      <c r="S4" s="28"/>
      <c r="T4" s="28"/>
      <c r="U4" s="28"/>
      <c r="V4" s="28"/>
      <c r="W4" s="28"/>
      <c r="X4" s="28"/>
      <c r="Y4" s="28"/>
      <c r="Z4" s="28"/>
      <c r="AA4" s="28"/>
      <c r="AB4" s="28"/>
      <c r="AC4" s="28"/>
    </row>
    <row r="5" spans="1:36" s="53" customFormat="1" ht="12" customHeight="1" x14ac:dyDescent="0.25">
      <c r="A5" s="278"/>
      <c r="B5" s="61" t="s">
        <v>156</v>
      </c>
      <c r="C5" s="62">
        <f>SUM(C3:C4)</f>
        <v>9215.25</v>
      </c>
      <c r="D5" s="62">
        <f t="shared" ref="D5:O5" si="1">SUM(D3:D4)</f>
        <v>121.34</v>
      </c>
      <c r="E5" s="62">
        <f t="shared" si="1"/>
        <v>863.66</v>
      </c>
      <c r="F5" s="62">
        <f t="shared" si="1"/>
        <v>0</v>
      </c>
      <c r="G5" s="62">
        <f t="shared" si="1"/>
        <v>1251.5500000000002</v>
      </c>
      <c r="H5" s="62">
        <f t="shared" si="1"/>
        <v>550.81000000000006</v>
      </c>
      <c r="I5" s="62">
        <f t="shared" si="1"/>
        <v>7092.16</v>
      </c>
      <c r="J5" s="62">
        <f t="shared" si="1"/>
        <v>416.95</v>
      </c>
      <c r="K5" s="62">
        <f t="shared" si="1"/>
        <v>391.28000000000003</v>
      </c>
      <c r="L5" s="62">
        <f t="shared" si="1"/>
        <v>2553.89</v>
      </c>
      <c r="M5" s="62">
        <f t="shared" si="1"/>
        <v>2395.1100000000065</v>
      </c>
      <c r="N5" s="62">
        <f t="shared" si="1"/>
        <v>530518.17999999993</v>
      </c>
      <c r="O5" s="62">
        <f t="shared" si="1"/>
        <v>555370.17999999993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7370</v>
      </c>
      <c r="K28" s="34">
        <f>$N28*0.4</f>
        <v>29480</v>
      </c>
      <c r="L28" s="34">
        <f>$N28*0.35</f>
        <v>25795</v>
      </c>
      <c r="M28" s="34">
        <f>$N28*0.15</f>
        <v>11055</v>
      </c>
      <c r="N28" s="34">
        <f>N4</f>
        <v>73700</v>
      </c>
      <c r="O28" s="8"/>
      <c r="P28" s="9">
        <f>VLOOKUP(H28,starratio4,4,FALSE)</f>
        <v>0</v>
      </c>
    </row>
    <row r="29" spans="1:36" ht="21.95" customHeight="1" x14ac:dyDescent="0.2">
      <c r="A29" s="262"/>
      <c r="B29" s="262"/>
      <c r="C29" s="263" t="s">
        <v>31</v>
      </c>
      <c r="D29" s="263"/>
      <c r="E29" s="263"/>
      <c r="F29" s="263"/>
      <c r="G29" s="263"/>
      <c r="H29" s="263"/>
      <c r="I29" s="263"/>
      <c r="J29" s="34">
        <f>SUM(J25:J28)</f>
        <v>7370</v>
      </c>
      <c r="K29" s="34">
        <f>SUM(K25:K28)</f>
        <v>29480</v>
      </c>
      <c r="L29" s="34">
        <f>SUM(L25:L28)</f>
        <v>25795</v>
      </c>
      <c r="M29" s="34">
        <f>SUM(M25:M28)</f>
        <v>11055</v>
      </c>
      <c r="N29" s="34">
        <f>SUM(N25:N28)</f>
        <v>73700</v>
      </c>
      <c r="O29" s="8"/>
      <c r="P29" s="9"/>
    </row>
    <row r="30" spans="1:36" ht="21.95" customHeight="1" x14ac:dyDescent="0.2">
      <c r="A30" s="262"/>
      <c r="B30" s="263" t="s">
        <v>44</v>
      </c>
      <c r="C30" s="263"/>
      <c r="D30" s="263"/>
      <c r="E30" s="263"/>
      <c r="F30" s="263"/>
      <c r="G30" s="263"/>
      <c r="H30" s="263"/>
      <c r="I30" s="263"/>
      <c r="J30" s="34">
        <f>J29</f>
        <v>7370</v>
      </c>
      <c r="K30" s="34">
        <f t="shared" ref="K30:N30" si="9">K29</f>
        <v>29480</v>
      </c>
      <c r="L30" s="34">
        <f t="shared" si="9"/>
        <v>25795</v>
      </c>
      <c r="M30" s="34">
        <f t="shared" si="9"/>
        <v>11055</v>
      </c>
      <c r="N30" s="34">
        <f t="shared" si="9"/>
        <v>73700</v>
      </c>
      <c r="O30" s="8"/>
      <c r="Q30" s="10"/>
      <c r="Z30" s="11"/>
      <c r="AC30" s="12"/>
      <c r="AD30" s="13"/>
    </row>
    <row r="31" spans="1:36" ht="21.95" customHeight="1" x14ac:dyDescent="0.2">
      <c r="A31" s="261" t="s">
        <v>45</v>
      </c>
      <c r="B31" s="261"/>
      <c r="C31" s="261"/>
      <c r="D31" s="261"/>
      <c r="E31" s="261"/>
      <c r="F31" s="261"/>
      <c r="G31" s="261"/>
      <c r="H31" s="261"/>
      <c r="I31" s="261"/>
      <c r="J31" s="34">
        <f>J24+J30</f>
        <v>53051.817999999999</v>
      </c>
      <c r="K31" s="34">
        <f>K24+K30</f>
        <v>212207.272</v>
      </c>
      <c r="L31" s="34">
        <f>L24+L30</f>
        <v>185681.36299999998</v>
      </c>
      <c r="M31" s="34">
        <f>M24+M30</f>
        <v>79577.726999999999</v>
      </c>
      <c r="N31" s="34">
        <f>N24+N30</f>
        <v>530518.17999999993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7935.06</v>
      </c>
      <c r="L45" s="34"/>
      <c r="M45" s="34"/>
      <c r="N45" s="34">
        <f>ROUND($C$3*P45,2)</f>
        <v>7935.06</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2199.1</v>
      </c>
      <c r="L47" s="34"/>
      <c r="M47" s="34"/>
      <c r="N47" s="34">
        <f>ROUND($L$3*P47,2)</f>
        <v>2199.1</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2062.3900000000067</v>
      </c>
      <c r="L48" s="34"/>
      <c r="M48" s="34"/>
      <c r="N48" s="34">
        <f>M3-SUM(N10,N21,N35)</f>
        <v>2062.3900000000067</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12196.550000000007</v>
      </c>
      <c r="L49" s="34">
        <f>SUM(L45:L48)</f>
        <v>0</v>
      </c>
      <c r="M49" s="34">
        <f>SUM(M45:M48)</f>
        <v>0</v>
      </c>
      <c r="N49" s="34">
        <f>SUM(N45:N48)</f>
        <v>12196.550000000007</v>
      </c>
      <c r="O49" s="8"/>
      <c r="P49" s="9"/>
    </row>
    <row r="50" spans="1:36" ht="21.95" customHeight="1" x14ac:dyDescent="0.2">
      <c r="A50" s="262"/>
      <c r="B50" s="261" t="s">
        <v>60</v>
      </c>
      <c r="C50" s="261"/>
      <c r="D50" s="261"/>
      <c r="E50" s="261"/>
      <c r="F50" s="261"/>
      <c r="G50" s="261"/>
      <c r="H50" s="261"/>
      <c r="I50" s="261"/>
      <c r="J50" s="34">
        <f>J49</f>
        <v>0</v>
      </c>
      <c r="K50" s="34">
        <f t="shared" ref="K50:N50" si="15">K49</f>
        <v>12196.550000000007</v>
      </c>
      <c r="L50" s="34">
        <f t="shared" si="15"/>
        <v>0</v>
      </c>
      <c r="M50" s="34">
        <f t="shared" si="15"/>
        <v>0</v>
      </c>
      <c r="N50" s="34">
        <f t="shared" si="15"/>
        <v>12196.550000000007</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1280.19</v>
      </c>
      <c r="L51" s="34"/>
      <c r="M51" s="34"/>
      <c r="N51" s="34">
        <f>ROUND($C$4*P51,2)</f>
        <v>1280.19</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354.79</v>
      </c>
      <c r="L53" s="34"/>
      <c r="M53" s="34"/>
      <c r="N53" s="34">
        <f>ROUND($L$4*P53,2)</f>
        <v>354.79</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332.7199999999998</v>
      </c>
      <c r="L54" s="34"/>
      <c r="M54" s="34"/>
      <c r="N54" s="34">
        <f>M4-SUM(N15,N27,N41)</f>
        <v>332.7199999999998</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1967.6999999999998</v>
      </c>
      <c r="L55" s="34">
        <f>SUM(L51:L54)</f>
        <v>0</v>
      </c>
      <c r="M55" s="34">
        <f>SUM(M51:M54)</f>
        <v>0</v>
      </c>
      <c r="N55" s="34">
        <f>SUM(N51:N54)</f>
        <v>1967.6999999999998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1967.6999999999998</v>
      </c>
      <c r="L56" s="34">
        <f t="shared" si="17"/>
        <v>0</v>
      </c>
      <c r="M56" s="34">
        <f t="shared" si="17"/>
        <v>0</v>
      </c>
      <c r="N56" s="34">
        <f t="shared" si="17"/>
        <v>1967.6999999999998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14164.250000000007</v>
      </c>
      <c r="L57" s="34">
        <f>L50+L56</f>
        <v>0</v>
      </c>
      <c r="M57" s="34">
        <f>M50+M56</f>
        <v>0</v>
      </c>
      <c r="N57" s="34">
        <f>N50+N56</f>
        <v>14164.250000000007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104.48</v>
      </c>
      <c r="L59" s="34"/>
      <c r="M59" s="34"/>
      <c r="N59" s="34">
        <f>D3</f>
        <v>104.48</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743.68</v>
      </c>
      <c r="L60" s="34"/>
      <c r="M60" s="34"/>
      <c r="N60" s="34">
        <f>E3</f>
        <v>743.68</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1077.68</v>
      </c>
      <c r="L61" s="34"/>
      <c r="M61" s="34"/>
      <c r="N61" s="34">
        <f>G3-SUM(N9,N20,N33,N46)</f>
        <v>1077.68</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474.29</v>
      </c>
      <c r="L62" s="34"/>
      <c r="M62" s="34"/>
      <c r="N62" s="34">
        <f>H3</f>
        <v>474.29</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6106.91</v>
      </c>
      <c r="L63" s="34"/>
      <c r="M63" s="34"/>
      <c r="N63" s="34">
        <f>I3</f>
        <v>6106.91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359.03</v>
      </c>
      <c r="L64" s="34"/>
      <c r="M64" s="34"/>
      <c r="N64" s="34">
        <f>J3</f>
        <v>359.03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336.92</v>
      </c>
      <c r="L66" s="34"/>
      <c r="M66" s="34"/>
      <c r="N66" s="34">
        <f>K3</f>
        <v>336.92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9202.9900000000016</v>
      </c>
      <c r="L68" s="34">
        <f>SUM(L58:L67)</f>
        <v>0</v>
      </c>
      <c r="M68" s="34">
        <f>SUM(M58:M67)</f>
        <v>0</v>
      </c>
      <c r="N68" s="34">
        <f>SUM(N58:N67)</f>
        <v>9202.9900000000016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9202.9900000000016</v>
      </c>
      <c r="L69" s="34">
        <f t="shared" si="20"/>
        <v>0</v>
      </c>
      <c r="M69" s="34">
        <f t="shared" si="20"/>
        <v>0</v>
      </c>
      <c r="N69" s="34">
        <f t="shared" si="20"/>
        <v>9202.9900000000016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16.86</v>
      </c>
      <c r="L71" s="34"/>
      <c r="M71" s="34"/>
      <c r="N71" s="34">
        <f>D4</f>
        <v>16.86</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119.98</v>
      </c>
      <c r="L72" s="34"/>
      <c r="M72" s="34"/>
      <c r="N72" s="34">
        <f>E4</f>
        <v>119.98</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173.87</v>
      </c>
      <c r="L73" s="34"/>
      <c r="M73" s="34"/>
      <c r="N73" s="34">
        <f>G4-SUM(N14,N26,N39,N52)</f>
        <v>173.87</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76.52</v>
      </c>
      <c r="L74" s="34"/>
      <c r="M74" s="34"/>
      <c r="N74" s="34">
        <f>H4</f>
        <v>76.52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985.25</v>
      </c>
      <c r="L75" s="34"/>
      <c r="M75" s="34"/>
      <c r="N75" s="34">
        <f>I4</f>
        <v>985.25</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57.92</v>
      </c>
      <c r="L76" s="34"/>
      <c r="M76" s="34"/>
      <c r="N76" s="34">
        <f>J4</f>
        <v>57.92</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54.36</v>
      </c>
      <c r="L78" s="34"/>
      <c r="M78" s="34"/>
      <c r="N78" s="34">
        <f>K4</f>
        <v>54.36</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1484.76</v>
      </c>
      <c r="L80" s="34">
        <f>SUM(L70:L79)</f>
        <v>0</v>
      </c>
      <c r="M80" s="34">
        <f>SUM(M70:M79)</f>
        <v>0</v>
      </c>
      <c r="N80" s="34">
        <f>SUM(N70:N79)</f>
        <v>1484.76</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1484.76</v>
      </c>
      <c r="L81" s="34">
        <f t="shared" si="23"/>
        <v>0</v>
      </c>
      <c r="M81" s="34">
        <f t="shared" si="23"/>
        <v>0</v>
      </c>
      <c r="N81" s="34">
        <f t="shared" si="23"/>
        <v>1484.76</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10687.750000000002</v>
      </c>
      <c r="L82" s="34">
        <f>L69+L81</f>
        <v>0</v>
      </c>
      <c r="M82" s="34">
        <f>M69+M81</f>
        <v>0</v>
      </c>
      <c r="N82" s="34">
        <f>N69+N81</f>
        <v>10687.750000000002</v>
      </c>
      <c r="O82" s="8"/>
      <c r="R82" s="14"/>
      <c r="Z82" s="15"/>
      <c r="AJ82" s="16"/>
    </row>
    <row r="83" spans="1:36" s="31" customFormat="1" ht="21.95" customHeight="1" x14ac:dyDescent="0.2">
      <c r="A83" s="275" t="s">
        <v>82</v>
      </c>
      <c r="B83" s="275"/>
      <c r="C83" s="275"/>
      <c r="D83" s="275"/>
      <c r="E83" s="275"/>
      <c r="F83" s="275"/>
      <c r="G83" s="275"/>
      <c r="H83" s="275"/>
      <c r="I83" s="275"/>
      <c r="J83" s="35">
        <f>J18+J31+J44+J57+J82</f>
        <v>53051.817999999999</v>
      </c>
      <c r="K83" s="35">
        <f>K18+K31+K44+K57+K82</f>
        <v>237059.272</v>
      </c>
      <c r="L83" s="35">
        <f>L18+L31+L44+L57+L82</f>
        <v>185681.36299999998</v>
      </c>
      <c r="M83" s="35">
        <f>M18+M31+M44+M57+M82</f>
        <v>79577.726999999999</v>
      </c>
      <c r="N83" s="38">
        <f>N18+N31+N44+N57+N82</f>
        <v>555370.17999999993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4CA14C7-6788-4966-A09E-0A1A85DF7898}">
          <x14:formula1>
            <xm:f>'2026 COB breakdown_Kris'!$A$5:$A$103</xm:f>
          </x14:formula1>
          <xm:sqref>A3</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B8EDC-022A-40AD-8AA0-FA5834E84C1F}">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254</v>
      </c>
      <c r="B3" s="58" t="s">
        <v>158</v>
      </c>
      <c r="C3" s="59">
        <f>VLOOKUP($A3,COBTABLE,15, FALSE)</f>
        <v>1265.72</v>
      </c>
      <c r="D3" s="59">
        <f>VLOOKUP($A3,COBTABLE,16, FALSE)</f>
        <v>16.670000000000002</v>
      </c>
      <c r="E3" s="59">
        <f>VLOOKUP($A3,COBTABLE,17, FALSE)</f>
        <v>118.62</v>
      </c>
      <c r="F3" s="59">
        <f>VLOOKUP($A3,COBTABLE,18, FALSE)</f>
        <v>0</v>
      </c>
      <c r="G3" s="59">
        <f>VLOOKUP($A3,COBTABLE,19, FALSE)</f>
        <v>171.9</v>
      </c>
      <c r="H3" s="59">
        <f>VLOOKUP($A3,COBTABLE,20, FALSE)</f>
        <v>75.650000000000006</v>
      </c>
      <c r="I3" s="59">
        <f>VLOOKUP($A3,COBTABLE,21, FALSE)</f>
        <v>974.11</v>
      </c>
      <c r="J3" s="59">
        <f>VLOOKUP($A3,COBTABLE,22, FALSE)</f>
        <v>57.27</v>
      </c>
      <c r="K3" s="59">
        <f>VLOOKUP($A3,COBTABLE,23, FALSE)</f>
        <v>53.74</v>
      </c>
      <c r="L3" s="59">
        <f>VLOOKUP($A3,COBTABLE,24, FALSE)</f>
        <v>350.78</v>
      </c>
      <c r="M3" s="59">
        <f>VLOOKUP($A3,COBTABLE,25, FALSE)</f>
        <v>328.98000000000047</v>
      </c>
      <c r="N3" s="60">
        <f>VLOOKUP($A3, countrygrant,2,FALSE)</f>
        <v>456818.18</v>
      </c>
      <c r="O3" s="92">
        <f>SUM(C3:N3)</f>
        <v>460231.62</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3712.78</v>
      </c>
      <c r="D4" s="59">
        <f>VLOOKUP($A3,COBTABLE,28, FALSE)</f>
        <v>48.89</v>
      </c>
      <c r="E4" s="59">
        <f>VLOOKUP($A3,COBTABLE,29, FALSE)</f>
        <v>347.96</v>
      </c>
      <c r="F4" s="59">
        <f>VLOOKUP($A3,COBTABLE,30, FALSE)</f>
        <v>0</v>
      </c>
      <c r="G4" s="59">
        <f>VLOOKUP($A3,COBTABLE,31, FALSE)</f>
        <v>504.24</v>
      </c>
      <c r="H4" s="59">
        <f>VLOOKUP($A3,COBTABLE,32, FALSE)</f>
        <v>221.92</v>
      </c>
      <c r="I4" s="59">
        <f>VLOOKUP($A3,COBTABLE,33, FALSE)</f>
        <v>2857.4</v>
      </c>
      <c r="J4" s="59">
        <f>VLOOKUP($A3,COBTABLE,34, FALSE)</f>
        <v>167.99</v>
      </c>
      <c r="K4" s="59">
        <f>VLOOKUP($A3,COBTABLE,35, FALSE)</f>
        <v>157.63999999999999</v>
      </c>
      <c r="L4" s="59">
        <f>VLOOKUP($A3,COBTABLE,36, FALSE)</f>
        <v>1028.95</v>
      </c>
      <c r="M4" s="59">
        <f>VLOOKUP($A3,COBTABLE,37, FALSE)</f>
        <v>964.98999999999978</v>
      </c>
      <c r="N4" s="60">
        <f>VLOOKUP($A3, countrygrant,3,FALSE)</f>
        <v>1340000</v>
      </c>
      <c r="O4" s="92">
        <f t="shared" ref="O4" si="0">SUM(C4:N4)</f>
        <v>1350012.76</v>
      </c>
      <c r="P4" s="28"/>
      <c r="Q4" s="28"/>
      <c r="R4" s="28"/>
      <c r="S4" s="28"/>
      <c r="T4" s="28"/>
      <c r="U4" s="28"/>
      <c r="V4" s="28"/>
      <c r="W4" s="28"/>
      <c r="X4" s="28"/>
      <c r="Y4" s="28"/>
      <c r="Z4" s="28"/>
      <c r="AA4" s="28"/>
      <c r="AB4" s="28"/>
      <c r="AC4" s="28"/>
    </row>
    <row r="5" spans="1:36" s="53" customFormat="1" ht="12" customHeight="1" x14ac:dyDescent="0.25">
      <c r="A5" s="278"/>
      <c r="B5" s="61" t="s">
        <v>156</v>
      </c>
      <c r="C5" s="62">
        <f>SUM(C3:C4)</f>
        <v>4978.5</v>
      </c>
      <c r="D5" s="62">
        <f t="shared" ref="D5:O5" si="1">SUM(D3:D4)</f>
        <v>65.56</v>
      </c>
      <c r="E5" s="62">
        <f t="shared" si="1"/>
        <v>466.58</v>
      </c>
      <c r="F5" s="62">
        <f t="shared" si="1"/>
        <v>0</v>
      </c>
      <c r="G5" s="62">
        <f t="shared" si="1"/>
        <v>676.14</v>
      </c>
      <c r="H5" s="62">
        <f t="shared" si="1"/>
        <v>297.57</v>
      </c>
      <c r="I5" s="62">
        <f t="shared" si="1"/>
        <v>3831.51</v>
      </c>
      <c r="J5" s="62">
        <f t="shared" si="1"/>
        <v>225.26000000000002</v>
      </c>
      <c r="K5" s="62">
        <f t="shared" si="1"/>
        <v>211.38</v>
      </c>
      <c r="L5" s="62">
        <f t="shared" si="1"/>
        <v>1379.73</v>
      </c>
      <c r="M5" s="62">
        <f t="shared" si="1"/>
        <v>1293.9700000000003</v>
      </c>
      <c r="N5" s="62">
        <f t="shared" si="1"/>
        <v>1796818.18</v>
      </c>
      <c r="O5" s="62">
        <f t="shared" si="1"/>
        <v>1810244.38</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134000</v>
      </c>
      <c r="K28" s="34">
        <f>$N28*0.4</f>
        <v>536000</v>
      </c>
      <c r="L28" s="34">
        <f>$N28*0.35</f>
        <v>468999.99999999994</v>
      </c>
      <c r="M28" s="34">
        <f>$N28*0.15</f>
        <v>201000</v>
      </c>
      <c r="N28" s="34">
        <f>N4</f>
        <v>1340000</v>
      </c>
      <c r="O28" s="8"/>
      <c r="P28" s="9">
        <f>VLOOKUP(H28,starratio4,4,FALSE)</f>
        <v>0</v>
      </c>
    </row>
    <row r="29" spans="1:36" ht="21.95" customHeight="1" x14ac:dyDescent="0.2">
      <c r="A29" s="262"/>
      <c r="B29" s="262"/>
      <c r="C29" s="263" t="s">
        <v>31</v>
      </c>
      <c r="D29" s="263"/>
      <c r="E29" s="263"/>
      <c r="F29" s="263"/>
      <c r="G29" s="263"/>
      <c r="H29" s="263"/>
      <c r="I29" s="263"/>
      <c r="J29" s="34">
        <f>SUM(J25:J28)</f>
        <v>134000</v>
      </c>
      <c r="K29" s="34">
        <f>SUM(K25:K28)</f>
        <v>536000</v>
      </c>
      <c r="L29" s="34">
        <f>SUM(L25:L28)</f>
        <v>468999.99999999994</v>
      </c>
      <c r="M29" s="34">
        <f>SUM(M25:M28)</f>
        <v>201000</v>
      </c>
      <c r="N29" s="34">
        <f>SUM(N25:N28)</f>
        <v>1340000</v>
      </c>
      <c r="O29" s="8"/>
      <c r="P29" s="9"/>
    </row>
    <row r="30" spans="1:36" ht="21.95" customHeight="1" x14ac:dyDescent="0.2">
      <c r="A30" s="262"/>
      <c r="B30" s="263" t="s">
        <v>44</v>
      </c>
      <c r="C30" s="263"/>
      <c r="D30" s="263"/>
      <c r="E30" s="263"/>
      <c r="F30" s="263"/>
      <c r="G30" s="263"/>
      <c r="H30" s="263"/>
      <c r="I30" s="263"/>
      <c r="J30" s="34">
        <f>J29</f>
        <v>134000</v>
      </c>
      <c r="K30" s="34">
        <f t="shared" ref="K30:N30" si="9">K29</f>
        <v>536000</v>
      </c>
      <c r="L30" s="34">
        <f t="shared" si="9"/>
        <v>468999.99999999994</v>
      </c>
      <c r="M30" s="34">
        <f t="shared" si="9"/>
        <v>201000</v>
      </c>
      <c r="N30" s="34">
        <f t="shared" si="9"/>
        <v>1340000</v>
      </c>
      <c r="O30" s="8"/>
      <c r="Q30" s="10"/>
      <c r="Z30" s="11"/>
      <c r="AC30" s="12"/>
      <c r="AD30" s="13"/>
    </row>
    <row r="31" spans="1:36" ht="21.95" customHeight="1" x14ac:dyDescent="0.2">
      <c r="A31" s="261" t="s">
        <v>45</v>
      </c>
      <c r="B31" s="261"/>
      <c r="C31" s="261"/>
      <c r="D31" s="261"/>
      <c r="E31" s="261"/>
      <c r="F31" s="261"/>
      <c r="G31" s="261"/>
      <c r="H31" s="261"/>
      <c r="I31" s="261"/>
      <c r="J31" s="34">
        <f>J24+J30</f>
        <v>179681.818</v>
      </c>
      <c r="K31" s="34">
        <f>K24+K30</f>
        <v>718727.272</v>
      </c>
      <c r="L31" s="34">
        <f>L24+L30</f>
        <v>628886.3629999999</v>
      </c>
      <c r="M31" s="34">
        <f>M24+M30</f>
        <v>269522.72700000001</v>
      </c>
      <c r="N31" s="34">
        <f>N24+N30</f>
        <v>1796818.18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1265.72</v>
      </c>
      <c r="L45" s="34"/>
      <c r="M45" s="34"/>
      <c r="N45" s="34">
        <f>ROUND($C$3*P45,2)</f>
        <v>1265.72</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350.78</v>
      </c>
      <c r="L47" s="34"/>
      <c r="M47" s="34"/>
      <c r="N47" s="34">
        <f>ROUND($L$3*P47,2)</f>
        <v>350.78</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328.98000000000047</v>
      </c>
      <c r="L48" s="34"/>
      <c r="M48" s="34"/>
      <c r="N48" s="34">
        <f>M3-SUM(N10,N21,N35)</f>
        <v>328.98000000000047</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1945.4800000000005</v>
      </c>
      <c r="L49" s="34">
        <f>SUM(L45:L48)</f>
        <v>0</v>
      </c>
      <c r="M49" s="34">
        <f>SUM(M45:M48)</f>
        <v>0</v>
      </c>
      <c r="N49" s="34">
        <f>SUM(N45:N48)</f>
        <v>1945.4800000000005</v>
      </c>
      <c r="O49" s="8"/>
      <c r="P49" s="9"/>
    </row>
    <row r="50" spans="1:36" ht="21.95" customHeight="1" x14ac:dyDescent="0.2">
      <c r="A50" s="262"/>
      <c r="B50" s="261" t="s">
        <v>60</v>
      </c>
      <c r="C50" s="261"/>
      <c r="D50" s="261"/>
      <c r="E50" s="261"/>
      <c r="F50" s="261"/>
      <c r="G50" s="261"/>
      <c r="H50" s="261"/>
      <c r="I50" s="261"/>
      <c r="J50" s="34">
        <f>J49</f>
        <v>0</v>
      </c>
      <c r="K50" s="34">
        <f t="shared" ref="K50:N50" si="15">K49</f>
        <v>1945.4800000000005</v>
      </c>
      <c r="L50" s="34">
        <f t="shared" si="15"/>
        <v>0</v>
      </c>
      <c r="M50" s="34">
        <f t="shared" si="15"/>
        <v>0</v>
      </c>
      <c r="N50" s="34">
        <f t="shared" si="15"/>
        <v>1945.4800000000005</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3712.78</v>
      </c>
      <c r="L51" s="34"/>
      <c r="M51" s="34"/>
      <c r="N51" s="34">
        <f>ROUND($C$4*P51,2)</f>
        <v>3712.78</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1028.95</v>
      </c>
      <c r="L53" s="34"/>
      <c r="M53" s="34"/>
      <c r="N53" s="34">
        <f>ROUND($L$4*P53,2)</f>
        <v>1028.95</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964.98999999999978</v>
      </c>
      <c r="L54" s="34"/>
      <c r="M54" s="34"/>
      <c r="N54" s="34">
        <f>M4-SUM(N15,N27,N41)</f>
        <v>964.98999999999978</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5706.72</v>
      </c>
      <c r="L55" s="34">
        <f>SUM(L51:L54)</f>
        <v>0</v>
      </c>
      <c r="M55" s="34">
        <f>SUM(M51:M54)</f>
        <v>0</v>
      </c>
      <c r="N55" s="34">
        <f>SUM(N51:N54)</f>
        <v>5706.72</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5706.72</v>
      </c>
      <c r="L56" s="34">
        <f t="shared" si="17"/>
        <v>0</v>
      </c>
      <c r="M56" s="34">
        <f t="shared" si="17"/>
        <v>0</v>
      </c>
      <c r="N56" s="34">
        <f t="shared" si="17"/>
        <v>5706.72</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7652.2000000000007</v>
      </c>
      <c r="L57" s="34">
        <f>L50+L56</f>
        <v>0</v>
      </c>
      <c r="M57" s="34">
        <f>M50+M56</f>
        <v>0</v>
      </c>
      <c r="N57" s="34">
        <f>N50+N56</f>
        <v>7652.2000000000007</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16.670000000000002</v>
      </c>
      <c r="L59" s="34"/>
      <c r="M59" s="34"/>
      <c r="N59" s="34">
        <f>D3</f>
        <v>16.670000000000002</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118.62</v>
      </c>
      <c r="L60" s="34"/>
      <c r="M60" s="34"/>
      <c r="N60" s="34">
        <f>E3</f>
        <v>118.62</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171.9</v>
      </c>
      <c r="L61" s="34"/>
      <c r="M61" s="34"/>
      <c r="N61" s="34">
        <f>G3-SUM(N9,N20,N33,N46)</f>
        <v>171.9</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75.650000000000006</v>
      </c>
      <c r="L62" s="34"/>
      <c r="M62" s="34"/>
      <c r="N62" s="34">
        <f>H3</f>
        <v>75.650000000000006</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974.11</v>
      </c>
      <c r="L63" s="34"/>
      <c r="M63" s="34"/>
      <c r="N63" s="34">
        <f>I3</f>
        <v>974.11</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57.27</v>
      </c>
      <c r="L64" s="34"/>
      <c r="M64" s="34"/>
      <c r="N64" s="34">
        <f>J3</f>
        <v>57.27</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53.74</v>
      </c>
      <c r="L66" s="34"/>
      <c r="M66" s="34"/>
      <c r="N66" s="34">
        <f>K3</f>
        <v>53.74</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1467.96</v>
      </c>
      <c r="L68" s="34">
        <f>SUM(L58:L67)</f>
        <v>0</v>
      </c>
      <c r="M68" s="34">
        <f>SUM(M58:M67)</f>
        <v>0</v>
      </c>
      <c r="N68" s="34">
        <f>SUM(N58:N67)</f>
        <v>1467.96</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1467.96</v>
      </c>
      <c r="L69" s="34">
        <f t="shared" si="20"/>
        <v>0</v>
      </c>
      <c r="M69" s="34">
        <f t="shared" si="20"/>
        <v>0</v>
      </c>
      <c r="N69" s="34">
        <f t="shared" si="20"/>
        <v>1467.96</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48.89</v>
      </c>
      <c r="L71" s="34"/>
      <c r="M71" s="34"/>
      <c r="N71" s="34">
        <f>D4</f>
        <v>48.89</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347.96</v>
      </c>
      <c r="L72" s="34"/>
      <c r="M72" s="34"/>
      <c r="N72" s="34">
        <f>E4</f>
        <v>347.96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504.24</v>
      </c>
      <c r="L73" s="34"/>
      <c r="M73" s="34"/>
      <c r="N73" s="34">
        <f>G4-SUM(N14,N26,N39,N52)</f>
        <v>504.24</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221.92</v>
      </c>
      <c r="L74" s="34"/>
      <c r="M74" s="34"/>
      <c r="N74" s="34">
        <f>H4</f>
        <v>221.92</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2857.4</v>
      </c>
      <c r="L75" s="34"/>
      <c r="M75" s="34"/>
      <c r="N75" s="34">
        <f>I4</f>
        <v>2857.4</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167.99</v>
      </c>
      <c r="L76" s="34"/>
      <c r="M76" s="34"/>
      <c r="N76" s="34">
        <f>J4</f>
        <v>167.99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157.63999999999999</v>
      </c>
      <c r="L78" s="34"/>
      <c r="M78" s="34"/>
      <c r="N78" s="34">
        <f>K4</f>
        <v>157.63999999999999</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4306.04</v>
      </c>
      <c r="L80" s="34">
        <f>SUM(L70:L79)</f>
        <v>0</v>
      </c>
      <c r="M80" s="34">
        <f>SUM(M70:M79)</f>
        <v>0</v>
      </c>
      <c r="N80" s="34">
        <f>SUM(N70:N79)</f>
        <v>4306.04</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4306.04</v>
      </c>
      <c r="L81" s="34">
        <f t="shared" si="23"/>
        <v>0</v>
      </c>
      <c r="M81" s="34">
        <f t="shared" si="23"/>
        <v>0</v>
      </c>
      <c r="N81" s="34">
        <f t="shared" si="23"/>
        <v>4306.04</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5774</v>
      </c>
      <c r="L82" s="34">
        <f>L69+L81</f>
        <v>0</v>
      </c>
      <c r="M82" s="34">
        <f>M69+M81</f>
        <v>0</v>
      </c>
      <c r="N82" s="34">
        <f>N69+N81</f>
        <v>5774</v>
      </c>
      <c r="O82" s="8"/>
      <c r="R82" s="14"/>
      <c r="Z82" s="15"/>
      <c r="AJ82" s="16"/>
    </row>
    <row r="83" spans="1:36" s="31" customFormat="1" ht="21.95" customHeight="1" x14ac:dyDescent="0.2">
      <c r="A83" s="275" t="s">
        <v>82</v>
      </c>
      <c r="B83" s="275"/>
      <c r="C83" s="275"/>
      <c r="D83" s="275"/>
      <c r="E83" s="275"/>
      <c r="F83" s="275"/>
      <c r="G83" s="275"/>
      <c r="H83" s="275"/>
      <c r="I83" s="275"/>
      <c r="J83" s="35">
        <f>J18+J31+J44+J57+J82</f>
        <v>179681.818</v>
      </c>
      <c r="K83" s="35">
        <f>K18+K31+K44+K57+K82</f>
        <v>732153.47199999995</v>
      </c>
      <c r="L83" s="35">
        <f>L18+L31+L44+L57+L82</f>
        <v>628886.3629999999</v>
      </c>
      <c r="M83" s="35">
        <f>M18+M31+M44+M57+M82</f>
        <v>269522.72700000001</v>
      </c>
      <c r="N83" s="38">
        <f>N18+N31+N44+N57+N82</f>
        <v>1810244.38</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F2E9982-F04F-45DD-8C48-A0F1610161E8}">
          <x14:formula1>
            <xm:f>'2026 COB breakdown_Kris'!$A$5:$A$103</xm:f>
          </x14:formula1>
          <xm:sqref>A3</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A3ABC-F5D6-4941-A522-8D55E12D6364}">
  <dimension ref="A1:AJ116"/>
  <sheetViews>
    <sheetView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255</v>
      </c>
      <c r="B3" s="58" t="s">
        <v>158</v>
      </c>
      <c r="C3" s="59">
        <f>VLOOKUP($A3,COBTABLE,15, FALSE)</f>
        <v>10273.450000000001</v>
      </c>
      <c r="D3" s="59">
        <f>VLOOKUP($A3,COBTABLE,16, FALSE)</f>
        <v>135.27000000000001</v>
      </c>
      <c r="E3" s="59">
        <f>VLOOKUP($A3,COBTABLE,17, FALSE)</f>
        <v>962.83</v>
      </c>
      <c r="F3" s="59">
        <f>VLOOKUP($A3,COBTABLE,18, FALSE)</f>
        <v>0</v>
      </c>
      <c r="G3" s="59">
        <f>VLOOKUP($A3,COBTABLE,19, FALSE)</f>
        <v>1395.27</v>
      </c>
      <c r="H3" s="59">
        <f>VLOOKUP($A3,COBTABLE,20, FALSE)</f>
        <v>614.05999999999995</v>
      </c>
      <c r="I3" s="59">
        <f>VLOOKUP($A3,COBTABLE,21, FALSE)</f>
        <v>7906.56</v>
      </c>
      <c r="J3" s="59">
        <f>VLOOKUP($A3,COBTABLE,22, FALSE)</f>
        <v>464.83</v>
      </c>
      <c r="K3" s="59">
        <f>VLOOKUP($A3,COBTABLE,23, FALSE)</f>
        <v>436.2</v>
      </c>
      <c r="L3" s="59">
        <f>VLOOKUP($A3,COBTABLE,24, FALSE)</f>
        <v>2847.15</v>
      </c>
      <c r="M3" s="59">
        <f>VLOOKUP($A3,COBTABLE,25, FALSE)</f>
        <v>2670.169999999991</v>
      </c>
      <c r="N3" s="60">
        <f>VLOOKUP($A3, countrygrant,2,FALSE)</f>
        <v>456818.18</v>
      </c>
      <c r="O3" s="92">
        <f>SUM(C3:N3)</f>
        <v>484523.97</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4369.6400000000003</v>
      </c>
      <c r="D4" s="59">
        <f>VLOOKUP($A3,COBTABLE,28, FALSE)</f>
        <v>57.54</v>
      </c>
      <c r="E4" s="59">
        <f>VLOOKUP($A3,COBTABLE,29, FALSE)</f>
        <v>409.52</v>
      </c>
      <c r="F4" s="59">
        <f>VLOOKUP($A3,COBTABLE,30, FALSE)</f>
        <v>0</v>
      </c>
      <c r="G4" s="59">
        <f>VLOOKUP($A3,COBTABLE,31, FALSE)</f>
        <v>593.45000000000005</v>
      </c>
      <c r="H4" s="59">
        <f>VLOOKUP($A3,COBTABLE,32, FALSE)</f>
        <v>261.18</v>
      </c>
      <c r="I4" s="59">
        <f>VLOOKUP($A3,COBTABLE,33, FALSE)</f>
        <v>3362.93</v>
      </c>
      <c r="J4" s="59">
        <f>VLOOKUP($A3,COBTABLE,34, FALSE)</f>
        <v>197.71</v>
      </c>
      <c r="K4" s="59">
        <f>VLOOKUP($A3,COBTABLE,35, FALSE)</f>
        <v>185.53</v>
      </c>
      <c r="L4" s="59">
        <f>VLOOKUP($A3,COBTABLE,36, FALSE)</f>
        <v>1210.99</v>
      </c>
      <c r="M4" s="59">
        <f>VLOOKUP($A3,COBTABLE,37, FALSE)</f>
        <v>1135.7100000000009</v>
      </c>
      <c r="N4" s="60">
        <f>VLOOKUP($A3, countrygrant,3,FALSE)</f>
        <v>194300</v>
      </c>
      <c r="O4" s="92">
        <f t="shared" ref="O4" si="0">SUM(C4:N4)</f>
        <v>206084.2</v>
      </c>
      <c r="P4" s="28"/>
      <c r="Q4" s="28"/>
      <c r="R4" s="28"/>
      <c r="S4" s="28"/>
      <c r="T4" s="28"/>
      <c r="U4" s="28"/>
      <c r="V4" s="28"/>
      <c r="W4" s="28"/>
      <c r="X4" s="28"/>
      <c r="Y4" s="28"/>
      <c r="Z4" s="28"/>
      <c r="AA4" s="28"/>
      <c r="AB4" s="28"/>
      <c r="AC4" s="28"/>
    </row>
    <row r="5" spans="1:36" s="53" customFormat="1" ht="12" customHeight="1" x14ac:dyDescent="0.25">
      <c r="A5" s="278"/>
      <c r="B5" s="61" t="s">
        <v>156</v>
      </c>
      <c r="C5" s="62">
        <f>SUM(C3:C4)</f>
        <v>14643.09</v>
      </c>
      <c r="D5" s="62">
        <f t="shared" ref="D5:O5" si="1">SUM(D3:D4)</f>
        <v>192.81</v>
      </c>
      <c r="E5" s="62">
        <f t="shared" si="1"/>
        <v>1372.35</v>
      </c>
      <c r="F5" s="62">
        <f t="shared" si="1"/>
        <v>0</v>
      </c>
      <c r="G5" s="62">
        <f t="shared" si="1"/>
        <v>1988.72</v>
      </c>
      <c r="H5" s="62">
        <f t="shared" si="1"/>
        <v>875.24</v>
      </c>
      <c r="I5" s="62">
        <f t="shared" si="1"/>
        <v>11269.49</v>
      </c>
      <c r="J5" s="62">
        <f t="shared" si="1"/>
        <v>662.54</v>
      </c>
      <c r="K5" s="62">
        <f t="shared" si="1"/>
        <v>621.73</v>
      </c>
      <c r="L5" s="62">
        <f t="shared" si="1"/>
        <v>4058.1400000000003</v>
      </c>
      <c r="M5" s="62">
        <f t="shared" si="1"/>
        <v>3805.8799999999919</v>
      </c>
      <c r="N5" s="62">
        <f t="shared" si="1"/>
        <v>651118.17999999993</v>
      </c>
      <c r="O5" s="62">
        <f t="shared" si="1"/>
        <v>690608.16999999993</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19430</v>
      </c>
      <c r="K28" s="34">
        <f>$N28*0.4</f>
        <v>77720</v>
      </c>
      <c r="L28" s="34">
        <f>$N28*0.35</f>
        <v>68005</v>
      </c>
      <c r="M28" s="34">
        <f>$N28*0.15</f>
        <v>29145</v>
      </c>
      <c r="N28" s="34">
        <f>N4</f>
        <v>194300</v>
      </c>
      <c r="O28" s="8"/>
      <c r="P28" s="9">
        <f>VLOOKUP(H28,starratio4,4,FALSE)</f>
        <v>0</v>
      </c>
    </row>
    <row r="29" spans="1:36" ht="21.95" customHeight="1" x14ac:dyDescent="0.2">
      <c r="A29" s="262"/>
      <c r="B29" s="262"/>
      <c r="C29" s="263" t="s">
        <v>31</v>
      </c>
      <c r="D29" s="263"/>
      <c r="E29" s="263"/>
      <c r="F29" s="263"/>
      <c r="G29" s="263"/>
      <c r="H29" s="263"/>
      <c r="I29" s="263"/>
      <c r="J29" s="34">
        <f>SUM(J25:J28)</f>
        <v>19430</v>
      </c>
      <c r="K29" s="34">
        <f>SUM(K25:K28)</f>
        <v>77720</v>
      </c>
      <c r="L29" s="34">
        <f>SUM(L25:L28)</f>
        <v>68005</v>
      </c>
      <c r="M29" s="34">
        <f>SUM(M25:M28)</f>
        <v>29145</v>
      </c>
      <c r="N29" s="34">
        <f>SUM(N25:N28)</f>
        <v>194300</v>
      </c>
      <c r="O29" s="8"/>
      <c r="P29" s="9"/>
    </row>
    <row r="30" spans="1:36" ht="21.95" customHeight="1" x14ac:dyDescent="0.2">
      <c r="A30" s="262"/>
      <c r="B30" s="263" t="s">
        <v>44</v>
      </c>
      <c r="C30" s="263"/>
      <c r="D30" s="263"/>
      <c r="E30" s="263"/>
      <c r="F30" s="263"/>
      <c r="G30" s="263"/>
      <c r="H30" s="263"/>
      <c r="I30" s="263"/>
      <c r="J30" s="34">
        <f>J29</f>
        <v>19430</v>
      </c>
      <c r="K30" s="34">
        <f t="shared" ref="K30:N30" si="9">K29</f>
        <v>77720</v>
      </c>
      <c r="L30" s="34">
        <f t="shared" si="9"/>
        <v>68005</v>
      </c>
      <c r="M30" s="34">
        <f t="shared" si="9"/>
        <v>29145</v>
      </c>
      <c r="N30" s="34">
        <f t="shared" si="9"/>
        <v>194300</v>
      </c>
      <c r="O30" s="8"/>
      <c r="Q30" s="10"/>
      <c r="Z30" s="11"/>
      <c r="AC30" s="12"/>
      <c r="AD30" s="13"/>
    </row>
    <row r="31" spans="1:36" ht="21.95" customHeight="1" x14ac:dyDescent="0.2">
      <c r="A31" s="261" t="s">
        <v>45</v>
      </c>
      <c r="B31" s="261"/>
      <c r="C31" s="261"/>
      <c r="D31" s="261"/>
      <c r="E31" s="261"/>
      <c r="F31" s="261"/>
      <c r="G31" s="261"/>
      <c r="H31" s="261"/>
      <c r="I31" s="261"/>
      <c r="J31" s="34">
        <f>J24+J30</f>
        <v>65111.817999999999</v>
      </c>
      <c r="K31" s="34">
        <f>K24+K30</f>
        <v>260447.272</v>
      </c>
      <c r="L31" s="34">
        <f>L24+L30</f>
        <v>227891.36299999998</v>
      </c>
      <c r="M31" s="34">
        <f>M24+M30</f>
        <v>97667.726999999999</v>
      </c>
      <c r="N31" s="34">
        <f>N24+N30</f>
        <v>651118.17999999993</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10273.450000000001</v>
      </c>
      <c r="L45" s="34"/>
      <c r="M45" s="34"/>
      <c r="N45" s="34">
        <f>ROUND($C$3*P45,2)</f>
        <v>10273.450000000001</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2847.15</v>
      </c>
      <c r="L47" s="34"/>
      <c r="M47" s="34"/>
      <c r="N47" s="34">
        <f>ROUND($L$3*P47,2)</f>
        <v>2847.15</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2670.169999999991</v>
      </c>
      <c r="L48" s="34"/>
      <c r="M48" s="34"/>
      <c r="N48" s="34">
        <f>M3-SUM(N10,N21,N35)</f>
        <v>2670.169999999991</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15790.769999999991</v>
      </c>
      <c r="L49" s="34">
        <f>SUM(L45:L48)</f>
        <v>0</v>
      </c>
      <c r="M49" s="34">
        <f>SUM(M45:M48)</f>
        <v>0</v>
      </c>
      <c r="N49" s="34">
        <f>SUM(N45:N48)</f>
        <v>15790.769999999991</v>
      </c>
      <c r="O49" s="8"/>
      <c r="P49" s="9"/>
    </row>
    <row r="50" spans="1:36" ht="21.95" customHeight="1" x14ac:dyDescent="0.2">
      <c r="A50" s="262"/>
      <c r="B50" s="261" t="s">
        <v>60</v>
      </c>
      <c r="C50" s="261"/>
      <c r="D50" s="261"/>
      <c r="E50" s="261"/>
      <c r="F50" s="261"/>
      <c r="G50" s="261"/>
      <c r="H50" s="261"/>
      <c r="I50" s="261"/>
      <c r="J50" s="34">
        <f>J49</f>
        <v>0</v>
      </c>
      <c r="K50" s="34">
        <f t="shared" ref="K50:N50" si="15">K49</f>
        <v>15790.769999999991</v>
      </c>
      <c r="L50" s="34">
        <f t="shared" si="15"/>
        <v>0</v>
      </c>
      <c r="M50" s="34">
        <f t="shared" si="15"/>
        <v>0</v>
      </c>
      <c r="N50" s="34">
        <f t="shared" si="15"/>
        <v>15790.769999999991</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4369.6400000000003</v>
      </c>
      <c r="L51" s="34"/>
      <c r="M51" s="34"/>
      <c r="N51" s="34">
        <f>ROUND($C$4*P51,2)</f>
        <v>4369.6400000000003</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1210.99</v>
      </c>
      <c r="L53" s="34"/>
      <c r="M53" s="34"/>
      <c r="N53" s="34">
        <f>ROUND($L$4*P53,2)</f>
        <v>1210.99</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1135.7100000000009</v>
      </c>
      <c r="L54" s="34"/>
      <c r="M54" s="34"/>
      <c r="N54" s="34">
        <f>M4-SUM(N15,N27,N41)</f>
        <v>1135.7100000000009</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6716.3400000000011</v>
      </c>
      <c r="L55" s="34">
        <f>SUM(L51:L54)</f>
        <v>0</v>
      </c>
      <c r="M55" s="34">
        <f>SUM(M51:M54)</f>
        <v>0</v>
      </c>
      <c r="N55" s="34">
        <f>SUM(N51:N54)</f>
        <v>6716.3400000000011</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6716.3400000000011</v>
      </c>
      <c r="L56" s="34">
        <f t="shared" si="17"/>
        <v>0</v>
      </c>
      <c r="M56" s="34">
        <f t="shared" si="17"/>
        <v>0</v>
      </c>
      <c r="N56" s="34">
        <f t="shared" si="17"/>
        <v>6716.3400000000011</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22507.109999999993</v>
      </c>
      <c r="L57" s="34">
        <f>L50+L56</f>
        <v>0</v>
      </c>
      <c r="M57" s="34">
        <f>M50+M56</f>
        <v>0</v>
      </c>
      <c r="N57" s="34">
        <f>N50+N56</f>
        <v>22507.109999999993</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135.27000000000001</v>
      </c>
      <c r="L59" s="34"/>
      <c r="M59" s="34"/>
      <c r="N59" s="34">
        <f>D3</f>
        <v>135.27000000000001</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962.83</v>
      </c>
      <c r="L60" s="34"/>
      <c r="M60" s="34"/>
      <c r="N60" s="34">
        <f>E3</f>
        <v>962.83</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1395.27</v>
      </c>
      <c r="L61" s="34"/>
      <c r="M61" s="34"/>
      <c r="N61" s="34">
        <f>G3-SUM(N9,N20,N33,N46)</f>
        <v>1395.27</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614.05999999999995</v>
      </c>
      <c r="L62" s="34"/>
      <c r="M62" s="34"/>
      <c r="N62" s="34">
        <f>H3</f>
        <v>614.05999999999995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7906.56</v>
      </c>
      <c r="L63" s="34"/>
      <c r="M63" s="34"/>
      <c r="N63" s="34">
        <f>I3</f>
        <v>7906.56</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464.83</v>
      </c>
      <c r="L64" s="34"/>
      <c r="M64" s="34"/>
      <c r="N64" s="34">
        <f>J3</f>
        <v>464.83</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436.2</v>
      </c>
      <c r="L66" s="34"/>
      <c r="M66" s="34"/>
      <c r="N66" s="34">
        <f>K3</f>
        <v>436.2</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11915.02</v>
      </c>
      <c r="L68" s="34">
        <f>SUM(L58:L67)</f>
        <v>0</v>
      </c>
      <c r="M68" s="34">
        <f>SUM(M58:M67)</f>
        <v>0</v>
      </c>
      <c r="N68" s="34">
        <f>SUM(N58:N67)</f>
        <v>11915.02</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11915.02</v>
      </c>
      <c r="L69" s="34">
        <f t="shared" si="20"/>
        <v>0</v>
      </c>
      <c r="M69" s="34">
        <f t="shared" si="20"/>
        <v>0</v>
      </c>
      <c r="N69" s="34">
        <f t="shared" si="20"/>
        <v>11915.02</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57.54</v>
      </c>
      <c r="L71" s="34"/>
      <c r="M71" s="34"/>
      <c r="N71" s="34">
        <f>D4</f>
        <v>57.54</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409.52</v>
      </c>
      <c r="L72" s="34"/>
      <c r="M72" s="34"/>
      <c r="N72" s="34">
        <f>E4</f>
        <v>409.52</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593.45000000000005</v>
      </c>
      <c r="L73" s="34"/>
      <c r="M73" s="34"/>
      <c r="N73" s="34">
        <f>G4-SUM(N14,N26,N39,N52)</f>
        <v>593.45000000000005</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261.18</v>
      </c>
      <c r="L74" s="34"/>
      <c r="M74" s="34"/>
      <c r="N74" s="34">
        <f>H4</f>
        <v>261.18</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3362.93</v>
      </c>
      <c r="L75" s="34"/>
      <c r="M75" s="34"/>
      <c r="N75" s="34">
        <f>I4</f>
        <v>3362.93</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197.71</v>
      </c>
      <c r="L76" s="34"/>
      <c r="M76" s="34"/>
      <c r="N76" s="34">
        <f>J4</f>
        <v>197.71</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185.53</v>
      </c>
      <c r="L78" s="34"/>
      <c r="M78" s="34"/>
      <c r="N78" s="34">
        <f>K4</f>
        <v>185.53</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5067.8599999999997</v>
      </c>
      <c r="L80" s="34">
        <f>SUM(L70:L79)</f>
        <v>0</v>
      </c>
      <c r="M80" s="34">
        <f>SUM(M70:M79)</f>
        <v>0</v>
      </c>
      <c r="N80" s="34">
        <f>SUM(N70:N79)</f>
        <v>5067.8599999999997</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5067.8599999999997</v>
      </c>
      <c r="L81" s="34">
        <f t="shared" si="23"/>
        <v>0</v>
      </c>
      <c r="M81" s="34">
        <f t="shared" si="23"/>
        <v>0</v>
      </c>
      <c r="N81" s="34">
        <f t="shared" si="23"/>
        <v>5067.8599999999997</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16982.88</v>
      </c>
      <c r="L82" s="34">
        <f>L69+L81</f>
        <v>0</v>
      </c>
      <c r="M82" s="34">
        <f>M69+M81</f>
        <v>0</v>
      </c>
      <c r="N82" s="34">
        <f>N69+N81</f>
        <v>16982.88</v>
      </c>
      <c r="O82" s="8"/>
      <c r="R82" s="14"/>
      <c r="Z82" s="15"/>
      <c r="AJ82" s="16"/>
    </row>
    <row r="83" spans="1:36" s="31" customFormat="1" ht="21.95" customHeight="1" x14ac:dyDescent="0.2">
      <c r="A83" s="275" t="s">
        <v>82</v>
      </c>
      <c r="B83" s="275"/>
      <c r="C83" s="275"/>
      <c r="D83" s="275"/>
      <c r="E83" s="275"/>
      <c r="F83" s="275"/>
      <c r="G83" s="275"/>
      <c r="H83" s="275"/>
      <c r="I83" s="275"/>
      <c r="J83" s="35">
        <f>J18+J31+J44+J57+J82</f>
        <v>65111.817999999999</v>
      </c>
      <c r="K83" s="35">
        <f>K18+K31+K44+K57+K82</f>
        <v>299937.26199999999</v>
      </c>
      <c r="L83" s="35">
        <f>L18+L31+L44+L57+L82</f>
        <v>227891.36299999998</v>
      </c>
      <c r="M83" s="35">
        <f>M18+M31+M44+M57+M82</f>
        <v>97667.726999999999</v>
      </c>
      <c r="N83" s="38">
        <f>N18+N31+N44+N57+N82</f>
        <v>690608.16999999993</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825B770-9E03-4D24-9652-62274ABF3504}">
          <x14:formula1>
            <xm:f>'2026 COB breakdown_Kris'!$A$5:$A$103</xm:f>
          </x14:formula1>
          <xm:sqref>A3</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A99C4-4C8F-4950-BC4E-EB86B5C05092}">
  <dimension ref="A1:AJ116"/>
  <sheetViews>
    <sheetView topLeftCell="A74" zoomScale="70" zoomScaleNormal="70" workbookViewId="0">
      <selection activeCell="P70" sqref="P70:P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0.285156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256</v>
      </c>
      <c r="B3" s="58" t="s">
        <v>158</v>
      </c>
      <c r="C3" s="59">
        <f>VLOOKUP($A3,COBTABLE,15, FALSE)</f>
        <v>7941.14</v>
      </c>
      <c r="D3" s="59">
        <f>VLOOKUP($A3,COBTABLE,16, FALSE)</f>
        <v>104.56</v>
      </c>
      <c r="E3" s="59">
        <f>VLOOKUP($A3,COBTABLE,17, FALSE)</f>
        <v>744.25</v>
      </c>
      <c r="F3" s="59">
        <f>VLOOKUP($A3,COBTABLE,18, FALSE)</f>
        <v>0</v>
      </c>
      <c r="G3" s="59">
        <f>VLOOKUP($A3,COBTABLE,19, FALSE)</f>
        <v>1078.51</v>
      </c>
      <c r="H3" s="59">
        <f>VLOOKUP($A3,COBTABLE,20, FALSE)</f>
        <v>474.65</v>
      </c>
      <c r="I3" s="59">
        <f>VLOOKUP($A3,COBTABLE,21, FALSE)</f>
        <v>6111.59</v>
      </c>
      <c r="J3" s="59">
        <f>VLOOKUP($A3,COBTABLE,22, FALSE)</f>
        <v>359.31</v>
      </c>
      <c r="K3" s="59">
        <f>VLOOKUP($A3,COBTABLE,23, FALSE)</f>
        <v>337.18</v>
      </c>
      <c r="L3" s="59">
        <f>VLOOKUP($A3,COBTABLE,24, FALSE)</f>
        <v>2200.7800000000002</v>
      </c>
      <c r="M3" s="59">
        <f>VLOOKUP($A3,COBTABLE,25, FALSE)</f>
        <v>2063.9799999999959</v>
      </c>
      <c r="N3" s="60">
        <f>VLOOKUP($A3, countrygrant,2,FALSE)</f>
        <v>456818.18</v>
      </c>
      <c r="O3" s="91">
        <f>SUM(C3:N3)</f>
        <v>478234.13</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11647.02</v>
      </c>
      <c r="D4" s="59">
        <f>VLOOKUP($A3,COBTABLE,28, FALSE)</f>
        <v>153.36000000000001</v>
      </c>
      <c r="E4" s="59">
        <f>VLOOKUP($A3,COBTABLE,29, FALSE)</f>
        <v>1091.56</v>
      </c>
      <c r="F4" s="59">
        <f>VLOOKUP($A3,COBTABLE,30, FALSE)</f>
        <v>0</v>
      </c>
      <c r="G4" s="59">
        <f>VLOOKUP($A3,COBTABLE,31, FALSE)</f>
        <v>1581.81</v>
      </c>
      <c r="H4" s="59">
        <f>VLOOKUP($A3,COBTABLE,32, FALSE)</f>
        <v>696.16</v>
      </c>
      <c r="I4" s="59">
        <f>VLOOKUP($A3,COBTABLE,33, FALSE)</f>
        <v>8963.68</v>
      </c>
      <c r="J4" s="59">
        <f>VLOOKUP($A3,COBTABLE,34, FALSE)</f>
        <v>526.99</v>
      </c>
      <c r="K4" s="59">
        <f>VLOOKUP($A3,COBTABLE,35, FALSE)</f>
        <v>494.52</v>
      </c>
      <c r="L4" s="59">
        <f>VLOOKUP($A3,COBTABLE,36, FALSE)</f>
        <v>3227.82</v>
      </c>
      <c r="M4" s="59">
        <f>VLOOKUP($A3,COBTABLE,37, FALSE)</f>
        <v>3027.1499999999978</v>
      </c>
      <c r="N4" s="60">
        <f>VLOOKUP($A3, countrygrant,3,FALSE)</f>
        <v>670000</v>
      </c>
      <c r="O4" s="91">
        <f t="shared" ref="O4" si="0">SUM(C4:N4)</f>
        <v>701410.07</v>
      </c>
      <c r="P4" s="28"/>
      <c r="Q4" s="28"/>
      <c r="R4" s="28"/>
      <c r="S4" s="28"/>
      <c r="T4" s="28"/>
      <c r="U4" s="28"/>
      <c r="V4" s="28"/>
      <c r="W4" s="28"/>
      <c r="X4" s="28"/>
      <c r="Y4" s="28"/>
      <c r="Z4" s="28"/>
      <c r="AA4" s="28"/>
      <c r="AB4" s="28"/>
      <c r="AC4" s="28"/>
    </row>
    <row r="5" spans="1:36" s="53" customFormat="1" ht="12" customHeight="1" x14ac:dyDescent="0.25">
      <c r="A5" s="278"/>
      <c r="B5" s="61" t="s">
        <v>156</v>
      </c>
      <c r="C5" s="62">
        <f>SUM(C3:C4)</f>
        <v>19588.16</v>
      </c>
      <c r="D5" s="62">
        <f t="shared" ref="D5:O5" si="1">SUM(D3:D4)</f>
        <v>257.92</v>
      </c>
      <c r="E5" s="62">
        <f t="shared" si="1"/>
        <v>1835.81</v>
      </c>
      <c r="F5" s="62">
        <f t="shared" si="1"/>
        <v>0</v>
      </c>
      <c r="G5" s="62">
        <f t="shared" si="1"/>
        <v>2660.3199999999997</v>
      </c>
      <c r="H5" s="62">
        <f t="shared" si="1"/>
        <v>1170.81</v>
      </c>
      <c r="I5" s="62">
        <f t="shared" si="1"/>
        <v>15075.27</v>
      </c>
      <c r="J5" s="62">
        <f t="shared" si="1"/>
        <v>886.3</v>
      </c>
      <c r="K5" s="62">
        <f t="shared" si="1"/>
        <v>831.7</v>
      </c>
      <c r="L5" s="62">
        <f t="shared" si="1"/>
        <v>5428.6</v>
      </c>
      <c r="M5" s="62">
        <f t="shared" si="1"/>
        <v>5091.1299999999937</v>
      </c>
      <c r="N5" s="62">
        <f t="shared" si="1"/>
        <v>1126818.18</v>
      </c>
      <c r="O5" s="62">
        <f t="shared" si="1"/>
        <v>1179644.2</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214</v>
      </c>
      <c r="Q7" s="30"/>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0</v>
      </c>
      <c r="L8" s="34"/>
      <c r="M8" s="34"/>
      <c r="N8" s="34">
        <f>ROUND($C$3*P8,2)</f>
        <v>0</v>
      </c>
      <c r="O8" s="8"/>
      <c r="P8" s="9">
        <f>VLOOKUP(H8,coreratio4,3,FALSE)</f>
        <v>0</v>
      </c>
      <c r="Q8" s="9"/>
    </row>
    <row r="9" spans="1:36" ht="21.95" customHeight="1" x14ac:dyDescent="0.2">
      <c r="A9" s="262"/>
      <c r="B9" s="262"/>
      <c r="C9" s="262"/>
      <c r="D9" s="262"/>
      <c r="E9" s="262"/>
      <c r="F9" s="6" t="s">
        <v>18</v>
      </c>
      <c r="G9" s="7" t="s">
        <v>24</v>
      </c>
      <c r="H9" s="6">
        <v>72500</v>
      </c>
      <c r="I9" s="6" t="s">
        <v>25</v>
      </c>
      <c r="J9" s="34"/>
      <c r="K9" s="34">
        <f t="shared" si="2"/>
        <v>0</v>
      </c>
      <c r="L9" s="34"/>
      <c r="M9" s="34"/>
      <c r="N9" s="34">
        <f>ROUND($G$3*P9,2)</f>
        <v>0</v>
      </c>
      <c r="O9" s="8"/>
      <c r="P9" s="9">
        <f>VLOOKUP(H9,coreratio4,3,FALSE)</f>
        <v>0</v>
      </c>
      <c r="Q9" s="9"/>
    </row>
    <row r="10" spans="1:36" ht="21.95" customHeight="1" x14ac:dyDescent="0.2">
      <c r="A10" s="262"/>
      <c r="B10" s="262"/>
      <c r="C10" s="262"/>
      <c r="D10" s="262"/>
      <c r="E10" s="262"/>
      <c r="F10" s="6" t="s">
        <v>18</v>
      </c>
      <c r="G10" s="7" t="s">
        <v>26</v>
      </c>
      <c r="H10" s="6">
        <v>75700</v>
      </c>
      <c r="I10" s="6" t="s">
        <v>27</v>
      </c>
      <c r="J10" s="34"/>
      <c r="K10" s="34">
        <f t="shared" si="2"/>
        <v>0</v>
      </c>
      <c r="L10" s="34"/>
      <c r="M10" s="34"/>
      <c r="N10" s="34">
        <f>ROUND($M$3*P10,2)</f>
        <v>0</v>
      </c>
      <c r="O10" s="8"/>
      <c r="P10" s="9">
        <f>VLOOKUP(H10,coreratio4,3,FALSE)</f>
        <v>0</v>
      </c>
      <c r="Q10" s="9"/>
    </row>
    <row r="11" spans="1:36" ht="21.95" customHeight="1" x14ac:dyDescent="0.2">
      <c r="A11" s="262"/>
      <c r="B11" s="262"/>
      <c r="C11" s="261" t="s">
        <v>31</v>
      </c>
      <c r="D11" s="261"/>
      <c r="E11" s="261"/>
      <c r="F11" s="261"/>
      <c r="G11" s="261"/>
      <c r="H11" s="261"/>
      <c r="I11" s="261"/>
      <c r="J11" s="34">
        <f>SUM(J8:J10)</f>
        <v>0</v>
      </c>
      <c r="K11" s="34">
        <f>SUM(K8:K10)</f>
        <v>0</v>
      </c>
      <c r="L11" s="34">
        <f>SUM(L8:L10)</f>
        <v>0</v>
      </c>
      <c r="M11" s="34">
        <f>SUM(M8:M10)</f>
        <v>0</v>
      </c>
      <c r="N11" s="34">
        <f>SUM(N8:N10)</f>
        <v>0</v>
      </c>
      <c r="O11" s="8"/>
      <c r="P11" s="9"/>
    </row>
    <row r="12" spans="1:36" s="2" customFormat="1" ht="21.95" customHeight="1" x14ac:dyDescent="0.2">
      <c r="A12" s="262"/>
      <c r="B12" s="261" t="s">
        <v>32</v>
      </c>
      <c r="C12" s="261"/>
      <c r="D12" s="261"/>
      <c r="E12" s="261"/>
      <c r="F12" s="261"/>
      <c r="G12" s="261"/>
      <c r="H12" s="261"/>
      <c r="I12" s="261"/>
      <c r="J12" s="34">
        <f>J11</f>
        <v>0</v>
      </c>
      <c r="K12" s="34">
        <f t="shared" ref="K12:N12" si="3">K11</f>
        <v>0</v>
      </c>
      <c r="L12" s="34">
        <f t="shared" si="3"/>
        <v>0</v>
      </c>
      <c r="M12" s="34">
        <f t="shared" si="3"/>
        <v>0</v>
      </c>
      <c r="N12" s="34">
        <f t="shared" si="3"/>
        <v>0</v>
      </c>
      <c r="O12" s="8"/>
      <c r="P12" s="9"/>
      <c r="R12" s="1"/>
      <c r="S12" s="1"/>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4">N13</f>
        <v>0</v>
      </c>
      <c r="L13" s="34"/>
      <c r="M13" s="34"/>
      <c r="N13" s="34">
        <f>ROUND($C$4*P13,2)</f>
        <v>0</v>
      </c>
      <c r="O13" s="8"/>
      <c r="P13" s="9">
        <f>VLOOKUP(H13,starratio4,3,FALSE)</f>
        <v>0</v>
      </c>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4"/>
        <v>0</v>
      </c>
      <c r="L14" s="34"/>
      <c r="M14" s="34"/>
      <c r="N14" s="34">
        <f>ROUND($G$4*P14,2)</f>
        <v>0</v>
      </c>
      <c r="O14" s="8"/>
      <c r="P14" s="9">
        <f>VLOOKUP(H14,starratio4,3,FALSE)</f>
        <v>0</v>
      </c>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4"/>
        <v>0</v>
      </c>
      <c r="L15" s="34"/>
      <c r="M15" s="34"/>
      <c r="N15" s="34">
        <f>ROUND($M$4*P15,2)</f>
        <v>0</v>
      </c>
      <c r="O15" s="8"/>
      <c r="P15" s="9">
        <f>VLOOKUP(H15,starratio4,3,FALSE)</f>
        <v>0</v>
      </c>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0</v>
      </c>
      <c r="L16" s="34">
        <f>SUM(L13:L15)</f>
        <v>0</v>
      </c>
      <c r="M16" s="34">
        <f>SUM(M13:M15)</f>
        <v>0</v>
      </c>
      <c r="N16" s="34">
        <f>SUM(N13:N15)</f>
        <v>0</v>
      </c>
      <c r="O16" s="8"/>
      <c r="P16" s="9"/>
      <c r="R16" s="1"/>
      <c r="S16" s="1"/>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5">K16</f>
        <v>0</v>
      </c>
      <c r="L17" s="34">
        <f t="shared" si="5"/>
        <v>0</v>
      </c>
      <c r="M17" s="34">
        <f t="shared" si="5"/>
        <v>0</v>
      </c>
      <c r="N17" s="34">
        <f t="shared" si="5"/>
        <v>0</v>
      </c>
      <c r="O17" s="8"/>
      <c r="Q17" s="10"/>
      <c r="Z17" s="11"/>
      <c r="AC17" s="12"/>
      <c r="AD17" s="13"/>
    </row>
    <row r="18" spans="1:36" ht="21.95" customHeight="1" x14ac:dyDescent="0.2">
      <c r="A18" s="261" t="s">
        <v>36</v>
      </c>
      <c r="B18" s="261"/>
      <c r="C18" s="261"/>
      <c r="D18" s="261"/>
      <c r="E18" s="261"/>
      <c r="F18" s="261"/>
      <c r="G18" s="261"/>
      <c r="H18" s="261"/>
      <c r="I18" s="261"/>
      <c r="J18" s="34">
        <f>J12+J17</f>
        <v>0</v>
      </c>
      <c r="K18" s="34">
        <f>K12+K17</f>
        <v>0</v>
      </c>
      <c r="L18" s="34">
        <f>L12+L17</f>
        <v>0</v>
      </c>
      <c r="M18" s="34">
        <f>M12+M17</f>
        <v>0</v>
      </c>
      <c r="N18" s="34">
        <f>N12+N17</f>
        <v>0</v>
      </c>
      <c r="O18" s="8"/>
      <c r="R18" s="14"/>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6">N19</f>
        <v>0</v>
      </c>
      <c r="L19" s="34"/>
      <c r="M19" s="34"/>
      <c r="N19" s="34">
        <f>ROUND($C$3*P19,2)</f>
        <v>0</v>
      </c>
      <c r="O19" s="8"/>
      <c r="P19" s="9">
        <f>VLOOKUP(H19,coreratio4,4,FALSE)</f>
        <v>0</v>
      </c>
      <c r="Q19" s="9"/>
    </row>
    <row r="20" spans="1:36" ht="21.95" customHeight="1" x14ac:dyDescent="0.2">
      <c r="A20" s="262"/>
      <c r="B20" s="262"/>
      <c r="C20" s="262"/>
      <c r="D20" s="262"/>
      <c r="E20" s="262"/>
      <c r="F20" s="6" t="s">
        <v>39</v>
      </c>
      <c r="G20" s="6" t="s">
        <v>24</v>
      </c>
      <c r="H20" s="6">
        <v>72500</v>
      </c>
      <c r="I20" s="6" t="s">
        <v>25</v>
      </c>
      <c r="J20" s="34"/>
      <c r="K20" s="34">
        <f t="shared" si="6"/>
        <v>0</v>
      </c>
      <c r="L20" s="34"/>
      <c r="M20" s="34"/>
      <c r="N20" s="34">
        <f>ROUND($G$3*P20,2)</f>
        <v>0</v>
      </c>
      <c r="O20" s="8"/>
      <c r="P20" s="9">
        <f>VLOOKUP(H20,coreratio4,4,FALSE)</f>
        <v>0</v>
      </c>
      <c r="Q20" s="9"/>
    </row>
    <row r="21" spans="1:36" ht="21.95" customHeight="1" x14ac:dyDescent="0.2">
      <c r="A21" s="262"/>
      <c r="B21" s="262"/>
      <c r="C21" s="262"/>
      <c r="D21" s="262"/>
      <c r="E21" s="262"/>
      <c r="F21" s="6" t="s">
        <v>39</v>
      </c>
      <c r="G21" s="7" t="s">
        <v>26</v>
      </c>
      <c r="H21" s="6">
        <v>75700</v>
      </c>
      <c r="I21" s="6" t="s">
        <v>27</v>
      </c>
      <c r="J21" s="34"/>
      <c r="K21" s="34">
        <f t="shared" si="6"/>
        <v>0</v>
      </c>
      <c r="L21" s="34"/>
      <c r="M21" s="34"/>
      <c r="N21" s="34">
        <f>ROUND($M$3*P21,2)</f>
        <v>0</v>
      </c>
      <c r="O21" s="8"/>
      <c r="P21" s="9">
        <f>VLOOKUP(H21,coreratio4,4,FALSE)</f>
        <v>0</v>
      </c>
      <c r="Q21" s="9"/>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VLOOKUP(H22,coreratio4,4,FALSE)</f>
        <v>0</v>
      </c>
      <c r="Q22" s="9"/>
      <c r="R22" s="1"/>
      <c r="S22" s="1"/>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182727.272</v>
      </c>
      <c r="L23" s="34">
        <f>SUM(L19:L22)</f>
        <v>159886.36299999998</v>
      </c>
      <c r="M23" s="34">
        <f>SUM(M19:M22)</f>
        <v>68522.726999999999</v>
      </c>
      <c r="N23" s="34">
        <f>SUM(N19:N22)</f>
        <v>456818.18</v>
      </c>
      <c r="O23" s="8"/>
      <c r="P23" s="9"/>
      <c r="R23" s="1"/>
      <c r="S23" s="1"/>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7">K23</f>
        <v>182727.272</v>
      </c>
      <c r="L24" s="34">
        <f t="shared" si="7"/>
        <v>159886.36299999998</v>
      </c>
      <c r="M24" s="34">
        <f t="shared" si="7"/>
        <v>68522.726999999999</v>
      </c>
      <c r="N24" s="34">
        <f t="shared" si="7"/>
        <v>456818.18</v>
      </c>
      <c r="O24" s="8"/>
      <c r="P24" s="9"/>
      <c r="R24" s="1"/>
      <c r="S24" s="1"/>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8">N25</f>
        <v>0</v>
      </c>
      <c r="L25" s="34"/>
      <c r="M25" s="34"/>
      <c r="N25" s="34">
        <f>ROUND($C$4*P25,2)</f>
        <v>0</v>
      </c>
      <c r="O25" s="8"/>
      <c r="P25" s="9">
        <f>VLOOKUP(H25,starratio4,4,FALSE)</f>
        <v>0</v>
      </c>
      <c r="R25" s="1"/>
      <c r="S25" s="1"/>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8"/>
        <v>0</v>
      </c>
      <c r="L26" s="34"/>
      <c r="M26" s="34"/>
      <c r="N26" s="34">
        <f>ROUND($G$4*P26,2)</f>
        <v>0</v>
      </c>
      <c r="O26" s="8"/>
      <c r="P26" s="9">
        <f>VLOOKUP(H26,starratio4,4,FALSE)</f>
        <v>0</v>
      </c>
      <c r="R26" s="1"/>
      <c r="S26" s="1"/>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8"/>
        <v>0</v>
      </c>
      <c r="L27" s="34"/>
      <c r="M27" s="34"/>
      <c r="N27" s="34">
        <f>ROUND($M$4*P27,2)</f>
        <v>0</v>
      </c>
      <c r="O27" s="8"/>
      <c r="P27" s="9">
        <f>VLOOKUP(H27,starratio4,4,FALSE)</f>
        <v>0</v>
      </c>
    </row>
    <row r="28" spans="1:36" ht="21.95" customHeight="1" x14ac:dyDescent="0.2">
      <c r="A28" s="262"/>
      <c r="B28" s="262"/>
      <c r="C28" s="262"/>
      <c r="D28" s="262"/>
      <c r="E28" s="262"/>
      <c r="F28" s="6" t="s">
        <v>43</v>
      </c>
      <c r="G28" s="7" t="s">
        <v>40</v>
      </c>
      <c r="H28" s="6">
        <v>72600</v>
      </c>
      <c r="I28" s="6" t="s">
        <v>40</v>
      </c>
      <c r="J28" s="34">
        <f>$N28*0.1</f>
        <v>67000</v>
      </c>
      <c r="K28" s="34">
        <f>$N28*0.4</f>
        <v>268000</v>
      </c>
      <c r="L28" s="34">
        <f>$N28*0.35</f>
        <v>234499.99999999997</v>
      </c>
      <c r="M28" s="34">
        <f>$N28*0.15</f>
        <v>100500</v>
      </c>
      <c r="N28" s="34">
        <f>N4</f>
        <v>670000</v>
      </c>
      <c r="O28" s="8"/>
      <c r="P28" s="9">
        <f>VLOOKUP(H28,starratio4,4,FALSE)</f>
        <v>0</v>
      </c>
    </row>
    <row r="29" spans="1:36" ht="21.95" customHeight="1" x14ac:dyDescent="0.2">
      <c r="A29" s="262"/>
      <c r="B29" s="262"/>
      <c r="C29" s="263" t="s">
        <v>31</v>
      </c>
      <c r="D29" s="263"/>
      <c r="E29" s="263"/>
      <c r="F29" s="263"/>
      <c r="G29" s="263"/>
      <c r="H29" s="263"/>
      <c r="I29" s="263"/>
      <c r="J29" s="34">
        <f>SUM(J25:J28)</f>
        <v>67000</v>
      </c>
      <c r="K29" s="34">
        <f>SUM(K25:K28)</f>
        <v>268000</v>
      </c>
      <c r="L29" s="34">
        <f>SUM(L25:L28)</f>
        <v>234499.99999999997</v>
      </c>
      <c r="M29" s="34">
        <f>SUM(M25:M28)</f>
        <v>100500</v>
      </c>
      <c r="N29" s="34">
        <f>SUM(N25:N28)</f>
        <v>670000</v>
      </c>
      <c r="O29" s="8"/>
      <c r="P29" s="9"/>
    </row>
    <row r="30" spans="1:36" ht="21.95" customHeight="1" x14ac:dyDescent="0.2">
      <c r="A30" s="262"/>
      <c r="B30" s="263" t="s">
        <v>44</v>
      </c>
      <c r="C30" s="263"/>
      <c r="D30" s="263"/>
      <c r="E30" s="263"/>
      <c r="F30" s="263"/>
      <c r="G30" s="263"/>
      <c r="H30" s="263"/>
      <c r="I30" s="263"/>
      <c r="J30" s="34">
        <f>J29</f>
        <v>67000</v>
      </c>
      <c r="K30" s="34">
        <f t="shared" ref="K30:N30" si="9">K29</f>
        <v>268000</v>
      </c>
      <c r="L30" s="34">
        <f t="shared" si="9"/>
        <v>234499.99999999997</v>
      </c>
      <c r="M30" s="34">
        <f t="shared" si="9"/>
        <v>100500</v>
      </c>
      <c r="N30" s="34">
        <f t="shared" si="9"/>
        <v>670000</v>
      </c>
      <c r="O30" s="8"/>
      <c r="Q30" s="10"/>
      <c r="Z30" s="11"/>
      <c r="AC30" s="12"/>
      <c r="AD30" s="13"/>
    </row>
    <row r="31" spans="1:36" ht="21.95" customHeight="1" x14ac:dyDescent="0.2">
      <c r="A31" s="261" t="s">
        <v>45</v>
      </c>
      <c r="B31" s="261"/>
      <c r="C31" s="261"/>
      <c r="D31" s="261"/>
      <c r="E31" s="261"/>
      <c r="F31" s="261"/>
      <c r="G31" s="261"/>
      <c r="H31" s="261"/>
      <c r="I31" s="261"/>
      <c r="J31" s="34">
        <f>J24+J30</f>
        <v>112681.818</v>
      </c>
      <c r="K31" s="34">
        <f>K24+K30</f>
        <v>450727.272</v>
      </c>
      <c r="L31" s="34">
        <f>L24+L30</f>
        <v>394386.36299999995</v>
      </c>
      <c r="M31" s="34">
        <f>M24+M30</f>
        <v>169022.72700000001</v>
      </c>
      <c r="N31" s="34">
        <f>N24+N30</f>
        <v>1126818.18</v>
      </c>
      <c r="O31" s="8"/>
      <c r="R31" s="14"/>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0">N32</f>
        <v>0</v>
      </c>
      <c r="L32" s="34"/>
      <c r="M32" s="34"/>
      <c r="N32" s="34">
        <f>ROUND($C$3*P32,2)</f>
        <v>0</v>
      </c>
      <c r="O32" s="8"/>
      <c r="P32" s="9">
        <f>VLOOKUP(H32,coreratio4,5,FALSE)</f>
        <v>0</v>
      </c>
      <c r="Q32" s="9"/>
      <c r="R32" s="1"/>
      <c r="S32" s="1"/>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0"/>
        <v>0</v>
      </c>
      <c r="L33" s="34"/>
      <c r="M33" s="34"/>
      <c r="N33" s="34">
        <f>ROUND($G$3*P33,2)</f>
        <v>0</v>
      </c>
      <c r="O33" s="8"/>
      <c r="P33" s="9">
        <f>VLOOKUP(H33,coreratio4,5,FALSE)</f>
        <v>0</v>
      </c>
      <c r="Q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0"/>
        <v>0</v>
      </c>
      <c r="L34" s="34"/>
      <c r="M34" s="34"/>
      <c r="N34" s="34">
        <f>ROUND($L$3*P34,2)</f>
        <v>0</v>
      </c>
      <c r="O34" s="8"/>
      <c r="P34" s="9">
        <f>VLOOKUP(H34,coreratio4,5,FALSE)</f>
        <v>0</v>
      </c>
      <c r="Q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0"/>
        <v>0</v>
      </c>
      <c r="L35" s="34"/>
      <c r="M35" s="34"/>
      <c r="N35" s="34">
        <f>ROUND($M$3*P35,2)</f>
        <v>0</v>
      </c>
      <c r="O35" s="8"/>
      <c r="P35" s="9">
        <f>VLOOKUP(H35,coreratio4,5,FALSE)</f>
        <v>0</v>
      </c>
      <c r="Q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0</v>
      </c>
      <c r="L36" s="34">
        <f>SUM(L32:L35)</f>
        <v>0</v>
      </c>
      <c r="M36" s="34">
        <f>SUM(M32:M35)</f>
        <v>0</v>
      </c>
      <c r="N36" s="34">
        <f>SUM(N32:N35)</f>
        <v>0</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1">K36</f>
        <v>0</v>
      </c>
      <c r="L37" s="34">
        <f t="shared" si="11"/>
        <v>0</v>
      </c>
      <c r="M37" s="34">
        <f t="shared" si="11"/>
        <v>0</v>
      </c>
      <c r="N37" s="34">
        <f t="shared" si="11"/>
        <v>0</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2">N38</f>
        <v>0</v>
      </c>
      <c r="L38" s="34"/>
      <c r="M38" s="34"/>
      <c r="N38" s="34">
        <f>ROUND($C$4*P38,2)</f>
        <v>0</v>
      </c>
      <c r="O38" s="8"/>
      <c r="P38" s="9">
        <f>VLOOKUP(H38,starratio4,5,FALSE)</f>
        <v>0</v>
      </c>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2"/>
        <v>0</v>
      </c>
      <c r="L39" s="34"/>
      <c r="M39" s="34"/>
      <c r="N39" s="34">
        <f>ROUND($G$4*P39,2)</f>
        <v>0</v>
      </c>
      <c r="O39" s="8"/>
      <c r="P39" s="9">
        <f>VLOOKUP(H39,starratio4,5,FALSE)</f>
        <v>0</v>
      </c>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2"/>
        <v>0</v>
      </c>
      <c r="L40" s="34"/>
      <c r="M40" s="34"/>
      <c r="N40" s="34">
        <f>ROUND($L$4*P40,2)</f>
        <v>0</v>
      </c>
      <c r="O40" s="8"/>
      <c r="P40" s="9">
        <f>VLOOKUP(H40,starratio4,5,FALSE)</f>
        <v>0</v>
      </c>
      <c r="R40" s="1"/>
      <c r="S40" s="1"/>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2"/>
        <v>0</v>
      </c>
      <c r="L41" s="34"/>
      <c r="M41" s="34"/>
      <c r="N41" s="34">
        <f>ROUND($M$4*P41,2)</f>
        <v>0</v>
      </c>
      <c r="O41" s="8"/>
      <c r="P41" s="9">
        <f>VLOOKUP(H41,starratio4,5,FALSE)</f>
        <v>0</v>
      </c>
      <c r="R41" s="1"/>
      <c r="S41" s="1"/>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0</v>
      </c>
      <c r="L42" s="34">
        <f>SUM(L38:L41)</f>
        <v>0</v>
      </c>
      <c r="M42" s="34">
        <f>SUM(M38:M41)</f>
        <v>0</v>
      </c>
      <c r="N42" s="34">
        <f>SUM(N38:N41)</f>
        <v>0</v>
      </c>
      <c r="O42" s="8"/>
      <c r="P42" s="9"/>
      <c r="R42" s="1"/>
      <c r="S42" s="1"/>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3">K42</f>
        <v>0</v>
      </c>
      <c r="L43" s="34">
        <f t="shared" si="13"/>
        <v>0</v>
      </c>
      <c r="M43" s="34">
        <f t="shared" si="13"/>
        <v>0</v>
      </c>
      <c r="N43" s="34">
        <f t="shared" si="13"/>
        <v>0</v>
      </c>
      <c r="O43" s="8"/>
      <c r="Q43" s="10"/>
      <c r="Z43" s="11"/>
      <c r="AC43" s="12"/>
      <c r="AD43" s="13"/>
    </row>
    <row r="44" spans="1:36" ht="21.95" customHeight="1" x14ac:dyDescent="0.2">
      <c r="A44" s="261" t="s">
        <v>54</v>
      </c>
      <c r="B44" s="261"/>
      <c r="C44" s="261"/>
      <c r="D44" s="261"/>
      <c r="E44" s="261"/>
      <c r="F44" s="261"/>
      <c r="G44" s="261"/>
      <c r="H44" s="261"/>
      <c r="I44" s="261"/>
      <c r="J44" s="34">
        <f>J37+J43</f>
        <v>0</v>
      </c>
      <c r="K44" s="34">
        <f>K37+K43</f>
        <v>0</v>
      </c>
      <c r="L44" s="34">
        <f>L37+L43</f>
        <v>0</v>
      </c>
      <c r="M44" s="34">
        <f>M37+M43</f>
        <v>0</v>
      </c>
      <c r="N44" s="34">
        <f>N37+N43</f>
        <v>0</v>
      </c>
      <c r="O44" s="8"/>
      <c r="R44" s="14"/>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14">N45</f>
        <v>7941.14</v>
      </c>
      <c r="L45" s="34"/>
      <c r="M45" s="34"/>
      <c r="N45" s="34">
        <f>ROUND($C$3*P45,2)</f>
        <v>7941.14</v>
      </c>
      <c r="O45" s="8"/>
      <c r="P45" s="9">
        <f>VLOOKUP(H45,coreratio4,6,FALSE)</f>
        <v>1</v>
      </c>
      <c r="Q45" s="9"/>
    </row>
    <row r="46" spans="1:36" ht="21.95" customHeight="1" x14ac:dyDescent="0.2">
      <c r="A46" s="262"/>
      <c r="B46" s="262"/>
      <c r="C46" s="262"/>
      <c r="D46" s="262"/>
      <c r="E46" s="262"/>
      <c r="F46" s="6" t="s">
        <v>57</v>
      </c>
      <c r="G46" s="7" t="s">
        <v>24</v>
      </c>
      <c r="H46" s="6">
        <v>72500</v>
      </c>
      <c r="I46" s="6" t="s">
        <v>25</v>
      </c>
      <c r="J46" s="34"/>
      <c r="K46" s="34">
        <f t="shared" si="14"/>
        <v>0</v>
      </c>
      <c r="L46" s="34"/>
      <c r="M46" s="34"/>
      <c r="N46" s="34">
        <f>ROUND($G$3*P46,2)</f>
        <v>0</v>
      </c>
      <c r="O46" s="8"/>
      <c r="P46" s="9">
        <f>VLOOKUP(H46,coreratio4,6,FALSE)</f>
        <v>0</v>
      </c>
      <c r="Q46" s="9"/>
    </row>
    <row r="47" spans="1:36" ht="21.95" customHeight="1" x14ac:dyDescent="0.2">
      <c r="A47" s="262"/>
      <c r="B47" s="262"/>
      <c r="C47" s="262"/>
      <c r="D47" s="262"/>
      <c r="E47" s="262"/>
      <c r="F47" s="6" t="s">
        <v>57</v>
      </c>
      <c r="G47" s="7" t="s">
        <v>23</v>
      </c>
      <c r="H47" s="6">
        <v>74500</v>
      </c>
      <c r="I47" s="6" t="s">
        <v>49</v>
      </c>
      <c r="J47" s="34"/>
      <c r="K47" s="34">
        <f t="shared" si="14"/>
        <v>2200.7800000000002</v>
      </c>
      <c r="L47" s="34"/>
      <c r="M47" s="34"/>
      <c r="N47" s="34">
        <f>ROUND($L$3*P47,2)</f>
        <v>2200.7800000000002</v>
      </c>
      <c r="O47" s="8"/>
      <c r="P47" s="9">
        <f>VLOOKUP(H47,coreratio4,6,FALSE)</f>
        <v>1</v>
      </c>
      <c r="Q47" s="9"/>
    </row>
    <row r="48" spans="1:36" ht="21.95" customHeight="1" x14ac:dyDescent="0.2">
      <c r="A48" s="262"/>
      <c r="B48" s="262"/>
      <c r="C48" s="262"/>
      <c r="D48" s="262"/>
      <c r="E48" s="262"/>
      <c r="F48" s="6" t="s">
        <v>57</v>
      </c>
      <c r="G48" s="7" t="s">
        <v>26</v>
      </c>
      <c r="H48" s="6">
        <v>75700</v>
      </c>
      <c r="I48" s="6" t="s">
        <v>27</v>
      </c>
      <c r="J48" s="34"/>
      <c r="K48" s="34">
        <f t="shared" si="14"/>
        <v>2063.9799999999959</v>
      </c>
      <c r="L48" s="34"/>
      <c r="M48" s="34"/>
      <c r="N48" s="34">
        <f>M3-SUM(N10,N21,N35)</f>
        <v>2063.9799999999959</v>
      </c>
      <c r="O48" s="8"/>
      <c r="P48" s="9">
        <f>VLOOKUP(H48,coreratio4,6,FALSE)</f>
        <v>1</v>
      </c>
      <c r="Q48" s="9"/>
    </row>
    <row r="49" spans="1:36" ht="21.95" customHeight="1" x14ac:dyDescent="0.2">
      <c r="A49" s="262"/>
      <c r="B49" s="262"/>
      <c r="C49" s="261" t="s">
        <v>31</v>
      </c>
      <c r="D49" s="261"/>
      <c r="E49" s="261"/>
      <c r="F49" s="261"/>
      <c r="G49" s="261"/>
      <c r="H49" s="261"/>
      <c r="I49" s="261"/>
      <c r="J49" s="34">
        <f>SUM(J45:J48)</f>
        <v>0</v>
      </c>
      <c r="K49" s="34">
        <f>SUM(K45:K48)</f>
        <v>12205.899999999996</v>
      </c>
      <c r="L49" s="34">
        <f>SUM(L45:L48)</f>
        <v>0</v>
      </c>
      <c r="M49" s="34">
        <f>SUM(M45:M48)</f>
        <v>0</v>
      </c>
      <c r="N49" s="34">
        <f>SUM(N45:N48)</f>
        <v>12205.899999999996</v>
      </c>
      <c r="O49" s="8"/>
      <c r="P49" s="9"/>
    </row>
    <row r="50" spans="1:36" ht="21.95" customHeight="1" x14ac:dyDescent="0.2">
      <c r="A50" s="262"/>
      <c r="B50" s="261" t="s">
        <v>60</v>
      </c>
      <c r="C50" s="261"/>
      <c r="D50" s="261"/>
      <c r="E50" s="261"/>
      <c r="F50" s="261"/>
      <c r="G50" s="261"/>
      <c r="H50" s="261"/>
      <c r="I50" s="261"/>
      <c r="J50" s="34">
        <f>J49</f>
        <v>0</v>
      </c>
      <c r="K50" s="34">
        <f t="shared" ref="K50:N50" si="15">K49</f>
        <v>12205.899999999996</v>
      </c>
      <c r="L50" s="34">
        <f t="shared" si="15"/>
        <v>0</v>
      </c>
      <c r="M50" s="34">
        <f t="shared" si="15"/>
        <v>0</v>
      </c>
      <c r="N50" s="34">
        <f t="shared" si="15"/>
        <v>12205.899999999996</v>
      </c>
      <c r="O50" s="8"/>
      <c r="P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16">N51</f>
        <v>11647.02</v>
      </c>
      <c r="L51" s="34"/>
      <c r="M51" s="34"/>
      <c r="N51" s="34">
        <f>ROUND($C$4*P51,2)</f>
        <v>11647.02</v>
      </c>
      <c r="O51" s="8"/>
      <c r="P51" s="9">
        <f>VLOOKUP(H51,starratio4,6,FALSE)</f>
        <v>1</v>
      </c>
    </row>
    <row r="52" spans="1:36" ht="21.95" customHeight="1" x14ac:dyDescent="0.2">
      <c r="A52" s="262"/>
      <c r="B52" s="262"/>
      <c r="C52" s="262"/>
      <c r="D52" s="262"/>
      <c r="E52" s="262"/>
      <c r="F52" s="6" t="s">
        <v>62</v>
      </c>
      <c r="G52" s="7" t="s">
        <v>24</v>
      </c>
      <c r="H52" s="6">
        <v>72500</v>
      </c>
      <c r="I52" s="6" t="s">
        <v>25</v>
      </c>
      <c r="J52" s="34"/>
      <c r="K52" s="34">
        <f t="shared" si="16"/>
        <v>0</v>
      </c>
      <c r="L52" s="34"/>
      <c r="M52" s="34"/>
      <c r="N52" s="34">
        <f>ROUND($G$4*P52,2)</f>
        <v>0</v>
      </c>
      <c r="O52" s="8"/>
      <c r="P52" s="9">
        <f>VLOOKUP(H52,starratio4,6,FALSE)</f>
        <v>0</v>
      </c>
    </row>
    <row r="53" spans="1:36" ht="21.95" customHeight="1" x14ac:dyDescent="0.2">
      <c r="A53" s="262"/>
      <c r="B53" s="262"/>
      <c r="C53" s="262"/>
      <c r="D53" s="262"/>
      <c r="E53" s="262"/>
      <c r="F53" s="6" t="s">
        <v>62</v>
      </c>
      <c r="G53" s="7" t="s">
        <v>23</v>
      </c>
      <c r="H53" s="6">
        <v>74500</v>
      </c>
      <c r="I53" s="6" t="s">
        <v>49</v>
      </c>
      <c r="J53" s="34"/>
      <c r="K53" s="34">
        <f t="shared" si="16"/>
        <v>3227.82</v>
      </c>
      <c r="L53" s="34"/>
      <c r="M53" s="34"/>
      <c r="N53" s="34">
        <f>ROUND($L$4*P53,2)</f>
        <v>3227.82</v>
      </c>
      <c r="O53" s="8"/>
      <c r="P53" s="9">
        <f>VLOOKUP(H53,starratio4,6,FALSE)</f>
        <v>1</v>
      </c>
    </row>
    <row r="54" spans="1:36" ht="21.95" customHeight="1" x14ac:dyDescent="0.2">
      <c r="A54" s="262"/>
      <c r="B54" s="262"/>
      <c r="C54" s="262"/>
      <c r="D54" s="262"/>
      <c r="E54" s="262"/>
      <c r="F54" s="6" t="s">
        <v>62</v>
      </c>
      <c r="G54" s="7" t="s">
        <v>26</v>
      </c>
      <c r="H54" s="6">
        <v>75700</v>
      </c>
      <c r="I54" s="6" t="s">
        <v>27</v>
      </c>
      <c r="J54" s="34"/>
      <c r="K54" s="34">
        <f t="shared" si="16"/>
        <v>3027.1499999999978</v>
      </c>
      <c r="L54" s="34"/>
      <c r="M54" s="34"/>
      <c r="N54" s="34">
        <f>M4-SUM(N15,N27,N41)</f>
        <v>3027.1499999999978</v>
      </c>
      <c r="O54" s="8"/>
      <c r="P54" s="9">
        <f>VLOOKUP(H54,starratio4,6,FALSE)</f>
        <v>1</v>
      </c>
    </row>
    <row r="55" spans="1:36" ht="21.95" customHeight="1" x14ac:dyDescent="0.2">
      <c r="A55" s="262"/>
      <c r="B55" s="262"/>
      <c r="C55" s="263" t="s">
        <v>31</v>
      </c>
      <c r="D55" s="263"/>
      <c r="E55" s="263"/>
      <c r="F55" s="263"/>
      <c r="G55" s="263"/>
      <c r="H55" s="263"/>
      <c r="I55" s="263"/>
      <c r="J55" s="34">
        <f>SUM(J51:J54)</f>
        <v>0</v>
      </c>
      <c r="K55" s="34">
        <f>SUM(K51:K54)</f>
        <v>17901.989999999998</v>
      </c>
      <c r="L55" s="34">
        <f>SUM(L51:L54)</f>
        <v>0</v>
      </c>
      <c r="M55" s="34">
        <f>SUM(M51:M54)</f>
        <v>0</v>
      </c>
      <c r="N55" s="34">
        <f>SUM(N51:N54)</f>
        <v>17901.989999999998</v>
      </c>
      <c r="O55" s="8"/>
      <c r="Q55" s="17"/>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17">K55</f>
        <v>17901.989999999998</v>
      </c>
      <c r="L56" s="34">
        <f t="shared" si="17"/>
        <v>0</v>
      </c>
      <c r="M56" s="34">
        <f t="shared" si="17"/>
        <v>0</v>
      </c>
      <c r="N56" s="34">
        <f t="shared" si="17"/>
        <v>17901.989999999998</v>
      </c>
      <c r="O56" s="8"/>
      <c r="Q56" s="10"/>
      <c r="Z56" s="11"/>
      <c r="AC56" s="12"/>
      <c r="AD56" s="13"/>
    </row>
    <row r="57" spans="1:36" ht="21.95" customHeight="1" x14ac:dyDescent="0.2">
      <c r="A57" s="261" t="s">
        <v>64</v>
      </c>
      <c r="B57" s="261"/>
      <c r="C57" s="261"/>
      <c r="D57" s="261"/>
      <c r="E57" s="261"/>
      <c r="F57" s="261"/>
      <c r="G57" s="261"/>
      <c r="H57" s="261"/>
      <c r="I57" s="261"/>
      <c r="J57" s="34">
        <f>J50+J56</f>
        <v>0</v>
      </c>
      <c r="K57" s="34">
        <f>K50+K56</f>
        <v>30107.889999999992</v>
      </c>
      <c r="L57" s="34">
        <f>L50+L56</f>
        <v>0</v>
      </c>
      <c r="M57" s="34">
        <f>M50+M56</f>
        <v>0</v>
      </c>
      <c r="N57" s="34">
        <f>N50+N56</f>
        <v>30107.889999999992</v>
      </c>
      <c r="O57" s="8"/>
      <c r="R57" s="14"/>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18">N58</f>
        <v>0</v>
      </c>
      <c r="L58" s="34"/>
      <c r="M58" s="34"/>
      <c r="N58" s="34">
        <f>C3-SUM(N8,N19,N32,N45)</f>
        <v>0</v>
      </c>
      <c r="O58" s="8"/>
      <c r="P58" s="9">
        <f t="shared" ref="P58:P67" si="19">VLOOKUP(H58,coreratio4,7,FALSE)</f>
        <v>0</v>
      </c>
      <c r="Q58" s="9"/>
    </row>
    <row r="59" spans="1:36" ht="21.95" customHeight="1" x14ac:dyDescent="0.2">
      <c r="A59" s="262"/>
      <c r="B59" s="262"/>
      <c r="C59" s="262"/>
      <c r="D59" s="262"/>
      <c r="E59" s="262"/>
      <c r="F59" s="6" t="s">
        <v>66</v>
      </c>
      <c r="G59" s="7" t="s">
        <v>58</v>
      </c>
      <c r="H59" s="6">
        <v>72200</v>
      </c>
      <c r="I59" s="6" t="s">
        <v>67</v>
      </c>
      <c r="J59" s="34"/>
      <c r="K59" s="34">
        <f t="shared" si="18"/>
        <v>104.56</v>
      </c>
      <c r="L59" s="34"/>
      <c r="M59" s="34"/>
      <c r="N59" s="34">
        <f>D3</f>
        <v>104.56</v>
      </c>
      <c r="O59" s="8"/>
      <c r="P59" s="9">
        <f t="shared" si="19"/>
        <v>1</v>
      </c>
      <c r="Q59" s="9"/>
    </row>
    <row r="60" spans="1:36" ht="21.95" customHeight="1" x14ac:dyDescent="0.2">
      <c r="A60" s="262"/>
      <c r="B60" s="262"/>
      <c r="C60" s="262"/>
      <c r="D60" s="262"/>
      <c r="E60" s="262"/>
      <c r="F60" s="6" t="s">
        <v>66</v>
      </c>
      <c r="G60" s="7" t="s">
        <v>58</v>
      </c>
      <c r="H60" s="6">
        <v>72400</v>
      </c>
      <c r="I60" s="6" t="s">
        <v>69</v>
      </c>
      <c r="J60" s="34"/>
      <c r="K60" s="34">
        <f t="shared" si="18"/>
        <v>744.25</v>
      </c>
      <c r="L60" s="34"/>
      <c r="M60" s="34"/>
      <c r="N60" s="34">
        <f>E3</f>
        <v>744.25</v>
      </c>
      <c r="O60" s="8"/>
      <c r="P60" s="9">
        <f t="shared" si="19"/>
        <v>1</v>
      </c>
      <c r="Q60" s="9"/>
    </row>
    <row r="61" spans="1:36" ht="21.95" customHeight="1" x14ac:dyDescent="0.2">
      <c r="A61" s="262"/>
      <c r="B61" s="262"/>
      <c r="C61" s="262"/>
      <c r="D61" s="262"/>
      <c r="E61" s="262"/>
      <c r="F61" s="6" t="s">
        <v>66</v>
      </c>
      <c r="G61" s="7" t="s">
        <v>24</v>
      </c>
      <c r="H61" s="6">
        <v>72500</v>
      </c>
      <c r="I61" s="6" t="s">
        <v>25</v>
      </c>
      <c r="J61" s="34"/>
      <c r="K61" s="34">
        <f t="shared" si="18"/>
        <v>1078.51</v>
      </c>
      <c r="L61" s="34"/>
      <c r="M61" s="34"/>
      <c r="N61" s="34">
        <f>G3-SUM(N9,N20,N33,N46)</f>
        <v>1078.51</v>
      </c>
      <c r="O61" s="8"/>
      <c r="P61" s="9">
        <f t="shared" si="19"/>
        <v>1</v>
      </c>
      <c r="Q61" s="9"/>
    </row>
    <row r="62" spans="1:36" ht="21.95" customHeight="1" x14ac:dyDescent="0.2">
      <c r="A62" s="262"/>
      <c r="B62" s="262"/>
      <c r="C62" s="262"/>
      <c r="D62" s="262"/>
      <c r="E62" s="262"/>
      <c r="F62" s="6" t="s">
        <v>66</v>
      </c>
      <c r="G62" s="7" t="s">
        <v>58</v>
      </c>
      <c r="H62" s="6">
        <v>72800</v>
      </c>
      <c r="I62" s="6" t="s">
        <v>70</v>
      </c>
      <c r="J62" s="34"/>
      <c r="K62" s="34">
        <f t="shared" si="18"/>
        <v>474.65</v>
      </c>
      <c r="L62" s="34"/>
      <c r="M62" s="34"/>
      <c r="N62" s="34">
        <f>H3</f>
        <v>474.65</v>
      </c>
      <c r="O62" s="8"/>
      <c r="P62" s="9">
        <f t="shared" si="19"/>
        <v>1</v>
      </c>
      <c r="Q62" s="9"/>
    </row>
    <row r="63" spans="1:36" ht="21.95" customHeight="1" x14ac:dyDescent="0.2">
      <c r="A63" s="262"/>
      <c r="B63" s="262"/>
      <c r="C63" s="262"/>
      <c r="D63" s="262"/>
      <c r="E63" s="262"/>
      <c r="F63" s="6" t="s">
        <v>66</v>
      </c>
      <c r="G63" s="7" t="s">
        <v>71</v>
      </c>
      <c r="H63" s="6">
        <v>73100</v>
      </c>
      <c r="I63" s="6" t="s">
        <v>72</v>
      </c>
      <c r="J63" s="34"/>
      <c r="K63" s="34">
        <f t="shared" si="18"/>
        <v>6111.59</v>
      </c>
      <c r="L63" s="34"/>
      <c r="M63" s="34"/>
      <c r="N63" s="34">
        <f>I3</f>
        <v>6111.59</v>
      </c>
      <c r="O63" s="8"/>
      <c r="P63" s="9">
        <f t="shared" si="19"/>
        <v>1</v>
      </c>
      <c r="Q63" s="9"/>
    </row>
    <row r="64" spans="1:36" ht="21.95" customHeight="1" x14ac:dyDescent="0.2">
      <c r="A64" s="262"/>
      <c r="B64" s="262"/>
      <c r="C64" s="262"/>
      <c r="D64" s="262"/>
      <c r="E64" s="262"/>
      <c r="F64" s="6" t="s">
        <v>66</v>
      </c>
      <c r="G64" s="7" t="s">
        <v>58</v>
      </c>
      <c r="H64" s="6">
        <v>73400</v>
      </c>
      <c r="I64" s="6" t="s">
        <v>73</v>
      </c>
      <c r="J64" s="34"/>
      <c r="K64" s="34">
        <f t="shared" si="18"/>
        <v>359.31</v>
      </c>
      <c r="L64" s="34"/>
      <c r="M64" s="34"/>
      <c r="N64" s="34">
        <f>J3</f>
        <v>359.31</v>
      </c>
      <c r="O64" s="8"/>
      <c r="P64" s="9">
        <f t="shared" si="19"/>
        <v>1</v>
      </c>
      <c r="Q64" s="9"/>
    </row>
    <row r="65" spans="1:36" ht="21.95" customHeight="1" x14ac:dyDescent="0.2">
      <c r="A65" s="262"/>
      <c r="B65" s="262"/>
      <c r="C65" s="262"/>
      <c r="D65" s="262"/>
      <c r="E65" s="262"/>
      <c r="F65" s="6" t="s">
        <v>66</v>
      </c>
      <c r="G65" s="7" t="s">
        <v>74</v>
      </c>
      <c r="H65" s="6">
        <v>74100</v>
      </c>
      <c r="I65" s="6" t="s">
        <v>75</v>
      </c>
      <c r="J65" s="34"/>
      <c r="K65" s="34">
        <f t="shared" si="18"/>
        <v>0</v>
      </c>
      <c r="L65" s="34"/>
      <c r="M65" s="34"/>
      <c r="N65" s="34">
        <f>F3</f>
        <v>0</v>
      </c>
      <c r="O65" s="8"/>
      <c r="P65" s="9">
        <f t="shared" si="19"/>
        <v>1</v>
      </c>
      <c r="Q65" s="9"/>
    </row>
    <row r="66" spans="1:36" ht="21.95" customHeight="1" x14ac:dyDescent="0.2">
      <c r="A66" s="262"/>
      <c r="B66" s="262"/>
      <c r="C66" s="262"/>
      <c r="D66" s="262"/>
      <c r="E66" s="262"/>
      <c r="F66" s="6" t="s">
        <v>66</v>
      </c>
      <c r="G66" s="7" t="s">
        <v>58</v>
      </c>
      <c r="H66" s="6">
        <v>74200</v>
      </c>
      <c r="I66" s="6" t="s">
        <v>76</v>
      </c>
      <c r="J66" s="34"/>
      <c r="K66" s="34">
        <f t="shared" si="18"/>
        <v>337.18</v>
      </c>
      <c r="L66" s="34"/>
      <c r="M66" s="34"/>
      <c r="N66" s="34">
        <f>K3</f>
        <v>337.18</v>
      </c>
      <c r="O66" s="8"/>
      <c r="P66" s="9">
        <f t="shared" si="19"/>
        <v>1</v>
      </c>
      <c r="Q66" s="9"/>
    </row>
    <row r="67" spans="1:36" ht="21.95" customHeight="1" x14ac:dyDescent="0.2">
      <c r="A67" s="262"/>
      <c r="B67" s="262"/>
      <c r="C67" s="262"/>
      <c r="D67" s="262"/>
      <c r="E67" s="262"/>
      <c r="F67" s="6" t="s">
        <v>66</v>
      </c>
      <c r="G67" s="7" t="s">
        <v>23</v>
      </c>
      <c r="H67" s="6">
        <v>74500</v>
      </c>
      <c r="I67" s="6" t="s">
        <v>49</v>
      </c>
      <c r="J67" s="34"/>
      <c r="K67" s="34">
        <f t="shared" si="18"/>
        <v>0</v>
      </c>
      <c r="L67" s="34"/>
      <c r="M67" s="34"/>
      <c r="N67" s="34">
        <f>L3-SUM(N34,N47)</f>
        <v>0</v>
      </c>
      <c r="O67" s="8"/>
      <c r="P67" s="9">
        <f t="shared" si="19"/>
        <v>0</v>
      </c>
      <c r="Q67" s="9"/>
    </row>
    <row r="68" spans="1:36" s="2" customFormat="1" ht="21.95" customHeight="1" x14ac:dyDescent="0.2">
      <c r="A68" s="262"/>
      <c r="B68" s="262"/>
      <c r="C68" s="261" t="s">
        <v>31</v>
      </c>
      <c r="D68" s="261"/>
      <c r="E68" s="261"/>
      <c r="F68" s="261"/>
      <c r="G68" s="261"/>
      <c r="H68" s="261"/>
      <c r="I68" s="261"/>
      <c r="J68" s="34">
        <f>SUM(J58:J67)</f>
        <v>0</v>
      </c>
      <c r="K68" s="34">
        <f>SUM(K58:K67)</f>
        <v>9210.0499999999993</v>
      </c>
      <c r="L68" s="34">
        <f>SUM(L58:L67)</f>
        <v>0</v>
      </c>
      <c r="M68" s="34">
        <f>SUM(M58:M67)</f>
        <v>0</v>
      </c>
      <c r="N68" s="34">
        <f>SUM(N58:N67)</f>
        <v>9210.0499999999993</v>
      </c>
      <c r="O68" s="8"/>
      <c r="P68" s="9"/>
      <c r="R68" s="1"/>
      <c r="S68" s="1"/>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20">K68</f>
        <v>9210.0499999999993</v>
      </c>
      <c r="L69" s="34">
        <f t="shared" si="20"/>
        <v>0</v>
      </c>
      <c r="M69" s="34">
        <f t="shared" si="20"/>
        <v>0</v>
      </c>
      <c r="N69" s="34">
        <f t="shared" si="20"/>
        <v>9210.0499999999993</v>
      </c>
      <c r="O69" s="8"/>
      <c r="P69" s="9"/>
      <c r="R69" s="1"/>
      <c r="S69" s="1"/>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21">N70</f>
        <v>0</v>
      </c>
      <c r="L70" s="34"/>
      <c r="M70" s="34"/>
      <c r="N70" s="34">
        <f>C4-SUM(N13,N25,N38,N51)</f>
        <v>0</v>
      </c>
      <c r="O70" s="8"/>
      <c r="P70" s="9">
        <f t="shared" ref="P70:P79" si="22">VLOOKUP(H70,starratio4,7,FALSE)</f>
        <v>0</v>
      </c>
      <c r="R70" s="1"/>
      <c r="S70" s="1"/>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21"/>
        <v>153.36000000000001</v>
      </c>
      <c r="L71" s="34"/>
      <c r="M71" s="34"/>
      <c r="N71" s="34">
        <f>D4</f>
        <v>153.36000000000001</v>
      </c>
      <c r="O71" s="8"/>
      <c r="P71" s="9">
        <f t="shared" si="22"/>
        <v>1</v>
      </c>
      <c r="R71" s="1"/>
      <c r="S71" s="1"/>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21"/>
        <v>1091.56</v>
      </c>
      <c r="L72" s="34"/>
      <c r="M72" s="34"/>
      <c r="N72" s="34">
        <f>E4</f>
        <v>1091.56</v>
      </c>
      <c r="O72" s="8"/>
      <c r="P72" s="9">
        <f t="shared" si="22"/>
        <v>1</v>
      </c>
      <c r="R72" s="1"/>
      <c r="S72" s="1"/>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21"/>
        <v>1581.81</v>
      </c>
      <c r="L73" s="34"/>
      <c r="M73" s="34"/>
      <c r="N73" s="34">
        <f>G4-SUM(N14,N26,N39,N52)</f>
        <v>1581.81</v>
      </c>
      <c r="O73" s="8"/>
      <c r="P73" s="9">
        <f t="shared" si="22"/>
        <v>1</v>
      </c>
      <c r="R73" s="1"/>
      <c r="S73" s="1"/>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21"/>
        <v>696.16</v>
      </c>
      <c r="L74" s="34"/>
      <c r="M74" s="34"/>
      <c r="N74" s="34">
        <f>H4</f>
        <v>696.16</v>
      </c>
      <c r="O74" s="8"/>
      <c r="P74" s="9">
        <f t="shared" si="22"/>
        <v>1</v>
      </c>
      <c r="R74" s="1"/>
      <c r="S74" s="1"/>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21"/>
        <v>8963.68</v>
      </c>
      <c r="L75" s="34"/>
      <c r="M75" s="34"/>
      <c r="N75" s="34">
        <f>I4</f>
        <v>8963.68</v>
      </c>
      <c r="O75" s="8"/>
      <c r="P75" s="9">
        <f t="shared" si="22"/>
        <v>1</v>
      </c>
      <c r="R75" s="1"/>
      <c r="S75" s="1"/>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21"/>
        <v>526.99</v>
      </c>
      <c r="L76" s="34"/>
      <c r="M76" s="34"/>
      <c r="N76" s="34">
        <f>J4</f>
        <v>526.99</v>
      </c>
      <c r="O76" s="8"/>
      <c r="P76" s="9">
        <f t="shared" si="22"/>
        <v>1</v>
      </c>
      <c r="R76" s="1"/>
      <c r="S76" s="1"/>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21"/>
        <v>0</v>
      </c>
      <c r="L77" s="34"/>
      <c r="M77" s="34"/>
      <c r="N77" s="34">
        <f>F4</f>
        <v>0</v>
      </c>
      <c r="O77" s="8"/>
      <c r="P77" s="9">
        <f t="shared" si="22"/>
        <v>1</v>
      </c>
      <c r="R77" s="1"/>
      <c r="S77" s="1"/>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21"/>
        <v>494.52</v>
      </c>
      <c r="L78" s="34"/>
      <c r="M78" s="34"/>
      <c r="N78" s="34">
        <f>K4</f>
        <v>494.52</v>
      </c>
      <c r="O78" s="8"/>
      <c r="P78" s="9">
        <f t="shared" si="22"/>
        <v>1</v>
      </c>
      <c r="R78" s="1"/>
      <c r="S78" s="1"/>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21"/>
        <v>0</v>
      </c>
      <c r="L79" s="34"/>
      <c r="M79" s="34"/>
      <c r="N79" s="34">
        <f>L4-SUM(N40,N53)</f>
        <v>0</v>
      </c>
      <c r="O79" s="8"/>
      <c r="P79" s="9">
        <f t="shared" si="22"/>
        <v>0</v>
      </c>
      <c r="R79" s="1"/>
      <c r="S79" s="1"/>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13508.08</v>
      </c>
      <c r="L80" s="34">
        <f>SUM(L70:L79)</f>
        <v>0</v>
      </c>
      <c r="M80" s="34">
        <f>SUM(M70:M79)</f>
        <v>0</v>
      </c>
      <c r="N80" s="34">
        <f>SUM(N70:N79)</f>
        <v>13508.08</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23">K80</f>
        <v>13508.08</v>
      </c>
      <c r="L81" s="34">
        <f t="shared" si="23"/>
        <v>0</v>
      </c>
      <c r="M81" s="34">
        <f t="shared" si="23"/>
        <v>0</v>
      </c>
      <c r="N81" s="34">
        <f t="shared" si="23"/>
        <v>13508.08</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22718.129999999997</v>
      </c>
      <c r="L82" s="34">
        <f>L69+L81</f>
        <v>0</v>
      </c>
      <c r="M82" s="34">
        <f>M69+M81</f>
        <v>0</v>
      </c>
      <c r="N82" s="34">
        <f>N69+N81</f>
        <v>22718.129999999997</v>
      </c>
      <c r="O82" s="8"/>
      <c r="R82" s="14"/>
      <c r="Z82" s="15"/>
      <c r="AJ82" s="16"/>
    </row>
    <row r="83" spans="1:36" s="31" customFormat="1" ht="21.95" customHeight="1" x14ac:dyDescent="0.2">
      <c r="A83" s="275" t="s">
        <v>82</v>
      </c>
      <c r="B83" s="275"/>
      <c r="C83" s="275"/>
      <c r="D83" s="275"/>
      <c r="E83" s="275"/>
      <c r="F83" s="275"/>
      <c r="G83" s="275"/>
      <c r="H83" s="275"/>
      <c r="I83" s="275"/>
      <c r="J83" s="35">
        <f>J18+J31+J44+J57+J82</f>
        <v>112681.818</v>
      </c>
      <c r="K83" s="35">
        <f>K18+K31+K44+K57+K82</f>
        <v>503553.29200000002</v>
      </c>
      <c r="L83" s="35">
        <f>L18+L31+L44+L57+L82</f>
        <v>394386.36299999995</v>
      </c>
      <c r="M83" s="35">
        <f>M18+M31+M44+M57+M82</f>
        <v>169022.72700000001</v>
      </c>
      <c r="N83" s="38">
        <f>N18+N31+N44+N57+N82</f>
        <v>1179644.1999999997</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A3:A5"/>
    <mergeCell ref="A8:A17"/>
    <mergeCell ref="B8:B11"/>
    <mergeCell ref="C8:C10"/>
    <mergeCell ref="D8:D10"/>
    <mergeCell ref="D13:D15"/>
    <mergeCell ref="C16:I16"/>
    <mergeCell ref="B17:I17"/>
    <mergeCell ref="E8:E10"/>
    <mergeCell ref="C11:I11"/>
    <mergeCell ref="B12:I12"/>
    <mergeCell ref="B13:B16"/>
    <mergeCell ref="C13:C15"/>
    <mergeCell ref="E13:E15"/>
    <mergeCell ref="A18:I18"/>
    <mergeCell ref="C23:I23"/>
    <mergeCell ref="B24:I24"/>
    <mergeCell ref="B25:B29"/>
    <mergeCell ref="C25:C28"/>
    <mergeCell ref="D25:D28"/>
    <mergeCell ref="E25:E28"/>
    <mergeCell ref="C29:I29"/>
    <mergeCell ref="B19:B23"/>
    <mergeCell ref="C19:C22"/>
    <mergeCell ref="D19:D22"/>
    <mergeCell ref="E19:E22"/>
    <mergeCell ref="B30:I30"/>
    <mergeCell ref="A31:I31"/>
    <mergeCell ref="A32:A43"/>
    <mergeCell ref="B32:B36"/>
    <mergeCell ref="C32:C35"/>
    <mergeCell ref="D32:D35"/>
    <mergeCell ref="E32:E35"/>
    <mergeCell ref="C36:I36"/>
    <mergeCell ref="B37:I37"/>
    <mergeCell ref="B38:B42"/>
    <mergeCell ref="A19:A30"/>
    <mergeCell ref="E38:E41"/>
    <mergeCell ref="C42:I42"/>
    <mergeCell ref="B43:I43"/>
    <mergeCell ref="C38:C41"/>
    <mergeCell ref="D38:D41"/>
    <mergeCell ref="A44:I44"/>
    <mergeCell ref="E51:E54"/>
    <mergeCell ref="B51:B55"/>
    <mergeCell ref="C51:C54"/>
    <mergeCell ref="D51:D54"/>
    <mergeCell ref="C55:I55"/>
    <mergeCell ref="B56:I56"/>
    <mergeCell ref="A57:I57"/>
    <mergeCell ref="A58:A81"/>
    <mergeCell ref="B58:B68"/>
    <mergeCell ref="C58:C67"/>
    <mergeCell ref="D58:D67"/>
    <mergeCell ref="E58:E67"/>
    <mergeCell ref="C68:I68"/>
    <mergeCell ref="A45:A56"/>
    <mergeCell ref="B45:B49"/>
    <mergeCell ref="C45:C48"/>
    <mergeCell ref="D45:D48"/>
    <mergeCell ref="E45:E48"/>
    <mergeCell ref="C49:I49"/>
    <mergeCell ref="B81:I81"/>
    <mergeCell ref="B50:I50"/>
    <mergeCell ref="A82:I82"/>
    <mergeCell ref="A83:I83"/>
    <mergeCell ref="B69:I69"/>
    <mergeCell ref="B70:B80"/>
    <mergeCell ref="C70:C79"/>
    <mergeCell ref="D70:D79"/>
    <mergeCell ref="E70:E79"/>
    <mergeCell ref="C80:I8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8114430-2051-48B2-BE2A-3E7BC8D7AF22}">
          <x14:formula1>
            <xm:f>'2026 COB breakdown_Kris'!$A$5:$A$103</xm:f>
          </x14:formula1>
          <xm:sqref>A3</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0DE93-3750-4797-9D0C-A52F369E188A}">
  <dimension ref="A1:AJ116"/>
  <sheetViews>
    <sheetView topLeftCell="D1" zoomScale="70" zoomScaleNormal="70" workbookViewId="0">
      <selection activeCell="S7" sqref="S7:S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7109375" style="1" bestFit="1" customWidth="1"/>
    <col min="6" max="6" width="9.5703125" style="1" customWidth="1"/>
    <col min="7" max="7" width="8.85546875" style="1" bestFit="1" customWidth="1"/>
    <col min="8" max="8" width="18.28515625" style="1" customWidth="1"/>
    <col min="9" max="9" width="12" style="1" customWidth="1"/>
    <col min="10" max="10" width="11.85546875" style="1" customWidth="1"/>
    <col min="11" max="13" width="12.7109375" style="1" bestFit="1" customWidth="1"/>
    <col min="14" max="14" width="15.7109375" style="1" customWidth="1"/>
    <col min="15" max="15" width="18.85546875" style="1" bestFit="1" customWidth="1"/>
    <col min="16" max="16" width="9.140625" style="1" customWidth="1"/>
    <col min="17" max="17" width="10.140625" style="2" customWidth="1"/>
    <col min="18" max="18" width="10.28515625" style="1" customWidth="1"/>
    <col min="19" max="19" width="10.42578125" style="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ht="15" x14ac:dyDescent="0.25">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36" ht="48" x14ac:dyDescent="0.25">
      <c r="A2" s="54" t="s">
        <v>142</v>
      </c>
      <c r="B2" s="54" t="s">
        <v>143</v>
      </c>
      <c r="C2" s="55" t="s">
        <v>144</v>
      </c>
      <c r="D2" s="55" t="s">
        <v>145</v>
      </c>
      <c r="E2" s="55" t="s">
        <v>146</v>
      </c>
      <c r="F2" s="55" t="s">
        <v>147</v>
      </c>
      <c r="G2" s="55" t="s">
        <v>148</v>
      </c>
      <c r="H2" s="55" t="s">
        <v>149</v>
      </c>
      <c r="I2" s="55" t="s">
        <v>150</v>
      </c>
      <c r="J2" s="55" t="s">
        <v>151</v>
      </c>
      <c r="K2" s="55" t="s">
        <v>152</v>
      </c>
      <c r="L2" s="55" t="s">
        <v>153</v>
      </c>
      <c r="M2" s="55" t="s">
        <v>154</v>
      </c>
      <c r="N2" s="56" t="s">
        <v>155</v>
      </c>
      <c r="O2" s="57" t="s">
        <v>156</v>
      </c>
      <c r="P2" s="28"/>
      <c r="Q2" s="28"/>
      <c r="R2" s="28"/>
      <c r="S2" s="28"/>
      <c r="T2" s="28"/>
      <c r="U2" s="28"/>
      <c r="V2" s="28"/>
      <c r="W2" s="28"/>
      <c r="X2" s="28"/>
      <c r="Y2" s="28"/>
      <c r="Z2" s="28"/>
      <c r="AA2" s="28"/>
      <c r="AB2" s="28"/>
      <c r="AC2" s="28"/>
    </row>
    <row r="3" spans="1:36" s="53" customFormat="1" ht="12" customHeight="1" x14ac:dyDescent="0.25">
      <c r="A3" s="276" t="s">
        <v>157</v>
      </c>
      <c r="B3" s="58" t="s">
        <v>158</v>
      </c>
      <c r="C3" s="59">
        <f>VLOOKUP($A3,COBTABLE,15, FALSE)</f>
        <v>2628.51</v>
      </c>
      <c r="D3" s="59">
        <f>VLOOKUP($A3,COBTABLE,16, FALSE)</f>
        <v>34.61</v>
      </c>
      <c r="E3" s="59">
        <f>VLOOKUP($A3,COBTABLE,17, FALSE)</f>
        <v>246.35</v>
      </c>
      <c r="F3" s="59">
        <f>VLOOKUP($A3,COBTABLE,18, FALSE)</f>
        <v>0</v>
      </c>
      <c r="G3" s="59">
        <f>VLOOKUP($A3,COBTABLE,19, FALSE)</f>
        <v>356.99</v>
      </c>
      <c r="H3" s="59">
        <f>VLOOKUP($A3,COBTABLE,20, FALSE)</f>
        <v>157.11000000000001</v>
      </c>
      <c r="I3" s="59">
        <f>VLOOKUP($A3,COBTABLE,21, FALSE)</f>
        <v>2022.93</v>
      </c>
      <c r="J3" s="59">
        <f>VLOOKUP($A3,COBTABLE,22, FALSE)</f>
        <v>118.93</v>
      </c>
      <c r="K3" s="59">
        <f>VLOOKUP($A3,COBTABLE,23, FALSE)</f>
        <v>111.6</v>
      </c>
      <c r="L3" s="59">
        <f>VLOOKUP($A3,COBTABLE,24, FALSE)</f>
        <v>728.46</v>
      </c>
      <c r="M3" s="59">
        <f>VLOOKUP($A3,COBTABLE,25, FALSE)</f>
        <v>683.15999999999894</v>
      </c>
      <c r="N3" s="60">
        <f>VLOOKUP($A3, countrygrant,2,FALSE)</f>
        <v>456818.18</v>
      </c>
      <c r="O3" s="91">
        <f>SUM(C3:N3)</f>
        <v>463906.83</v>
      </c>
      <c r="P3" s="28"/>
      <c r="Q3" s="28"/>
      <c r="R3" s="28"/>
      <c r="S3" s="28"/>
      <c r="T3" s="28"/>
      <c r="U3" s="28"/>
      <c r="V3" s="28"/>
      <c r="W3" s="28"/>
      <c r="X3" s="28"/>
      <c r="Y3" s="28"/>
      <c r="Z3" s="28"/>
      <c r="AA3" s="28"/>
      <c r="AB3" s="28"/>
      <c r="AC3" s="28"/>
    </row>
    <row r="4" spans="1:36" s="53" customFormat="1" ht="12" customHeight="1" x14ac:dyDescent="0.25">
      <c r="A4" s="277"/>
      <c r="B4" s="58" t="s">
        <v>159</v>
      </c>
      <c r="C4" s="59">
        <f>VLOOKUP($A3,COBTABLE,27, FALSE)</f>
        <v>3084.12</v>
      </c>
      <c r="D4" s="59">
        <f>VLOOKUP($A3,COBTABLE,28, FALSE)</f>
        <v>40.61</v>
      </c>
      <c r="E4" s="59">
        <f>VLOOKUP($A3,COBTABLE,29, FALSE)</f>
        <v>289.04000000000002</v>
      </c>
      <c r="F4" s="59">
        <f>VLOOKUP($A3,COBTABLE,30, FALSE)</f>
        <v>0</v>
      </c>
      <c r="G4" s="59">
        <f>VLOOKUP($A3,COBTABLE,31, FALSE)</f>
        <v>418.86</v>
      </c>
      <c r="H4" s="59">
        <f>VLOOKUP($A3,COBTABLE,32, FALSE)</f>
        <v>184.34</v>
      </c>
      <c r="I4" s="59">
        <f>VLOOKUP($A3,COBTABLE,33, FALSE)</f>
        <v>2373.5700000000002</v>
      </c>
      <c r="J4" s="59">
        <f>VLOOKUP($A3,COBTABLE,34, FALSE)</f>
        <v>139.55000000000001</v>
      </c>
      <c r="K4" s="59">
        <f>VLOOKUP($A3,COBTABLE,35, FALSE)</f>
        <v>130.94999999999999</v>
      </c>
      <c r="L4" s="59">
        <f>VLOOKUP($A3,COBTABLE,36, FALSE)</f>
        <v>854.72</v>
      </c>
      <c r="M4" s="59">
        <f>VLOOKUP($A3,COBTABLE,37, FALSE)</f>
        <v>801.58999999999924</v>
      </c>
      <c r="N4" s="60">
        <f>VLOOKUP($A3, countrygrant,3,FALSE)</f>
        <v>536000</v>
      </c>
      <c r="O4" s="91">
        <f t="shared" ref="O4" si="0">SUM(C4:N4)</f>
        <v>544317.35</v>
      </c>
      <c r="P4" s="28"/>
      <c r="Q4" s="28"/>
      <c r="R4" s="28"/>
      <c r="S4" s="28"/>
      <c r="T4" s="28"/>
      <c r="U4" s="28"/>
      <c r="V4" s="28"/>
      <c r="W4" s="28"/>
      <c r="X4" s="28"/>
      <c r="Y4" s="28"/>
      <c r="Z4" s="28"/>
      <c r="AA4" s="28"/>
      <c r="AB4" s="28"/>
      <c r="AC4" s="28"/>
    </row>
    <row r="5" spans="1:36" s="53" customFormat="1" ht="12" customHeight="1" x14ac:dyDescent="0.25">
      <c r="A5" s="278"/>
      <c r="B5" s="61" t="s">
        <v>156</v>
      </c>
      <c r="C5" s="62">
        <f>SUM(C3:C4)</f>
        <v>5712.63</v>
      </c>
      <c r="D5" s="62">
        <f t="shared" ref="D5:O5" si="1">SUM(D3:D4)</f>
        <v>75.22</v>
      </c>
      <c r="E5" s="62">
        <f t="shared" si="1"/>
        <v>535.39</v>
      </c>
      <c r="F5" s="62">
        <f t="shared" si="1"/>
        <v>0</v>
      </c>
      <c r="G5" s="62">
        <f t="shared" si="1"/>
        <v>775.85</v>
      </c>
      <c r="H5" s="62">
        <f t="shared" si="1"/>
        <v>341.45000000000005</v>
      </c>
      <c r="I5" s="62">
        <f t="shared" si="1"/>
        <v>4396.5</v>
      </c>
      <c r="J5" s="62">
        <f t="shared" si="1"/>
        <v>258.48</v>
      </c>
      <c r="K5" s="62">
        <f t="shared" si="1"/>
        <v>242.54999999999998</v>
      </c>
      <c r="L5" s="62">
        <f t="shared" si="1"/>
        <v>1583.18</v>
      </c>
      <c r="M5" s="62">
        <f t="shared" si="1"/>
        <v>1484.7499999999982</v>
      </c>
      <c r="N5" s="62">
        <f t="shared" si="1"/>
        <v>992818.17999999993</v>
      </c>
      <c r="O5" s="62">
        <f t="shared" si="1"/>
        <v>1008224.1799999999</v>
      </c>
      <c r="P5" s="28"/>
      <c r="Q5" s="28"/>
      <c r="R5" s="28"/>
      <c r="S5" s="28"/>
      <c r="T5" s="28"/>
      <c r="U5" s="28"/>
      <c r="V5" s="28"/>
      <c r="W5" s="28"/>
      <c r="X5" s="28"/>
      <c r="Y5" s="28"/>
      <c r="Z5" s="28"/>
      <c r="AA5" s="28"/>
      <c r="AB5" s="28"/>
      <c r="AC5" s="28"/>
    </row>
    <row r="6" spans="1:36" x14ac:dyDescent="0.2">
      <c r="I6" s="31"/>
      <c r="J6" s="33"/>
      <c r="K6" s="33"/>
      <c r="L6" s="33"/>
      <c r="M6" s="33"/>
      <c r="N6" s="32"/>
    </row>
    <row r="7" spans="1:36" s="5" customFormat="1" ht="52.5" customHeight="1" x14ac:dyDescent="0.2">
      <c r="A7" s="3" t="s">
        <v>0</v>
      </c>
      <c r="B7" s="3" t="s">
        <v>1</v>
      </c>
      <c r="C7" s="3" t="s">
        <v>2</v>
      </c>
      <c r="D7" s="3" t="s">
        <v>3</v>
      </c>
      <c r="E7" s="3" t="s">
        <v>4</v>
      </c>
      <c r="F7" s="3" t="s">
        <v>5</v>
      </c>
      <c r="G7" s="3" t="s">
        <v>6</v>
      </c>
      <c r="H7" s="3" t="s">
        <v>7</v>
      </c>
      <c r="I7" s="3" t="s">
        <v>8</v>
      </c>
      <c r="J7" s="3" t="s">
        <v>9</v>
      </c>
      <c r="K7" s="3" t="s">
        <v>10</v>
      </c>
      <c r="L7" s="3" t="s">
        <v>11</v>
      </c>
      <c r="M7" s="3" t="s">
        <v>12</v>
      </c>
      <c r="N7" s="4" t="s">
        <v>13</v>
      </c>
      <c r="O7" s="3" t="s">
        <v>14</v>
      </c>
      <c r="P7" s="260" t="s">
        <v>257</v>
      </c>
      <c r="Q7" s="260" t="s">
        <v>160</v>
      </c>
      <c r="R7" s="260" t="s">
        <v>176</v>
      </c>
      <c r="S7" s="260" t="s">
        <v>214</v>
      </c>
    </row>
    <row r="8" spans="1:36" ht="21.95" customHeight="1" x14ac:dyDescent="0.2">
      <c r="A8" s="262" t="s">
        <v>15</v>
      </c>
      <c r="B8" s="262" t="s">
        <v>16</v>
      </c>
      <c r="C8" s="262" t="s">
        <v>17</v>
      </c>
      <c r="D8" s="262">
        <v>62000</v>
      </c>
      <c r="E8" s="262">
        <v>10003</v>
      </c>
      <c r="F8" s="6" t="s">
        <v>18</v>
      </c>
      <c r="G8" s="7" t="s">
        <v>23</v>
      </c>
      <c r="H8" s="6">
        <v>71600</v>
      </c>
      <c r="I8" s="6" t="s">
        <v>23</v>
      </c>
      <c r="J8" s="34"/>
      <c r="K8" s="34">
        <f t="shared" ref="K8:K10" si="2">N8</f>
        <v>470.3</v>
      </c>
      <c r="L8" s="34"/>
      <c r="M8" s="34"/>
      <c r="N8" s="34">
        <f>ROUND($C$3*P8,2)</f>
        <v>470.3</v>
      </c>
      <c r="O8" s="8"/>
      <c r="P8" s="9">
        <f t="shared" ref="P8:P10" si="3">VLOOKUP(H8,coreratio,3,FALSE)</f>
        <v>0.17892111637333896</v>
      </c>
      <c r="Q8" s="9">
        <f>VLOOKUP(H8,coreratio2,3,FALSE)</f>
        <v>0</v>
      </c>
      <c r="R8" s="9">
        <f>VLOOKUP(H8,coreratio3,3,FALSE)</f>
        <v>0</v>
      </c>
      <c r="S8" s="9">
        <f>VLOOKUP(H8,coreratio4,3,FALSE)</f>
        <v>0</v>
      </c>
    </row>
    <row r="9" spans="1:36" ht="21.95" customHeight="1" x14ac:dyDescent="0.2">
      <c r="A9" s="262"/>
      <c r="B9" s="262"/>
      <c r="C9" s="262"/>
      <c r="D9" s="262"/>
      <c r="E9" s="262"/>
      <c r="F9" s="6" t="s">
        <v>18</v>
      </c>
      <c r="G9" s="7" t="s">
        <v>24</v>
      </c>
      <c r="H9" s="6">
        <v>72500</v>
      </c>
      <c r="I9" s="6" t="s">
        <v>25</v>
      </c>
      <c r="J9" s="34"/>
      <c r="K9" s="34">
        <f t="shared" si="2"/>
        <v>18.170000000000002</v>
      </c>
      <c r="L9" s="34"/>
      <c r="M9" s="34"/>
      <c r="N9" s="34">
        <f>ROUND($G$3*P9,2)</f>
        <v>18.170000000000002</v>
      </c>
      <c r="O9" s="8"/>
      <c r="P9" s="9">
        <f t="shared" si="3"/>
        <v>5.0905483580528467E-2</v>
      </c>
      <c r="Q9" s="9">
        <f>VLOOKUP(H9,coreratio2,3,FALSE)</f>
        <v>0</v>
      </c>
      <c r="R9" s="9">
        <f>VLOOKUP(H9,coreratio3,3,FALSE)</f>
        <v>0</v>
      </c>
      <c r="S9" s="9">
        <f>VLOOKUP(H9,coreratio4,3,FALSE)</f>
        <v>0</v>
      </c>
    </row>
    <row r="10" spans="1:36" ht="21.95" customHeight="1" x14ac:dyDescent="0.2">
      <c r="A10" s="262"/>
      <c r="B10" s="262"/>
      <c r="C10" s="262"/>
      <c r="D10" s="262"/>
      <c r="E10" s="262"/>
      <c r="F10" s="6" t="s">
        <v>18</v>
      </c>
      <c r="G10" s="7" t="s">
        <v>26</v>
      </c>
      <c r="H10" s="6">
        <v>75700</v>
      </c>
      <c r="I10" s="6" t="s">
        <v>27</v>
      </c>
      <c r="J10" s="34"/>
      <c r="K10" s="34">
        <f t="shared" si="2"/>
        <v>91.99</v>
      </c>
      <c r="L10" s="34"/>
      <c r="M10" s="34"/>
      <c r="N10" s="34">
        <f>ROUND($M$3*P10,2)</f>
        <v>91.99</v>
      </c>
      <c r="O10" s="8"/>
      <c r="P10" s="9">
        <f t="shared" si="3"/>
        <v>0.13466024340770791</v>
      </c>
      <c r="Q10" s="9">
        <f>VLOOKUP(H10,coreratio2,3,FALSE)</f>
        <v>0</v>
      </c>
      <c r="R10" s="9">
        <f>VLOOKUP(H10,coreratio3,3,FALSE)</f>
        <v>0</v>
      </c>
      <c r="S10" s="9">
        <f>VLOOKUP(H10,coreratio4,3,FALSE)</f>
        <v>0</v>
      </c>
    </row>
    <row r="11" spans="1:36" ht="21.95" customHeight="1" x14ac:dyDescent="0.2">
      <c r="A11" s="262"/>
      <c r="B11" s="262"/>
      <c r="C11" s="261" t="s">
        <v>31</v>
      </c>
      <c r="D11" s="261"/>
      <c r="E11" s="261"/>
      <c r="F11" s="261"/>
      <c r="G11" s="261"/>
      <c r="H11" s="261"/>
      <c r="I11" s="261"/>
      <c r="J11" s="34">
        <f>SUM(J8:J10)</f>
        <v>0</v>
      </c>
      <c r="K11" s="34">
        <f>SUM(K8:K10)</f>
        <v>580.46</v>
      </c>
      <c r="L11" s="34">
        <f>SUM(L8:L10)</f>
        <v>0</v>
      </c>
      <c r="M11" s="34">
        <f>SUM(M8:M10)</f>
        <v>0</v>
      </c>
      <c r="N11" s="34">
        <f>SUM(N8:N10)</f>
        <v>580.46</v>
      </c>
      <c r="O11" s="8"/>
      <c r="P11" s="9"/>
      <c r="Q11" s="9"/>
      <c r="R11" s="9"/>
      <c r="S11" s="9"/>
    </row>
    <row r="12" spans="1:36" s="2" customFormat="1" ht="21.95" customHeight="1" x14ac:dyDescent="0.2">
      <c r="A12" s="262"/>
      <c r="B12" s="261" t="s">
        <v>32</v>
      </c>
      <c r="C12" s="261"/>
      <c r="D12" s="261"/>
      <c r="E12" s="261"/>
      <c r="F12" s="261"/>
      <c r="G12" s="261"/>
      <c r="H12" s="261"/>
      <c r="I12" s="261"/>
      <c r="J12" s="34">
        <f>J11</f>
        <v>0</v>
      </c>
      <c r="K12" s="34">
        <f t="shared" ref="K12:N12" si="4">K11</f>
        <v>580.46</v>
      </c>
      <c r="L12" s="34">
        <f t="shared" si="4"/>
        <v>0</v>
      </c>
      <c r="M12" s="34">
        <f t="shared" si="4"/>
        <v>0</v>
      </c>
      <c r="N12" s="34">
        <f t="shared" si="4"/>
        <v>580.46</v>
      </c>
      <c r="O12" s="8"/>
      <c r="P12" s="9"/>
      <c r="Q12" s="9"/>
      <c r="R12" s="9"/>
      <c r="S12" s="9"/>
      <c r="T12" s="1"/>
      <c r="U12" s="1"/>
      <c r="V12" s="1"/>
      <c r="W12" s="1"/>
      <c r="X12" s="1"/>
      <c r="Y12" s="1"/>
      <c r="Z12" s="1"/>
      <c r="AA12" s="1"/>
      <c r="AB12" s="1"/>
      <c r="AC12" s="1"/>
      <c r="AD12" s="1"/>
      <c r="AE12" s="1"/>
      <c r="AF12" s="1"/>
      <c r="AG12" s="1"/>
      <c r="AH12" s="1"/>
      <c r="AI12" s="1"/>
      <c r="AJ12" s="1"/>
    </row>
    <row r="13" spans="1:36" s="2" customFormat="1" ht="21.95" customHeight="1" x14ac:dyDescent="0.2">
      <c r="A13" s="262"/>
      <c r="B13" s="262" t="s">
        <v>33</v>
      </c>
      <c r="C13" s="262" t="s">
        <v>17</v>
      </c>
      <c r="D13" s="262">
        <v>62000</v>
      </c>
      <c r="E13" s="262">
        <v>10003</v>
      </c>
      <c r="F13" s="6" t="s">
        <v>34</v>
      </c>
      <c r="G13" s="7" t="s">
        <v>23</v>
      </c>
      <c r="H13" s="6">
        <v>71600</v>
      </c>
      <c r="I13" s="6" t="s">
        <v>23</v>
      </c>
      <c r="J13" s="34"/>
      <c r="K13" s="34">
        <f t="shared" ref="K13:K15" si="5">N13</f>
        <v>551.80999999999995</v>
      </c>
      <c r="L13" s="34"/>
      <c r="M13" s="34"/>
      <c r="N13" s="34">
        <f>ROUND($C$4*P13,2)</f>
        <v>551.80999999999995</v>
      </c>
      <c r="O13" s="8"/>
      <c r="P13" s="9">
        <f t="shared" ref="P13:P15" si="6">VLOOKUP(H13,starratio,3,FALSE)</f>
        <v>0.17892104459107502</v>
      </c>
      <c r="Q13" s="9">
        <f>VLOOKUP(H13,starratio2,3,FALSE)</f>
        <v>0</v>
      </c>
      <c r="R13" s="9">
        <f>VLOOKUP(H13,starratio3,3,FALSE)</f>
        <v>0</v>
      </c>
      <c r="S13" s="9">
        <f>VLOOKUP(H13,starratio4,3,FALSE)</f>
        <v>0</v>
      </c>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c r="C14" s="262"/>
      <c r="D14" s="262"/>
      <c r="E14" s="262"/>
      <c r="F14" s="6" t="s">
        <v>34</v>
      </c>
      <c r="G14" s="7" t="s">
        <v>24</v>
      </c>
      <c r="H14" s="6">
        <v>72500</v>
      </c>
      <c r="I14" s="6" t="s">
        <v>25</v>
      </c>
      <c r="J14" s="34"/>
      <c r="K14" s="34">
        <f t="shared" si="5"/>
        <v>21.32</v>
      </c>
      <c r="L14" s="34"/>
      <c r="M14" s="34"/>
      <c r="N14" s="34">
        <f>ROUND($G$4*P14,2)</f>
        <v>21.32</v>
      </c>
      <c r="O14" s="8"/>
      <c r="P14" s="9">
        <f t="shared" si="6"/>
        <v>5.0901703650977563E-2</v>
      </c>
      <c r="Q14" s="9">
        <f>VLOOKUP(H14,starratio2,3,FALSE)</f>
        <v>0</v>
      </c>
      <c r="R14" s="9">
        <f>VLOOKUP(H14,starratio3,3,FALSE)</f>
        <v>0</v>
      </c>
      <c r="S14" s="9">
        <f>VLOOKUP(H14,starratio4,3,FALSE)</f>
        <v>0</v>
      </c>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26</v>
      </c>
      <c r="H15" s="6">
        <v>75700</v>
      </c>
      <c r="I15" s="6" t="s">
        <v>27</v>
      </c>
      <c r="J15" s="34"/>
      <c r="K15" s="34">
        <f t="shared" si="5"/>
        <v>107.94</v>
      </c>
      <c r="L15" s="34"/>
      <c r="M15" s="34"/>
      <c r="N15" s="34">
        <f>ROUND($M$4*P15,2)</f>
        <v>107.94</v>
      </c>
      <c r="O15" s="8"/>
      <c r="P15" s="9">
        <f t="shared" si="6"/>
        <v>0.13466038975495068</v>
      </c>
      <c r="Q15" s="9">
        <f>VLOOKUP(H15,starratio2,3,FALSE)</f>
        <v>0</v>
      </c>
      <c r="R15" s="9">
        <f>VLOOKUP(H15,starratio3,3,FALSE)</f>
        <v>0</v>
      </c>
      <c r="S15" s="9">
        <f>VLOOKUP(H15,starratio4,3,FALSE)</f>
        <v>0</v>
      </c>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3" t="s">
        <v>31</v>
      </c>
      <c r="D16" s="263"/>
      <c r="E16" s="263"/>
      <c r="F16" s="263"/>
      <c r="G16" s="263"/>
      <c r="H16" s="263"/>
      <c r="I16" s="263"/>
      <c r="J16" s="34">
        <f>SUM(J13:J15)</f>
        <v>0</v>
      </c>
      <c r="K16" s="34">
        <f>SUM(K13:K15)</f>
        <v>681.06999999999994</v>
      </c>
      <c r="L16" s="34">
        <f>SUM(L13:L15)</f>
        <v>0</v>
      </c>
      <c r="M16" s="34">
        <f>SUM(M13:M15)</f>
        <v>0</v>
      </c>
      <c r="N16" s="34">
        <f>SUM(N13:N15)</f>
        <v>681.06999999999994</v>
      </c>
      <c r="O16" s="8"/>
      <c r="P16" s="9"/>
      <c r="Q16" s="9"/>
      <c r="R16" s="9"/>
      <c r="S16" s="9"/>
      <c r="T16" s="1"/>
      <c r="U16" s="1"/>
      <c r="V16" s="1"/>
      <c r="W16" s="1"/>
      <c r="X16" s="1"/>
      <c r="Y16" s="1"/>
      <c r="Z16" s="1"/>
      <c r="AA16" s="1"/>
      <c r="AB16" s="1"/>
      <c r="AC16" s="1"/>
      <c r="AD16" s="1"/>
      <c r="AE16" s="1"/>
      <c r="AF16" s="1"/>
      <c r="AG16" s="1"/>
      <c r="AH16" s="1"/>
      <c r="AI16" s="1"/>
      <c r="AJ16" s="1"/>
    </row>
    <row r="17" spans="1:36" ht="21.95" customHeight="1" x14ac:dyDescent="0.2">
      <c r="A17" s="262"/>
      <c r="B17" s="263" t="s">
        <v>35</v>
      </c>
      <c r="C17" s="263"/>
      <c r="D17" s="263"/>
      <c r="E17" s="263"/>
      <c r="F17" s="263"/>
      <c r="G17" s="263"/>
      <c r="H17" s="263"/>
      <c r="I17" s="263"/>
      <c r="J17" s="34">
        <f>J16</f>
        <v>0</v>
      </c>
      <c r="K17" s="34">
        <f t="shared" ref="K17:N17" si="7">K16</f>
        <v>681.06999999999994</v>
      </c>
      <c r="L17" s="34">
        <f t="shared" si="7"/>
        <v>0</v>
      </c>
      <c r="M17" s="34">
        <f t="shared" si="7"/>
        <v>0</v>
      </c>
      <c r="N17" s="34">
        <f t="shared" si="7"/>
        <v>681.06999999999994</v>
      </c>
      <c r="O17" s="8"/>
      <c r="Q17" s="1"/>
      <c r="Z17" s="11"/>
      <c r="AC17" s="12"/>
      <c r="AD17" s="13"/>
    </row>
    <row r="18" spans="1:36" ht="21.95" customHeight="1" x14ac:dyDescent="0.2">
      <c r="A18" s="261" t="s">
        <v>36</v>
      </c>
      <c r="B18" s="261"/>
      <c r="C18" s="261"/>
      <c r="D18" s="261"/>
      <c r="E18" s="261"/>
      <c r="F18" s="261"/>
      <c r="G18" s="261"/>
      <c r="H18" s="261"/>
      <c r="I18" s="261"/>
      <c r="J18" s="34">
        <f>J12+J17</f>
        <v>0</v>
      </c>
      <c r="K18" s="34">
        <f>K12+K17</f>
        <v>1261.53</v>
      </c>
      <c r="L18" s="34">
        <f>L12+L17</f>
        <v>0</v>
      </c>
      <c r="M18" s="34">
        <f>M12+M17</f>
        <v>0</v>
      </c>
      <c r="N18" s="34">
        <f>N12+N17</f>
        <v>1261.53</v>
      </c>
      <c r="O18" s="8"/>
      <c r="Q18" s="1"/>
      <c r="Z18" s="15"/>
      <c r="AJ18" s="16"/>
    </row>
    <row r="19" spans="1:36" ht="21.95" customHeight="1" x14ac:dyDescent="0.2">
      <c r="A19" s="262" t="s">
        <v>37</v>
      </c>
      <c r="B19" s="262" t="s">
        <v>38</v>
      </c>
      <c r="C19" s="262" t="s">
        <v>17</v>
      </c>
      <c r="D19" s="262">
        <v>62000</v>
      </c>
      <c r="E19" s="262">
        <v>10003</v>
      </c>
      <c r="F19" s="6" t="s">
        <v>39</v>
      </c>
      <c r="G19" s="7" t="s">
        <v>23</v>
      </c>
      <c r="H19" s="6">
        <v>71600</v>
      </c>
      <c r="I19" s="6" t="s">
        <v>23</v>
      </c>
      <c r="J19" s="34"/>
      <c r="K19" s="34">
        <f t="shared" ref="K19:K21" si="8">N19</f>
        <v>205.68</v>
      </c>
      <c r="L19" s="34"/>
      <c r="M19" s="34"/>
      <c r="N19" s="34">
        <f>ROUND($C$3*P19,2)</f>
        <v>205.68</v>
      </c>
      <c r="O19" s="8"/>
      <c r="P19" s="9">
        <f t="shared" ref="P19:P22" si="9">VLOOKUP(H19,coreratio,4,FALSE)</f>
        <v>7.8249523324165932E-2</v>
      </c>
      <c r="Q19" s="9">
        <f>VLOOKUP(H19,coreratio2,4,FALSE)</f>
        <v>1</v>
      </c>
      <c r="R19" s="9">
        <f>VLOOKUP(H19,coreratio3,4,FALSE)</f>
        <v>0</v>
      </c>
      <c r="S19" s="9">
        <f>VLOOKUP(H19,coreratio4,4,FALSE)</f>
        <v>0</v>
      </c>
    </row>
    <row r="20" spans="1:36" ht="21.95" customHeight="1" x14ac:dyDescent="0.2">
      <c r="A20" s="262"/>
      <c r="B20" s="262"/>
      <c r="C20" s="262"/>
      <c r="D20" s="262"/>
      <c r="E20" s="262"/>
      <c r="F20" s="6" t="s">
        <v>39</v>
      </c>
      <c r="G20" s="6" t="s">
        <v>24</v>
      </c>
      <c r="H20" s="6">
        <v>72500</v>
      </c>
      <c r="I20" s="6" t="s">
        <v>25</v>
      </c>
      <c r="J20" s="34"/>
      <c r="K20" s="34">
        <f t="shared" si="8"/>
        <v>17.489999999999998</v>
      </c>
      <c r="L20" s="34"/>
      <c r="M20" s="34"/>
      <c r="N20" s="34">
        <f>ROUND($G$3*P20,2)</f>
        <v>17.489999999999998</v>
      </c>
      <c r="O20" s="8"/>
      <c r="P20" s="9">
        <f t="shared" si="9"/>
        <v>4.8991540912546296E-2</v>
      </c>
      <c r="Q20" s="9">
        <f>VLOOKUP(H20,coreratio2,4,FALSE)</f>
        <v>0</v>
      </c>
      <c r="R20" s="9">
        <f>VLOOKUP(H20,coreratio3,4,FALSE)</f>
        <v>0</v>
      </c>
      <c r="S20" s="9">
        <f>VLOOKUP(H20,coreratio4,4,FALSE)</f>
        <v>0</v>
      </c>
    </row>
    <row r="21" spans="1:36" ht="21.95" customHeight="1" x14ac:dyDescent="0.2">
      <c r="A21" s="262"/>
      <c r="B21" s="262"/>
      <c r="C21" s="262"/>
      <c r="D21" s="262"/>
      <c r="E21" s="262"/>
      <c r="F21" s="6" t="s">
        <v>39</v>
      </c>
      <c r="G21" s="7" t="s">
        <v>26</v>
      </c>
      <c r="H21" s="6">
        <v>75700</v>
      </c>
      <c r="I21" s="6" t="s">
        <v>27</v>
      </c>
      <c r="J21" s="34"/>
      <c r="K21" s="34">
        <f t="shared" si="8"/>
        <v>88.53</v>
      </c>
      <c r="L21" s="34"/>
      <c r="M21" s="34"/>
      <c r="N21" s="34">
        <f>ROUND($M$3*P21,2)</f>
        <v>88.53</v>
      </c>
      <c r="O21" s="8"/>
      <c r="P21" s="9">
        <f t="shared" si="9"/>
        <v>0.12958361505521748</v>
      </c>
      <c r="Q21" s="9">
        <f>VLOOKUP(H21,coreratio2,4,FALSE)</f>
        <v>0</v>
      </c>
      <c r="R21" s="9">
        <f>VLOOKUP(H21,coreratio3,4,FALSE)</f>
        <v>0</v>
      </c>
      <c r="S21" s="9">
        <f>VLOOKUP(H21,coreratio4,4,FALSE)</f>
        <v>0</v>
      </c>
    </row>
    <row r="22" spans="1:36" s="2" customFormat="1" ht="21.95" customHeight="1" x14ac:dyDescent="0.2">
      <c r="A22" s="262"/>
      <c r="B22" s="262"/>
      <c r="C22" s="262"/>
      <c r="D22" s="262"/>
      <c r="E22" s="262"/>
      <c r="F22" s="6" t="s">
        <v>39</v>
      </c>
      <c r="G22" s="7" t="s">
        <v>40</v>
      </c>
      <c r="H22" s="6">
        <v>72600</v>
      </c>
      <c r="I22" s="6" t="s">
        <v>40</v>
      </c>
      <c r="J22" s="34">
        <f>$N22*0.1</f>
        <v>45681.817999999999</v>
      </c>
      <c r="K22" s="34">
        <f>$N22*0.4</f>
        <v>182727.272</v>
      </c>
      <c r="L22" s="34">
        <f>$N22*0.35</f>
        <v>159886.36299999998</v>
      </c>
      <c r="M22" s="34">
        <f>$N22*0.15</f>
        <v>68522.726999999999</v>
      </c>
      <c r="N22" s="34">
        <f>N3</f>
        <v>456818.18</v>
      </c>
      <c r="O22" s="8"/>
      <c r="P22" s="9">
        <f t="shared" si="9"/>
        <v>0</v>
      </c>
      <c r="Q22" s="9">
        <f>VLOOKUP(H22,coreratio2,4,FALSE)</f>
        <v>0</v>
      </c>
      <c r="R22" s="9">
        <f>VLOOKUP(H22,coreratio3,4,FALSE)</f>
        <v>0</v>
      </c>
      <c r="S22" s="9">
        <f>VLOOKUP(H22,coreratio4,4,FALSE)</f>
        <v>0</v>
      </c>
      <c r="T22" s="1"/>
      <c r="U22" s="1"/>
      <c r="V22" s="1"/>
      <c r="W22" s="1"/>
      <c r="X22" s="1"/>
      <c r="Y22" s="1"/>
      <c r="Z22" s="1"/>
      <c r="AA22" s="1"/>
      <c r="AB22" s="1"/>
      <c r="AC22" s="1"/>
      <c r="AD22" s="1"/>
      <c r="AE22" s="1"/>
      <c r="AF22" s="1"/>
      <c r="AG22" s="1"/>
      <c r="AH22" s="1"/>
      <c r="AI22" s="1"/>
      <c r="AJ22" s="1"/>
    </row>
    <row r="23" spans="1:36" s="2" customFormat="1" ht="21.95" customHeight="1" x14ac:dyDescent="0.2">
      <c r="A23" s="262"/>
      <c r="B23" s="262"/>
      <c r="C23" s="261" t="s">
        <v>31</v>
      </c>
      <c r="D23" s="261"/>
      <c r="E23" s="261"/>
      <c r="F23" s="261"/>
      <c r="G23" s="261"/>
      <c r="H23" s="261"/>
      <c r="I23" s="261"/>
      <c r="J23" s="34">
        <f>SUM(J19:J22)</f>
        <v>45681.817999999999</v>
      </c>
      <c r="K23" s="34">
        <f>SUM(K19:K22)</f>
        <v>183038.97200000001</v>
      </c>
      <c r="L23" s="34">
        <f>SUM(L19:L22)</f>
        <v>159886.36299999998</v>
      </c>
      <c r="M23" s="34">
        <f>SUM(M19:M22)</f>
        <v>68522.726999999999</v>
      </c>
      <c r="N23" s="34">
        <f>SUM(N19:N22)</f>
        <v>457129.88</v>
      </c>
      <c r="O23" s="8"/>
      <c r="P23" s="9"/>
      <c r="Q23" s="9"/>
      <c r="R23" s="9"/>
      <c r="S23" s="9"/>
      <c r="T23" s="1"/>
      <c r="U23" s="1"/>
      <c r="V23" s="1"/>
      <c r="W23" s="1"/>
      <c r="X23" s="1"/>
      <c r="Y23" s="1"/>
      <c r="Z23" s="1"/>
      <c r="AA23" s="1"/>
      <c r="AB23" s="1"/>
      <c r="AC23" s="1"/>
      <c r="AD23" s="1"/>
      <c r="AE23" s="1"/>
      <c r="AF23" s="1"/>
      <c r="AG23" s="1"/>
      <c r="AH23" s="1"/>
      <c r="AI23" s="1"/>
      <c r="AJ23" s="1"/>
    </row>
    <row r="24" spans="1:36" s="2" customFormat="1" ht="21.95" customHeight="1" x14ac:dyDescent="0.2">
      <c r="A24" s="262"/>
      <c r="B24" s="261" t="s">
        <v>41</v>
      </c>
      <c r="C24" s="261"/>
      <c r="D24" s="261"/>
      <c r="E24" s="261"/>
      <c r="F24" s="261"/>
      <c r="G24" s="261"/>
      <c r="H24" s="261"/>
      <c r="I24" s="261"/>
      <c r="J24" s="34">
        <f>J23</f>
        <v>45681.817999999999</v>
      </c>
      <c r="K24" s="34">
        <f t="shared" ref="K24:N24" si="10">K23</f>
        <v>183038.97200000001</v>
      </c>
      <c r="L24" s="34">
        <f t="shared" si="10"/>
        <v>159886.36299999998</v>
      </c>
      <c r="M24" s="34">
        <f t="shared" si="10"/>
        <v>68522.726999999999</v>
      </c>
      <c r="N24" s="34">
        <f t="shared" si="10"/>
        <v>457129.88</v>
      </c>
      <c r="O24" s="8"/>
      <c r="P24" s="9"/>
      <c r="Q24" s="9"/>
      <c r="R24" s="9"/>
      <c r="S24" s="9"/>
      <c r="T24" s="1"/>
      <c r="U24" s="1"/>
      <c r="V24" s="1"/>
      <c r="W24" s="1"/>
      <c r="X24" s="1"/>
      <c r="Y24" s="1"/>
      <c r="Z24" s="1"/>
      <c r="AA24" s="1"/>
      <c r="AB24" s="1"/>
      <c r="AC24" s="1"/>
      <c r="AD24" s="1"/>
      <c r="AE24" s="1"/>
      <c r="AF24" s="1"/>
      <c r="AG24" s="1"/>
      <c r="AH24" s="1"/>
      <c r="AI24" s="1"/>
      <c r="AJ24" s="1"/>
    </row>
    <row r="25" spans="1:36" s="2" customFormat="1" ht="21.95" customHeight="1" x14ac:dyDescent="0.2">
      <c r="A25" s="262"/>
      <c r="B25" s="262" t="s">
        <v>42</v>
      </c>
      <c r="C25" s="262" t="s">
        <v>17</v>
      </c>
      <c r="D25" s="262">
        <v>62000</v>
      </c>
      <c r="E25" s="262">
        <v>10003</v>
      </c>
      <c r="F25" s="6" t="s">
        <v>43</v>
      </c>
      <c r="G25" s="7" t="s">
        <v>23</v>
      </c>
      <c r="H25" s="6">
        <v>71600</v>
      </c>
      <c r="I25" s="6" t="s">
        <v>23</v>
      </c>
      <c r="J25" s="34"/>
      <c r="K25" s="34">
        <f t="shared" ref="K25:K27" si="11">N25</f>
        <v>241.33</v>
      </c>
      <c r="L25" s="34"/>
      <c r="M25" s="34"/>
      <c r="N25" s="34">
        <f>ROUND($C$4*P25,2)</f>
        <v>241.33</v>
      </c>
      <c r="O25" s="8"/>
      <c r="P25" s="9">
        <f t="shared" ref="P25:P28" si="12">VLOOKUP(H25,starratio,4,FALSE)</f>
        <v>7.8249775785069794E-2</v>
      </c>
      <c r="Q25" s="9">
        <f>VLOOKUP(H25,starratio2,4,FALSE)</f>
        <v>1</v>
      </c>
      <c r="R25" s="9">
        <f>VLOOKUP(H25,starratio3,4,FALSE)</f>
        <v>0</v>
      </c>
      <c r="S25" s="9">
        <f>VLOOKUP(H25,starratio4,4,FALSE)</f>
        <v>0</v>
      </c>
      <c r="T25" s="1"/>
      <c r="U25" s="1"/>
      <c r="V25" s="1"/>
      <c r="W25" s="1"/>
      <c r="X25" s="1"/>
      <c r="Y25" s="1"/>
      <c r="Z25" s="1"/>
      <c r="AA25" s="1"/>
      <c r="AB25" s="1"/>
      <c r="AC25" s="1"/>
      <c r="AD25" s="1"/>
      <c r="AE25" s="1"/>
      <c r="AF25" s="1"/>
      <c r="AG25" s="1"/>
      <c r="AH25" s="1"/>
      <c r="AI25" s="1"/>
      <c r="AJ25" s="1"/>
    </row>
    <row r="26" spans="1:36" s="2" customFormat="1" ht="21.95" customHeight="1" x14ac:dyDescent="0.2">
      <c r="A26" s="262"/>
      <c r="B26" s="262"/>
      <c r="C26" s="262"/>
      <c r="D26" s="262"/>
      <c r="E26" s="262"/>
      <c r="F26" s="6" t="s">
        <v>43</v>
      </c>
      <c r="G26" s="6" t="s">
        <v>24</v>
      </c>
      <c r="H26" s="6">
        <v>72500</v>
      </c>
      <c r="I26" s="6" t="s">
        <v>25</v>
      </c>
      <c r="J26" s="34"/>
      <c r="K26" s="34">
        <f t="shared" si="11"/>
        <v>20.52</v>
      </c>
      <c r="L26" s="34"/>
      <c r="M26" s="34"/>
      <c r="N26" s="34">
        <f>ROUND($G$4*P26,2)</f>
        <v>20.52</v>
      </c>
      <c r="O26" s="8"/>
      <c r="P26" s="9">
        <f t="shared" si="12"/>
        <v>4.8989707433404861E-2</v>
      </c>
      <c r="Q26" s="9">
        <f>VLOOKUP(H26,starratio2,4,FALSE)</f>
        <v>0</v>
      </c>
      <c r="R26" s="9">
        <f>VLOOKUP(H26,starratio3,4,FALSE)</f>
        <v>0</v>
      </c>
      <c r="S26" s="9">
        <f>VLOOKUP(H26,starratio4,4,FALSE)</f>
        <v>0</v>
      </c>
      <c r="T26" s="1"/>
      <c r="U26" s="1"/>
      <c r="V26" s="1"/>
      <c r="W26" s="1"/>
      <c r="X26" s="1"/>
      <c r="Y26" s="1"/>
      <c r="Z26" s="1"/>
      <c r="AA26" s="1"/>
      <c r="AB26" s="1"/>
      <c r="AC26" s="1"/>
      <c r="AD26" s="1"/>
      <c r="AE26" s="1"/>
      <c r="AF26" s="1"/>
      <c r="AG26" s="1"/>
      <c r="AH26" s="1"/>
      <c r="AI26" s="1"/>
      <c r="AJ26" s="1"/>
    </row>
    <row r="27" spans="1:36" ht="21.95" customHeight="1" x14ac:dyDescent="0.2">
      <c r="A27" s="262"/>
      <c r="B27" s="262"/>
      <c r="C27" s="262"/>
      <c r="D27" s="262"/>
      <c r="E27" s="262"/>
      <c r="F27" s="6" t="s">
        <v>43</v>
      </c>
      <c r="G27" s="7" t="s">
        <v>26</v>
      </c>
      <c r="H27" s="6">
        <v>75700</v>
      </c>
      <c r="I27" s="6" t="s">
        <v>27</v>
      </c>
      <c r="J27" s="34"/>
      <c r="K27" s="34">
        <f t="shared" si="11"/>
        <v>103.87</v>
      </c>
      <c r="L27" s="34"/>
      <c r="M27" s="34"/>
      <c r="N27" s="34">
        <f>ROUND($M$4*P27,2)</f>
        <v>103.87</v>
      </c>
      <c r="O27" s="8"/>
      <c r="P27" s="9">
        <f t="shared" si="12"/>
        <v>0.12958347586701199</v>
      </c>
      <c r="Q27" s="9">
        <f>VLOOKUP(H27,starratio2,4,FALSE)</f>
        <v>0</v>
      </c>
      <c r="R27" s="9">
        <f>VLOOKUP(H27,starratio3,4,FALSE)</f>
        <v>0</v>
      </c>
      <c r="S27" s="9">
        <f>VLOOKUP(H27,starratio4,4,FALSE)</f>
        <v>0</v>
      </c>
    </row>
    <row r="28" spans="1:36" ht="21.95" customHeight="1" x14ac:dyDescent="0.2">
      <c r="A28" s="262"/>
      <c r="B28" s="262"/>
      <c r="C28" s="262"/>
      <c r="D28" s="262"/>
      <c r="E28" s="262"/>
      <c r="F28" s="6" t="s">
        <v>43</v>
      </c>
      <c r="G28" s="7" t="s">
        <v>40</v>
      </c>
      <c r="H28" s="6">
        <v>72600</v>
      </c>
      <c r="I28" s="6" t="s">
        <v>40</v>
      </c>
      <c r="J28" s="34">
        <f>$N28*0.1</f>
        <v>53600</v>
      </c>
      <c r="K28" s="34">
        <f>$N28*0.4</f>
        <v>214400</v>
      </c>
      <c r="L28" s="34">
        <f>$N28*0.35</f>
        <v>187600</v>
      </c>
      <c r="M28" s="34">
        <f>$N28*0.15</f>
        <v>80400</v>
      </c>
      <c r="N28" s="34">
        <f>N4</f>
        <v>536000</v>
      </c>
      <c r="O28" s="8"/>
      <c r="P28" s="9">
        <f t="shared" si="12"/>
        <v>0</v>
      </c>
      <c r="Q28" s="9">
        <f>VLOOKUP(H28,starratio2,4,FALSE)</f>
        <v>0</v>
      </c>
      <c r="R28" s="9">
        <f>VLOOKUP(H28,starratio3,4,FALSE)</f>
        <v>0</v>
      </c>
      <c r="S28" s="9">
        <f>VLOOKUP(H28,starratio4,4,FALSE)</f>
        <v>0</v>
      </c>
    </row>
    <row r="29" spans="1:36" ht="21.95" customHeight="1" x14ac:dyDescent="0.2">
      <c r="A29" s="262"/>
      <c r="B29" s="262"/>
      <c r="C29" s="263" t="s">
        <v>31</v>
      </c>
      <c r="D29" s="263"/>
      <c r="E29" s="263"/>
      <c r="F29" s="263"/>
      <c r="G29" s="263"/>
      <c r="H29" s="263"/>
      <c r="I29" s="263"/>
      <c r="J29" s="34">
        <f>SUM(J25:J28)</f>
        <v>53600</v>
      </c>
      <c r="K29" s="34">
        <f>SUM(K25:K28)</f>
        <v>214765.72</v>
      </c>
      <c r="L29" s="34">
        <f>SUM(L25:L28)</f>
        <v>187600</v>
      </c>
      <c r="M29" s="34">
        <f>SUM(M25:M28)</f>
        <v>80400</v>
      </c>
      <c r="N29" s="34">
        <f>SUM(N25:N28)</f>
        <v>536365.72</v>
      </c>
      <c r="O29" s="8"/>
      <c r="P29" s="9"/>
      <c r="Q29" s="9"/>
      <c r="R29" s="9"/>
      <c r="S29" s="9"/>
    </row>
    <row r="30" spans="1:36" ht="21.95" customHeight="1" x14ac:dyDescent="0.2">
      <c r="A30" s="262"/>
      <c r="B30" s="263" t="s">
        <v>44</v>
      </c>
      <c r="C30" s="263"/>
      <c r="D30" s="263"/>
      <c r="E30" s="263"/>
      <c r="F30" s="263"/>
      <c r="G30" s="263"/>
      <c r="H30" s="263"/>
      <c r="I30" s="263"/>
      <c r="J30" s="34">
        <f>J29</f>
        <v>53600</v>
      </c>
      <c r="K30" s="34">
        <f t="shared" ref="K30:N30" si="13">K29</f>
        <v>214765.72</v>
      </c>
      <c r="L30" s="34">
        <f t="shared" si="13"/>
        <v>187600</v>
      </c>
      <c r="M30" s="34">
        <f t="shared" si="13"/>
        <v>80400</v>
      </c>
      <c r="N30" s="34">
        <f t="shared" si="13"/>
        <v>536365.72</v>
      </c>
      <c r="O30" s="8"/>
      <c r="Q30" s="1"/>
      <c r="Z30" s="11"/>
      <c r="AC30" s="12"/>
      <c r="AD30" s="13"/>
    </row>
    <row r="31" spans="1:36" ht="21.95" customHeight="1" x14ac:dyDescent="0.2">
      <c r="A31" s="261" t="s">
        <v>45</v>
      </c>
      <c r="B31" s="261"/>
      <c r="C31" s="261"/>
      <c r="D31" s="261"/>
      <c r="E31" s="261"/>
      <c r="F31" s="261"/>
      <c r="G31" s="261"/>
      <c r="H31" s="261"/>
      <c r="I31" s="261"/>
      <c r="J31" s="34">
        <f>J24+J30</f>
        <v>99281.817999999999</v>
      </c>
      <c r="K31" s="34">
        <f>K24+K30</f>
        <v>397804.69200000004</v>
      </c>
      <c r="L31" s="34">
        <f>L24+L30</f>
        <v>347486.36300000001</v>
      </c>
      <c r="M31" s="34">
        <f>M24+M30</f>
        <v>148922.72700000001</v>
      </c>
      <c r="N31" s="34">
        <f>N24+N30</f>
        <v>993495.6</v>
      </c>
      <c r="O31" s="8"/>
      <c r="Q31" s="1"/>
      <c r="Z31" s="15"/>
      <c r="AJ31" s="16"/>
    </row>
    <row r="32" spans="1:36" s="2" customFormat="1" ht="21.95" customHeight="1" x14ac:dyDescent="0.2">
      <c r="A32" s="262" t="s">
        <v>46</v>
      </c>
      <c r="B32" s="262" t="s">
        <v>47</v>
      </c>
      <c r="C32" s="262" t="s">
        <v>17</v>
      </c>
      <c r="D32" s="262">
        <v>62000</v>
      </c>
      <c r="E32" s="262">
        <v>10003</v>
      </c>
      <c r="F32" s="6" t="s">
        <v>48</v>
      </c>
      <c r="G32" s="7" t="s">
        <v>23</v>
      </c>
      <c r="H32" s="6">
        <v>71600</v>
      </c>
      <c r="I32" s="6" t="s">
        <v>23</v>
      </c>
      <c r="J32" s="34"/>
      <c r="K32" s="34">
        <f t="shared" ref="K32:K35" si="14">N32</f>
        <v>443.25</v>
      </c>
      <c r="L32" s="34"/>
      <c r="M32" s="34"/>
      <c r="N32" s="34">
        <f>ROUND($C$3*P32,2)</f>
        <v>443.25</v>
      </c>
      <c r="O32" s="8"/>
      <c r="P32" s="9">
        <f t="shared" ref="P32:P35" si="15">VLOOKUP(H32,coreratio,5,FALSE)</f>
        <v>0.16863048323653373</v>
      </c>
      <c r="Q32" s="9">
        <f>VLOOKUP(H32,coreratio2,5,FALSE)</f>
        <v>0</v>
      </c>
      <c r="R32" s="9">
        <f>VLOOKUP(H32,coreratio3,5,FALSE)</f>
        <v>1</v>
      </c>
      <c r="S32" s="9">
        <f>VLOOKUP(H32,coreratio4,5,FALSE)</f>
        <v>0</v>
      </c>
      <c r="T32" s="1"/>
      <c r="U32" s="1"/>
      <c r="V32" s="1"/>
      <c r="W32" s="1"/>
      <c r="X32" s="1"/>
      <c r="Y32" s="1"/>
      <c r="Z32" s="1"/>
      <c r="AA32" s="1"/>
      <c r="AB32" s="1"/>
      <c r="AC32" s="1"/>
      <c r="AD32" s="1"/>
      <c r="AE32" s="1"/>
      <c r="AF32" s="1"/>
      <c r="AG32" s="1"/>
      <c r="AH32" s="1"/>
      <c r="AI32" s="1"/>
      <c r="AJ32" s="1"/>
    </row>
    <row r="33" spans="1:36" s="2" customFormat="1" ht="21.95" customHeight="1" x14ac:dyDescent="0.2">
      <c r="A33" s="262"/>
      <c r="B33" s="262"/>
      <c r="C33" s="262"/>
      <c r="D33" s="262"/>
      <c r="E33" s="262"/>
      <c r="F33" s="6" t="s">
        <v>48</v>
      </c>
      <c r="G33" s="7" t="s">
        <v>24</v>
      </c>
      <c r="H33" s="6">
        <v>72500</v>
      </c>
      <c r="I33" s="6" t="s">
        <v>25</v>
      </c>
      <c r="J33" s="34"/>
      <c r="K33" s="34">
        <f t="shared" si="14"/>
        <v>9.69</v>
      </c>
      <c r="L33" s="34"/>
      <c r="M33" s="34"/>
      <c r="N33" s="34">
        <f>ROUND($G$3*P33,2)</f>
        <v>9.69</v>
      </c>
      <c r="O33" s="8"/>
      <c r="P33" s="9">
        <f t="shared" si="15"/>
        <v>2.7134854782969686E-2</v>
      </c>
      <c r="Q33" s="9">
        <f>VLOOKUP(H33,coreratio2,5,FALSE)</f>
        <v>0</v>
      </c>
      <c r="R33" s="9">
        <f>VLOOKUP(H33,coreratio3,5,FALSE)</f>
        <v>0</v>
      </c>
      <c r="S33" s="9">
        <f>VLOOKUP(H33,coreratio4,5,FALSE)</f>
        <v>0</v>
      </c>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2"/>
      <c r="D34" s="262"/>
      <c r="E34" s="262"/>
      <c r="F34" s="6" t="s">
        <v>48</v>
      </c>
      <c r="G34" s="7" t="s">
        <v>23</v>
      </c>
      <c r="H34" s="6">
        <v>74500</v>
      </c>
      <c r="I34" s="6" t="s">
        <v>49</v>
      </c>
      <c r="J34" s="34"/>
      <c r="K34" s="34">
        <f t="shared" si="14"/>
        <v>10.08</v>
      </c>
      <c r="L34" s="34"/>
      <c r="M34" s="34"/>
      <c r="N34" s="34">
        <f>ROUND($L$3*P34,2)</f>
        <v>10.08</v>
      </c>
      <c r="O34" s="8"/>
      <c r="P34" s="9">
        <f t="shared" si="15"/>
        <v>1.384191836993511E-2</v>
      </c>
      <c r="Q34" s="9">
        <f>VLOOKUP(H34,coreratio2,5,FALSE)</f>
        <v>0</v>
      </c>
      <c r="R34" s="9">
        <f>VLOOKUP(H34,coreratio3,5,FALSE)</f>
        <v>0</v>
      </c>
      <c r="S34" s="9">
        <f>VLOOKUP(H34,coreratio4,5,FALSE)</f>
        <v>0</v>
      </c>
      <c r="T34" s="1"/>
      <c r="U34" s="1"/>
      <c r="V34" s="1"/>
      <c r="W34" s="1"/>
      <c r="X34" s="1"/>
      <c r="Y34" s="1"/>
      <c r="Z34" s="1"/>
      <c r="AA34" s="1"/>
      <c r="AB34" s="1"/>
      <c r="AC34" s="1"/>
      <c r="AD34" s="1"/>
      <c r="AE34" s="1"/>
      <c r="AF34" s="1"/>
      <c r="AG34" s="1"/>
      <c r="AH34" s="1"/>
      <c r="AI34" s="1"/>
      <c r="AJ34" s="1"/>
    </row>
    <row r="35" spans="1:36" s="2" customFormat="1" ht="21.95" customHeight="1" x14ac:dyDescent="0.2">
      <c r="A35" s="262"/>
      <c r="B35" s="262"/>
      <c r="C35" s="262"/>
      <c r="D35" s="262"/>
      <c r="E35" s="262"/>
      <c r="F35" s="6" t="s">
        <v>48</v>
      </c>
      <c r="G35" s="7" t="s">
        <v>26</v>
      </c>
      <c r="H35" s="6">
        <v>75700</v>
      </c>
      <c r="I35" s="6" t="s">
        <v>27</v>
      </c>
      <c r="J35" s="34"/>
      <c r="K35" s="34">
        <f t="shared" si="14"/>
        <v>49.03</v>
      </c>
      <c r="L35" s="34"/>
      <c r="M35" s="34"/>
      <c r="N35" s="34">
        <f>ROUND($M$3*P35,2)</f>
        <v>49.03</v>
      </c>
      <c r="O35" s="8"/>
      <c r="P35" s="9">
        <f t="shared" si="15"/>
        <v>7.1768649988731129E-2</v>
      </c>
      <c r="Q35" s="9">
        <f>VLOOKUP(H35,coreratio2,5,FALSE)</f>
        <v>0</v>
      </c>
      <c r="R35" s="9">
        <f>VLOOKUP(H35,coreratio3,5,FALSE)</f>
        <v>0</v>
      </c>
      <c r="S35" s="9">
        <f>VLOOKUP(H35,coreratio4,5,FALSE)</f>
        <v>0</v>
      </c>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c r="C36" s="261" t="s">
        <v>31</v>
      </c>
      <c r="D36" s="261"/>
      <c r="E36" s="261"/>
      <c r="F36" s="261"/>
      <c r="G36" s="261"/>
      <c r="H36" s="261"/>
      <c r="I36" s="261"/>
      <c r="J36" s="34">
        <f>SUM(J32:J35)</f>
        <v>0</v>
      </c>
      <c r="K36" s="34">
        <f>SUM(K32:K35)</f>
        <v>512.04999999999995</v>
      </c>
      <c r="L36" s="34">
        <f>SUM(L32:L35)</f>
        <v>0</v>
      </c>
      <c r="M36" s="34">
        <f>SUM(M32:M35)</f>
        <v>0</v>
      </c>
      <c r="N36" s="34">
        <f>SUM(N32:N35)</f>
        <v>512.04999999999995</v>
      </c>
      <c r="O36" s="8"/>
      <c r="P36" s="9"/>
      <c r="Q36" s="9"/>
      <c r="R36" s="9"/>
      <c r="S36" s="9"/>
      <c r="T36" s="1"/>
      <c r="U36" s="1"/>
      <c r="V36" s="1"/>
      <c r="W36" s="1"/>
      <c r="X36" s="1"/>
      <c r="Y36" s="1"/>
      <c r="Z36" s="1"/>
      <c r="AA36" s="1"/>
      <c r="AB36" s="1"/>
      <c r="AC36" s="1"/>
      <c r="AD36" s="1"/>
      <c r="AE36" s="1"/>
      <c r="AF36" s="1"/>
      <c r="AG36" s="1"/>
      <c r="AH36" s="1"/>
      <c r="AI36" s="1"/>
      <c r="AJ36" s="1"/>
    </row>
    <row r="37" spans="1:36" s="2" customFormat="1" ht="21.95" customHeight="1" x14ac:dyDescent="0.2">
      <c r="A37" s="262"/>
      <c r="B37" s="261" t="s">
        <v>50</v>
      </c>
      <c r="C37" s="261"/>
      <c r="D37" s="261"/>
      <c r="E37" s="261"/>
      <c r="F37" s="261"/>
      <c r="G37" s="261"/>
      <c r="H37" s="261"/>
      <c r="I37" s="261"/>
      <c r="J37" s="34">
        <f>J36</f>
        <v>0</v>
      </c>
      <c r="K37" s="34">
        <f t="shared" ref="K37:N37" si="16">K36</f>
        <v>512.04999999999995</v>
      </c>
      <c r="L37" s="34">
        <f t="shared" si="16"/>
        <v>0</v>
      </c>
      <c r="M37" s="34">
        <f t="shared" si="16"/>
        <v>0</v>
      </c>
      <c r="N37" s="34">
        <f t="shared" si="16"/>
        <v>512.04999999999995</v>
      </c>
      <c r="O37" s="8"/>
      <c r="P37" s="9"/>
      <c r="Q37" s="9"/>
      <c r="R37" s="9"/>
      <c r="S37" s="9"/>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t="s">
        <v>51</v>
      </c>
      <c r="C38" s="262" t="s">
        <v>17</v>
      </c>
      <c r="D38" s="262">
        <v>62000</v>
      </c>
      <c r="E38" s="262">
        <v>10003</v>
      </c>
      <c r="F38" s="6" t="s">
        <v>52</v>
      </c>
      <c r="G38" s="7" t="s">
        <v>23</v>
      </c>
      <c r="H38" s="6">
        <v>71600</v>
      </c>
      <c r="I38" s="6" t="s">
        <v>23</v>
      </c>
      <c r="J38" s="34"/>
      <c r="K38" s="34">
        <f t="shared" ref="K38:K41" si="17">N38</f>
        <v>520.08000000000004</v>
      </c>
      <c r="L38" s="34"/>
      <c r="M38" s="34"/>
      <c r="N38" s="34">
        <f>ROUND($C$4*P38,2)</f>
        <v>520.08000000000004</v>
      </c>
      <c r="O38" s="8"/>
      <c r="P38" s="9">
        <f t="shared" ref="P38:P41" si="18">VLOOKUP(H38,starratio,5,FALSE)</f>
        <v>0.16863079651163201</v>
      </c>
      <c r="Q38" s="9">
        <f>VLOOKUP(H38,starratio2,5,FALSE)</f>
        <v>0</v>
      </c>
      <c r="R38" s="9">
        <f>VLOOKUP(H38,starratio3,5,FALSE)</f>
        <v>1</v>
      </c>
      <c r="S38" s="9">
        <f>VLOOKUP(H38,starratio4,5,FALSE)</f>
        <v>0</v>
      </c>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52</v>
      </c>
      <c r="G39" s="7" t="s">
        <v>24</v>
      </c>
      <c r="H39" s="6">
        <v>72500</v>
      </c>
      <c r="I39" s="6" t="s">
        <v>25</v>
      </c>
      <c r="J39" s="34"/>
      <c r="K39" s="34">
        <f t="shared" si="17"/>
        <v>11.36</v>
      </c>
      <c r="L39" s="34"/>
      <c r="M39" s="34"/>
      <c r="N39" s="34">
        <f>ROUND($G$4*P39,2)</f>
        <v>11.36</v>
      </c>
      <c r="O39" s="8"/>
      <c r="P39" s="9">
        <f t="shared" si="18"/>
        <v>2.7131641978708258E-2</v>
      </c>
      <c r="Q39" s="9">
        <f>VLOOKUP(H39,starratio2,5,FALSE)</f>
        <v>0</v>
      </c>
      <c r="R39" s="9">
        <f>VLOOKUP(H39,starratio3,5,FALSE)</f>
        <v>0</v>
      </c>
      <c r="S39" s="9">
        <f>VLOOKUP(H39,starratio4,5,FALSE)</f>
        <v>0</v>
      </c>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52</v>
      </c>
      <c r="G40" s="7" t="s">
        <v>23</v>
      </c>
      <c r="H40" s="6">
        <v>74500</v>
      </c>
      <c r="I40" s="6" t="s">
        <v>49</v>
      </c>
      <c r="J40" s="34"/>
      <c r="K40" s="34">
        <f t="shared" si="17"/>
        <v>11.83</v>
      </c>
      <c r="L40" s="34"/>
      <c r="M40" s="34"/>
      <c r="N40" s="34">
        <f>ROUND($L$4*P40,2)</f>
        <v>11.83</v>
      </c>
      <c r="O40" s="8"/>
      <c r="P40" s="9">
        <f t="shared" si="18"/>
        <v>1.3843411839592616E-2</v>
      </c>
      <c r="Q40" s="9">
        <f>VLOOKUP(H40,starratio2,5,FALSE)</f>
        <v>0</v>
      </c>
      <c r="R40" s="9">
        <f>VLOOKUP(H40,starratio3,5,FALSE)</f>
        <v>0</v>
      </c>
      <c r="S40" s="9">
        <f>VLOOKUP(H40,starratio4,5,FALSE)</f>
        <v>0</v>
      </c>
      <c r="T40" s="1"/>
      <c r="U40" s="1"/>
      <c r="V40" s="1"/>
      <c r="W40" s="1"/>
      <c r="X40" s="1"/>
      <c r="Y40" s="1"/>
      <c r="Z40" s="1"/>
      <c r="AA40" s="1"/>
      <c r="AB40" s="1"/>
      <c r="AC40" s="1"/>
      <c r="AD40" s="1"/>
      <c r="AE40" s="1"/>
      <c r="AF40" s="1"/>
      <c r="AG40" s="1"/>
      <c r="AH40" s="1"/>
      <c r="AI40" s="1"/>
      <c r="AJ40" s="1"/>
    </row>
    <row r="41" spans="1:36" s="2" customFormat="1" ht="21.95" customHeight="1" x14ac:dyDescent="0.2">
      <c r="A41" s="262"/>
      <c r="B41" s="262"/>
      <c r="C41" s="262"/>
      <c r="D41" s="262"/>
      <c r="E41" s="262"/>
      <c r="F41" s="6" t="s">
        <v>52</v>
      </c>
      <c r="G41" s="7" t="s">
        <v>26</v>
      </c>
      <c r="H41" s="6">
        <v>75700</v>
      </c>
      <c r="I41" s="6" t="s">
        <v>27</v>
      </c>
      <c r="J41" s="34"/>
      <c r="K41" s="34">
        <f t="shared" si="17"/>
        <v>57.53</v>
      </c>
      <c r="L41" s="34"/>
      <c r="M41" s="34"/>
      <c r="N41" s="34">
        <f>ROUND($M$4*P41,2)</f>
        <v>57.53</v>
      </c>
      <c r="O41" s="8"/>
      <c r="P41" s="9">
        <f t="shared" si="18"/>
        <v>7.1769100870405667E-2</v>
      </c>
      <c r="Q41" s="9">
        <f>VLOOKUP(H41,starratio2,5,FALSE)</f>
        <v>0</v>
      </c>
      <c r="R41" s="9">
        <f>VLOOKUP(H41,starratio3,5,FALSE)</f>
        <v>0</v>
      </c>
      <c r="S41" s="9">
        <f>VLOOKUP(H41,starratio4,5,FALSE)</f>
        <v>0</v>
      </c>
      <c r="T41" s="1"/>
      <c r="U41" s="1"/>
      <c r="V41" s="1"/>
      <c r="W41" s="1"/>
      <c r="X41" s="1"/>
      <c r="Y41" s="1"/>
      <c r="Z41" s="1"/>
      <c r="AA41" s="1"/>
      <c r="AB41" s="1"/>
      <c r="AC41" s="1"/>
      <c r="AD41" s="1"/>
      <c r="AE41" s="1"/>
      <c r="AF41" s="1"/>
      <c r="AG41" s="1"/>
      <c r="AH41" s="1"/>
      <c r="AI41" s="1"/>
      <c r="AJ41" s="1"/>
    </row>
    <row r="42" spans="1:36" s="2" customFormat="1" ht="21.95" customHeight="1" x14ac:dyDescent="0.2">
      <c r="A42" s="262"/>
      <c r="B42" s="262"/>
      <c r="C42" s="263" t="s">
        <v>31</v>
      </c>
      <c r="D42" s="263"/>
      <c r="E42" s="263"/>
      <c r="F42" s="263"/>
      <c r="G42" s="263"/>
      <c r="H42" s="263"/>
      <c r="I42" s="263"/>
      <c r="J42" s="34">
        <f>SUM(J38:J41)</f>
        <v>0</v>
      </c>
      <c r="K42" s="34">
        <f>SUM(K38:K41)</f>
        <v>600.80000000000007</v>
      </c>
      <c r="L42" s="34">
        <f>SUM(L38:L41)</f>
        <v>0</v>
      </c>
      <c r="M42" s="34">
        <f>SUM(M38:M41)</f>
        <v>0</v>
      </c>
      <c r="N42" s="34">
        <f>SUM(N38:N41)</f>
        <v>600.80000000000007</v>
      </c>
      <c r="O42" s="8"/>
      <c r="P42" s="9"/>
      <c r="Q42" s="9"/>
      <c r="R42" s="9"/>
      <c r="S42" s="9"/>
      <c r="T42" s="1"/>
      <c r="U42" s="1"/>
      <c r="V42" s="1"/>
      <c r="W42" s="1"/>
      <c r="X42" s="1"/>
      <c r="Y42" s="1"/>
      <c r="Z42" s="1"/>
      <c r="AA42" s="1"/>
      <c r="AB42" s="1"/>
      <c r="AC42" s="1"/>
      <c r="AD42" s="1"/>
      <c r="AE42" s="1"/>
      <c r="AF42" s="1"/>
      <c r="AG42" s="1"/>
      <c r="AH42" s="1"/>
      <c r="AI42" s="1"/>
      <c r="AJ42" s="1"/>
    </row>
    <row r="43" spans="1:36" ht="21.95" customHeight="1" x14ac:dyDescent="0.2">
      <c r="A43" s="262"/>
      <c r="B43" s="263" t="s">
        <v>53</v>
      </c>
      <c r="C43" s="263"/>
      <c r="D43" s="263"/>
      <c r="E43" s="263"/>
      <c r="F43" s="263"/>
      <c r="G43" s="263"/>
      <c r="H43" s="263"/>
      <c r="I43" s="263"/>
      <c r="J43" s="34">
        <f>J42</f>
        <v>0</v>
      </c>
      <c r="K43" s="34">
        <f t="shared" ref="K43:N43" si="19">K42</f>
        <v>600.80000000000007</v>
      </c>
      <c r="L43" s="34">
        <f t="shared" si="19"/>
        <v>0</v>
      </c>
      <c r="M43" s="34">
        <f t="shared" si="19"/>
        <v>0</v>
      </c>
      <c r="N43" s="34">
        <f t="shared" si="19"/>
        <v>600.80000000000007</v>
      </c>
      <c r="O43" s="8"/>
      <c r="Q43" s="1"/>
      <c r="Z43" s="11"/>
      <c r="AC43" s="12"/>
      <c r="AD43" s="13"/>
    </row>
    <row r="44" spans="1:36" ht="21.95" customHeight="1" x14ac:dyDescent="0.2">
      <c r="A44" s="261" t="s">
        <v>54</v>
      </c>
      <c r="B44" s="261"/>
      <c r="C44" s="261"/>
      <c r="D44" s="261"/>
      <c r="E44" s="261"/>
      <c r="F44" s="261"/>
      <c r="G44" s="261"/>
      <c r="H44" s="261"/>
      <c r="I44" s="261"/>
      <c r="J44" s="34">
        <f>J37+J43</f>
        <v>0</v>
      </c>
      <c r="K44" s="34">
        <f>K37+K43</f>
        <v>1112.8499999999999</v>
      </c>
      <c r="L44" s="34">
        <f>L37+L43</f>
        <v>0</v>
      </c>
      <c r="M44" s="34">
        <f>M37+M43</f>
        <v>0</v>
      </c>
      <c r="N44" s="34">
        <f>N37+N43</f>
        <v>1112.8499999999999</v>
      </c>
      <c r="O44" s="8"/>
      <c r="Q44" s="1"/>
      <c r="Z44" s="15"/>
      <c r="AJ44" s="16"/>
    </row>
    <row r="45" spans="1:36" ht="21.95" customHeight="1" x14ac:dyDescent="0.2">
      <c r="A45" s="262" t="s">
        <v>55</v>
      </c>
      <c r="B45" s="262" t="s">
        <v>56</v>
      </c>
      <c r="C45" s="262" t="s">
        <v>17</v>
      </c>
      <c r="D45" s="262">
        <v>62000</v>
      </c>
      <c r="E45" s="262">
        <v>10003</v>
      </c>
      <c r="F45" s="6" t="s">
        <v>57</v>
      </c>
      <c r="G45" s="7" t="s">
        <v>23</v>
      </c>
      <c r="H45" s="6">
        <v>71600</v>
      </c>
      <c r="I45" s="6" t="s">
        <v>23</v>
      </c>
      <c r="J45" s="34"/>
      <c r="K45" s="34">
        <f t="shared" ref="K45:K48" si="20">N45</f>
        <v>1030.8900000000001</v>
      </c>
      <c r="L45" s="34"/>
      <c r="M45" s="34"/>
      <c r="N45" s="34">
        <f>ROUND($C$3*P45,2)</f>
        <v>1030.8900000000001</v>
      </c>
      <c r="O45" s="8"/>
      <c r="P45" s="9">
        <f t="shared" ref="P45:P48" si="21">VLOOKUP(H45,coreratio,6,FALSE)</f>
        <v>0.39219730718425899</v>
      </c>
      <c r="Q45" s="9">
        <f>VLOOKUP(H45,coreratio2,6,FALSE)</f>
        <v>0</v>
      </c>
      <c r="R45" s="9">
        <f>VLOOKUP(H45,coreratio3,6,FALSE)</f>
        <v>0</v>
      </c>
      <c r="S45" s="9">
        <f>VLOOKUP(H45,coreratio4,6,FALSE)</f>
        <v>1</v>
      </c>
    </row>
    <row r="46" spans="1:36" ht="21.95" customHeight="1" x14ac:dyDescent="0.2">
      <c r="A46" s="262"/>
      <c r="B46" s="262"/>
      <c r="C46" s="262"/>
      <c r="D46" s="262"/>
      <c r="E46" s="262"/>
      <c r="F46" s="6" t="s">
        <v>57</v>
      </c>
      <c r="G46" s="7" t="s">
        <v>24</v>
      </c>
      <c r="H46" s="6">
        <v>72500</v>
      </c>
      <c r="I46" s="6" t="s">
        <v>25</v>
      </c>
      <c r="J46" s="34"/>
      <c r="K46" s="34">
        <f t="shared" si="20"/>
        <v>87.71</v>
      </c>
      <c r="L46" s="34"/>
      <c r="M46" s="34"/>
      <c r="N46" s="34">
        <f>ROUND($G$3*P46,2)</f>
        <v>87.71</v>
      </c>
      <c r="O46" s="8"/>
      <c r="P46" s="9">
        <f t="shared" si="21"/>
        <v>0.2456801505275473</v>
      </c>
      <c r="Q46" s="9">
        <f>VLOOKUP(H46,coreratio2,6,FALSE)</f>
        <v>0</v>
      </c>
      <c r="R46" s="9">
        <f>VLOOKUP(H46,coreratio3,6,FALSE)</f>
        <v>0</v>
      </c>
      <c r="S46" s="9">
        <f>VLOOKUP(H46,coreratio4,6,FALSE)</f>
        <v>0</v>
      </c>
    </row>
    <row r="47" spans="1:36" ht="21.95" customHeight="1" x14ac:dyDescent="0.2">
      <c r="A47" s="262"/>
      <c r="B47" s="262"/>
      <c r="C47" s="262"/>
      <c r="D47" s="262"/>
      <c r="E47" s="262"/>
      <c r="F47" s="6" t="s">
        <v>57</v>
      </c>
      <c r="G47" s="7" t="s">
        <v>23</v>
      </c>
      <c r="H47" s="6">
        <v>74500</v>
      </c>
      <c r="I47" s="6" t="s">
        <v>49</v>
      </c>
      <c r="J47" s="34"/>
      <c r="K47" s="34">
        <f t="shared" si="20"/>
        <v>578.6</v>
      </c>
      <c r="L47" s="34"/>
      <c r="M47" s="34"/>
      <c r="N47" s="34">
        <f>ROUND($L$3*P47,2)</f>
        <v>578.6</v>
      </c>
      <c r="O47" s="8"/>
      <c r="P47" s="9">
        <f t="shared" si="21"/>
        <v>0.79428409883536599</v>
      </c>
      <c r="Q47" s="9">
        <f>VLOOKUP(H47,coreratio2,6,FALSE)</f>
        <v>1</v>
      </c>
      <c r="R47" s="9">
        <f>VLOOKUP(H47,coreratio3,6,FALSE)</f>
        <v>1</v>
      </c>
      <c r="S47" s="9">
        <f>VLOOKUP(H47,coreratio4,6,FALSE)</f>
        <v>1</v>
      </c>
    </row>
    <row r="48" spans="1:36" ht="21.95" customHeight="1" x14ac:dyDescent="0.2">
      <c r="A48" s="262"/>
      <c r="B48" s="262"/>
      <c r="C48" s="262"/>
      <c r="D48" s="262"/>
      <c r="E48" s="262"/>
      <c r="F48" s="6" t="s">
        <v>57</v>
      </c>
      <c r="G48" s="7" t="s">
        <v>26</v>
      </c>
      <c r="H48" s="6">
        <v>75700</v>
      </c>
      <c r="I48" s="6" t="s">
        <v>27</v>
      </c>
      <c r="J48" s="34"/>
      <c r="K48" s="34">
        <f t="shared" si="20"/>
        <v>453.60999999999899</v>
      </c>
      <c r="L48" s="34"/>
      <c r="M48" s="34"/>
      <c r="N48" s="34">
        <f>M3-SUM(N10,N21,N35)</f>
        <v>453.60999999999899</v>
      </c>
      <c r="O48" s="8"/>
      <c r="P48" s="9">
        <f t="shared" si="21"/>
        <v>0.66398749154834347</v>
      </c>
      <c r="Q48" s="9">
        <f>VLOOKUP(H48,coreratio2,6,FALSE)</f>
        <v>1</v>
      </c>
      <c r="R48" s="9">
        <f>VLOOKUP(H48,coreratio3,6,FALSE)</f>
        <v>1</v>
      </c>
      <c r="S48" s="9">
        <f>VLOOKUP(H48,coreratio4,6,FALSE)</f>
        <v>1</v>
      </c>
    </row>
    <row r="49" spans="1:36" ht="21.95" customHeight="1" x14ac:dyDescent="0.2">
      <c r="A49" s="262"/>
      <c r="B49" s="262"/>
      <c r="C49" s="261" t="s">
        <v>31</v>
      </c>
      <c r="D49" s="261"/>
      <c r="E49" s="261"/>
      <c r="F49" s="261"/>
      <c r="G49" s="261"/>
      <c r="H49" s="261"/>
      <c r="I49" s="261"/>
      <c r="J49" s="34">
        <f>SUM(J45:J48)</f>
        <v>0</v>
      </c>
      <c r="K49" s="34">
        <f>SUM(K45:K48)</f>
        <v>2150.8099999999995</v>
      </c>
      <c r="L49" s="34">
        <f>SUM(L45:L48)</f>
        <v>0</v>
      </c>
      <c r="M49" s="34">
        <f>SUM(M45:M48)</f>
        <v>0</v>
      </c>
      <c r="N49" s="34">
        <f>SUM(N45:N48)</f>
        <v>2150.8099999999995</v>
      </c>
      <c r="O49" s="8"/>
      <c r="P49" s="9"/>
      <c r="Q49" s="9"/>
      <c r="R49" s="9"/>
      <c r="S49" s="9"/>
    </row>
    <row r="50" spans="1:36" ht="21.95" customHeight="1" x14ac:dyDescent="0.2">
      <c r="A50" s="262"/>
      <c r="B50" s="261" t="s">
        <v>60</v>
      </c>
      <c r="C50" s="261"/>
      <c r="D50" s="261"/>
      <c r="E50" s="261"/>
      <c r="F50" s="261"/>
      <c r="G50" s="261"/>
      <c r="H50" s="261"/>
      <c r="I50" s="261"/>
      <c r="J50" s="34">
        <f>J49</f>
        <v>0</v>
      </c>
      <c r="K50" s="34">
        <f t="shared" ref="K50:N50" si="22">K49</f>
        <v>2150.8099999999995</v>
      </c>
      <c r="L50" s="34">
        <f t="shared" si="22"/>
        <v>0</v>
      </c>
      <c r="M50" s="34">
        <f t="shared" si="22"/>
        <v>0</v>
      </c>
      <c r="N50" s="34">
        <f t="shared" si="22"/>
        <v>2150.8099999999995</v>
      </c>
      <c r="O50" s="8"/>
      <c r="P50" s="9"/>
      <c r="Q50" s="9"/>
      <c r="R50" s="9"/>
      <c r="S50" s="9"/>
    </row>
    <row r="51" spans="1:36" ht="21.95" customHeight="1" x14ac:dyDescent="0.2">
      <c r="A51" s="262"/>
      <c r="B51" s="262" t="s">
        <v>61</v>
      </c>
      <c r="C51" s="262" t="s">
        <v>17</v>
      </c>
      <c r="D51" s="262">
        <v>62000</v>
      </c>
      <c r="E51" s="262">
        <v>10003</v>
      </c>
      <c r="F51" s="6" t="s">
        <v>62</v>
      </c>
      <c r="G51" s="7" t="s">
        <v>23</v>
      </c>
      <c r="H51" s="6">
        <v>71600</v>
      </c>
      <c r="I51" s="6" t="s">
        <v>23</v>
      </c>
      <c r="J51" s="34"/>
      <c r="K51" s="34">
        <f t="shared" ref="K51:K54" si="23">N51</f>
        <v>1209.58</v>
      </c>
      <c r="L51" s="34"/>
      <c r="M51" s="34"/>
      <c r="N51" s="34">
        <f>ROUND($C$4*P51,2)</f>
        <v>1209.58</v>
      </c>
      <c r="O51" s="8"/>
      <c r="P51" s="9">
        <f t="shared" ref="P51:P54" si="24">VLOOKUP(H51,starratio,6,FALSE)</f>
        <v>0.3921972498654005</v>
      </c>
      <c r="Q51" s="9">
        <f>VLOOKUP(H51,starratio2,6,FALSE)</f>
        <v>0</v>
      </c>
      <c r="R51" s="9">
        <f>VLOOKUP(H51,starratio3,6,FALSE)</f>
        <v>0</v>
      </c>
      <c r="S51" s="9">
        <f>VLOOKUP(H51,starratio4,6,FALSE)</f>
        <v>1</v>
      </c>
    </row>
    <row r="52" spans="1:36" ht="21.95" customHeight="1" x14ac:dyDescent="0.2">
      <c r="A52" s="262"/>
      <c r="B52" s="262"/>
      <c r="C52" s="262"/>
      <c r="D52" s="262"/>
      <c r="E52" s="262"/>
      <c r="F52" s="6" t="s">
        <v>62</v>
      </c>
      <c r="G52" s="7" t="s">
        <v>24</v>
      </c>
      <c r="H52" s="6">
        <v>72500</v>
      </c>
      <c r="I52" s="6" t="s">
        <v>25</v>
      </c>
      <c r="J52" s="34"/>
      <c r="K52" s="34">
        <f t="shared" si="23"/>
        <v>102.91</v>
      </c>
      <c r="L52" s="34"/>
      <c r="M52" s="34"/>
      <c r="N52" s="34">
        <f>ROUND($G$4*P52,2)</f>
        <v>102.91</v>
      </c>
      <c r="O52" s="8"/>
      <c r="P52" s="9">
        <f t="shared" si="24"/>
        <v>0.24568631831619636</v>
      </c>
      <c r="Q52" s="9">
        <f>VLOOKUP(H52,starratio2,6,FALSE)</f>
        <v>0</v>
      </c>
      <c r="R52" s="9">
        <f>VLOOKUP(H52,starratio3,6,FALSE)</f>
        <v>0</v>
      </c>
      <c r="S52" s="9">
        <f>VLOOKUP(H52,starratio4,6,FALSE)</f>
        <v>0</v>
      </c>
    </row>
    <row r="53" spans="1:36" ht="21.95" customHeight="1" x14ac:dyDescent="0.2">
      <c r="A53" s="262"/>
      <c r="B53" s="262"/>
      <c r="C53" s="262"/>
      <c r="D53" s="262"/>
      <c r="E53" s="262"/>
      <c r="F53" s="6" t="s">
        <v>62</v>
      </c>
      <c r="G53" s="7" t="s">
        <v>23</v>
      </c>
      <c r="H53" s="6">
        <v>74500</v>
      </c>
      <c r="I53" s="6" t="s">
        <v>49</v>
      </c>
      <c r="J53" s="34"/>
      <c r="K53" s="34">
        <f t="shared" si="23"/>
        <v>678.89</v>
      </c>
      <c r="L53" s="34"/>
      <c r="M53" s="34"/>
      <c r="N53" s="34">
        <f>ROUND($L$4*P53,2)</f>
        <v>678.89</v>
      </c>
      <c r="O53" s="8"/>
      <c r="P53" s="9">
        <f t="shared" si="24"/>
        <v>0.79428389560789303</v>
      </c>
      <c r="Q53" s="9">
        <f>VLOOKUP(H53,starratio2,6,FALSE)</f>
        <v>1</v>
      </c>
      <c r="R53" s="9">
        <f>VLOOKUP(H53,starratio3,6,FALSE)</f>
        <v>1</v>
      </c>
      <c r="S53" s="9">
        <f>VLOOKUP(H53,starratio4,6,FALSE)</f>
        <v>1</v>
      </c>
    </row>
    <row r="54" spans="1:36" ht="21.95" customHeight="1" x14ac:dyDescent="0.2">
      <c r="A54" s="262"/>
      <c r="B54" s="262"/>
      <c r="C54" s="262"/>
      <c r="D54" s="262"/>
      <c r="E54" s="262"/>
      <c r="F54" s="6" t="s">
        <v>62</v>
      </c>
      <c r="G54" s="7" t="s">
        <v>26</v>
      </c>
      <c r="H54" s="6">
        <v>75700</v>
      </c>
      <c r="I54" s="6" t="s">
        <v>27</v>
      </c>
      <c r="J54" s="34"/>
      <c r="K54" s="34">
        <f t="shared" si="23"/>
        <v>532.2499999999992</v>
      </c>
      <c r="L54" s="34"/>
      <c r="M54" s="34"/>
      <c r="N54" s="34">
        <f>M4-SUM(N15,N27,N41)</f>
        <v>532.2499999999992</v>
      </c>
      <c r="O54" s="8"/>
      <c r="P54" s="9">
        <f t="shared" si="24"/>
        <v>0.66398703350763166</v>
      </c>
      <c r="Q54" s="9">
        <f>VLOOKUP(H54,starratio2,6,FALSE)</f>
        <v>1</v>
      </c>
      <c r="R54" s="9">
        <f>VLOOKUP(H54,starratio3,6,FALSE)</f>
        <v>1</v>
      </c>
      <c r="S54" s="9">
        <f>VLOOKUP(H54,starratio4,6,FALSE)</f>
        <v>1</v>
      </c>
    </row>
    <row r="55" spans="1:36" ht="21.95" customHeight="1" x14ac:dyDescent="0.2">
      <c r="A55" s="262"/>
      <c r="B55" s="262"/>
      <c r="C55" s="263" t="s">
        <v>31</v>
      </c>
      <c r="D55" s="263"/>
      <c r="E55" s="263"/>
      <c r="F55" s="263"/>
      <c r="G55" s="263"/>
      <c r="H55" s="263"/>
      <c r="I55" s="263"/>
      <c r="J55" s="34">
        <f>SUM(J51:J54)</f>
        <v>0</v>
      </c>
      <c r="K55" s="34">
        <f>SUM(K51:K54)</f>
        <v>2523.6299999999992</v>
      </c>
      <c r="L55" s="34">
        <f>SUM(L51:L54)</f>
        <v>0</v>
      </c>
      <c r="M55" s="34">
        <f>SUM(M51:M54)</f>
        <v>0</v>
      </c>
      <c r="N55" s="34">
        <f>SUM(N51:N54)</f>
        <v>2523.6299999999992</v>
      </c>
      <c r="O55" s="8"/>
      <c r="Q55" s="1"/>
      <c r="Z55" s="11"/>
      <c r="AB55" s="15"/>
      <c r="AC55" s="12"/>
      <c r="AD55" s="13"/>
    </row>
    <row r="56" spans="1:36" ht="21.95" customHeight="1" x14ac:dyDescent="0.2">
      <c r="A56" s="262"/>
      <c r="B56" s="263" t="s">
        <v>63</v>
      </c>
      <c r="C56" s="263"/>
      <c r="D56" s="263"/>
      <c r="E56" s="263"/>
      <c r="F56" s="263"/>
      <c r="G56" s="263"/>
      <c r="H56" s="263"/>
      <c r="I56" s="263"/>
      <c r="J56" s="34">
        <f>J55</f>
        <v>0</v>
      </c>
      <c r="K56" s="34">
        <f t="shared" ref="K56:N56" si="25">K55</f>
        <v>2523.6299999999992</v>
      </c>
      <c r="L56" s="34">
        <f t="shared" si="25"/>
        <v>0</v>
      </c>
      <c r="M56" s="34">
        <f t="shared" si="25"/>
        <v>0</v>
      </c>
      <c r="N56" s="34">
        <f t="shared" si="25"/>
        <v>2523.6299999999992</v>
      </c>
      <c r="O56" s="8"/>
      <c r="Q56" s="1"/>
      <c r="Z56" s="11"/>
      <c r="AC56" s="12"/>
      <c r="AD56" s="13"/>
    </row>
    <row r="57" spans="1:36" ht="21.95" customHeight="1" x14ac:dyDescent="0.2">
      <c r="A57" s="261" t="s">
        <v>64</v>
      </c>
      <c r="B57" s="261"/>
      <c r="C57" s="261"/>
      <c r="D57" s="261"/>
      <c r="E57" s="261"/>
      <c r="F57" s="261"/>
      <c r="G57" s="261"/>
      <c r="H57" s="261"/>
      <c r="I57" s="261"/>
      <c r="J57" s="34">
        <f>J50+J56</f>
        <v>0</v>
      </c>
      <c r="K57" s="34">
        <f>K50+K56</f>
        <v>4674.4399999999987</v>
      </c>
      <c r="L57" s="34">
        <f>L50+L56</f>
        <v>0</v>
      </c>
      <c r="M57" s="34">
        <f>M50+M56</f>
        <v>0</v>
      </c>
      <c r="N57" s="34">
        <f>N50+N56</f>
        <v>4674.4399999999987</v>
      </c>
      <c r="O57" s="8"/>
      <c r="Q57" s="1"/>
      <c r="Z57" s="15"/>
      <c r="AJ57" s="16"/>
    </row>
    <row r="58" spans="1:36" ht="21.95" customHeight="1" x14ac:dyDescent="0.2">
      <c r="A58" s="262" t="s">
        <v>65</v>
      </c>
      <c r="B58" s="262" t="s">
        <v>66</v>
      </c>
      <c r="C58" s="262" t="s">
        <v>17</v>
      </c>
      <c r="D58" s="262">
        <v>62000</v>
      </c>
      <c r="E58" s="262">
        <v>10003</v>
      </c>
      <c r="F58" s="6" t="s">
        <v>66</v>
      </c>
      <c r="G58" s="7" t="s">
        <v>23</v>
      </c>
      <c r="H58" s="6">
        <v>71600</v>
      </c>
      <c r="I58" s="6" t="s">
        <v>23</v>
      </c>
      <c r="J58" s="34"/>
      <c r="K58" s="34">
        <f t="shared" ref="K58:K67" si="26">N58</f>
        <v>478.39000000000033</v>
      </c>
      <c r="L58" s="34"/>
      <c r="M58" s="34"/>
      <c r="N58" s="34">
        <f>C3-SUM(N8,N19,N32,N45)</f>
        <v>478.39000000000033</v>
      </c>
      <c r="O58" s="8"/>
      <c r="P58" s="9">
        <f t="shared" ref="P58:P67" si="27">VLOOKUP(H58,coreratio,7,FALSE)</f>
        <v>0.18200156988170238</v>
      </c>
      <c r="Q58" s="9">
        <f t="shared" ref="Q58:Q67" si="28">VLOOKUP(H58,coreratio2,7,FALSE)</f>
        <v>0</v>
      </c>
      <c r="R58" s="9">
        <f t="shared" ref="R58:R67" si="29">VLOOKUP(H58,coreratio3,7,FALSE)</f>
        <v>0</v>
      </c>
      <c r="S58" s="9">
        <f t="shared" ref="S58:S67" si="30">VLOOKUP(H58,coreratio4,7,FALSE)</f>
        <v>0</v>
      </c>
    </row>
    <row r="59" spans="1:36" ht="21.95" customHeight="1" x14ac:dyDescent="0.2">
      <c r="A59" s="262"/>
      <c r="B59" s="262"/>
      <c r="C59" s="262"/>
      <c r="D59" s="262"/>
      <c r="E59" s="262"/>
      <c r="F59" s="6" t="s">
        <v>66</v>
      </c>
      <c r="G59" s="7" t="s">
        <v>58</v>
      </c>
      <c r="H59" s="6">
        <v>72200</v>
      </c>
      <c r="I59" s="6" t="s">
        <v>67</v>
      </c>
      <c r="J59" s="34"/>
      <c r="K59" s="34">
        <f t="shared" si="26"/>
        <v>34.61</v>
      </c>
      <c r="L59" s="34"/>
      <c r="M59" s="34"/>
      <c r="N59" s="34">
        <f>D3</f>
        <v>34.61</v>
      </c>
      <c r="O59" s="8"/>
      <c r="P59" s="9">
        <f t="shared" si="27"/>
        <v>1</v>
      </c>
      <c r="Q59" s="9">
        <f t="shared" si="28"/>
        <v>1</v>
      </c>
      <c r="R59" s="9">
        <f t="shared" si="29"/>
        <v>1</v>
      </c>
      <c r="S59" s="9">
        <f t="shared" si="30"/>
        <v>1</v>
      </c>
    </row>
    <row r="60" spans="1:36" ht="21.95" customHeight="1" x14ac:dyDescent="0.2">
      <c r="A60" s="262"/>
      <c r="B60" s="262"/>
      <c r="C60" s="262"/>
      <c r="D60" s="262"/>
      <c r="E60" s="262"/>
      <c r="F60" s="6" t="s">
        <v>66</v>
      </c>
      <c r="G60" s="7" t="s">
        <v>58</v>
      </c>
      <c r="H60" s="6">
        <v>72400</v>
      </c>
      <c r="I60" s="6" t="s">
        <v>69</v>
      </c>
      <c r="J60" s="34"/>
      <c r="K60" s="34">
        <f t="shared" si="26"/>
        <v>246.35</v>
      </c>
      <c r="L60" s="34"/>
      <c r="M60" s="34"/>
      <c r="N60" s="34">
        <f>E3</f>
        <v>246.35</v>
      </c>
      <c r="O60" s="8"/>
      <c r="P60" s="9">
        <f t="shared" si="27"/>
        <v>1</v>
      </c>
      <c r="Q60" s="9">
        <f t="shared" si="28"/>
        <v>1</v>
      </c>
      <c r="R60" s="9">
        <f t="shared" si="29"/>
        <v>1</v>
      </c>
      <c r="S60" s="9">
        <f t="shared" si="30"/>
        <v>1</v>
      </c>
    </row>
    <row r="61" spans="1:36" ht="21.95" customHeight="1" x14ac:dyDescent="0.2">
      <c r="A61" s="262"/>
      <c r="B61" s="262"/>
      <c r="C61" s="262"/>
      <c r="D61" s="262"/>
      <c r="E61" s="262"/>
      <c r="F61" s="6" t="s">
        <v>66</v>
      </c>
      <c r="G61" s="7" t="s">
        <v>24</v>
      </c>
      <c r="H61" s="6">
        <v>72500</v>
      </c>
      <c r="I61" s="6" t="s">
        <v>25</v>
      </c>
      <c r="J61" s="34"/>
      <c r="K61" s="34">
        <f t="shared" si="26"/>
        <v>223.93</v>
      </c>
      <c r="L61" s="34"/>
      <c r="M61" s="34"/>
      <c r="N61" s="34">
        <f>G3-SUM(N9,N20,N33,N46)</f>
        <v>223.93</v>
      </c>
      <c r="O61" s="8"/>
      <c r="P61" s="9">
        <f t="shared" si="27"/>
        <v>0.62728797019640825</v>
      </c>
      <c r="Q61" s="9">
        <f t="shared" si="28"/>
        <v>1</v>
      </c>
      <c r="R61" s="9">
        <f t="shared" si="29"/>
        <v>1</v>
      </c>
      <c r="S61" s="9">
        <f t="shared" si="30"/>
        <v>1</v>
      </c>
    </row>
    <row r="62" spans="1:36" ht="21.95" customHeight="1" x14ac:dyDescent="0.2">
      <c r="A62" s="262"/>
      <c r="B62" s="262"/>
      <c r="C62" s="262"/>
      <c r="D62" s="262"/>
      <c r="E62" s="262"/>
      <c r="F62" s="6" t="s">
        <v>66</v>
      </c>
      <c r="G62" s="7" t="s">
        <v>58</v>
      </c>
      <c r="H62" s="6">
        <v>72800</v>
      </c>
      <c r="I62" s="6" t="s">
        <v>70</v>
      </c>
      <c r="J62" s="34"/>
      <c r="K62" s="34">
        <f t="shared" si="26"/>
        <v>157.11000000000001</v>
      </c>
      <c r="L62" s="34"/>
      <c r="M62" s="34"/>
      <c r="N62" s="34">
        <f>H3</f>
        <v>157.11000000000001</v>
      </c>
      <c r="O62" s="8"/>
      <c r="P62" s="9">
        <f t="shared" si="27"/>
        <v>1</v>
      </c>
      <c r="Q62" s="9">
        <f t="shared" si="28"/>
        <v>1</v>
      </c>
      <c r="R62" s="9">
        <f t="shared" si="29"/>
        <v>1</v>
      </c>
      <c r="S62" s="9">
        <f t="shared" si="30"/>
        <v>1</v>
      </c>
    </row>
    <row r="63" spans="1:36" ht="21.95" customHeight="1" x14ac:dyDescent="0.2">
      <c r="A63" s="262"/>
      <c r="B63" s="262"/>
      <c r="C63" s="262"/>
      <c r="D63" s="262"/>
      <c r="E63" s="262"/>
      <c r="F63" s="6" t="s">
        <v>66</v>
      </c>
      <c r="G63" s="7" t="s">
        <v>71</v>
      </c>
      <c r="H63" s="6">
        <v>73100</v>
      </c>
      <c r="I63" s="6" t="s">
        <v>72</v>
      </c>
      <c r="J63" s="34"/>
      <c r="K63" s="34">
        <f t="shared" si="26"/>
        <v>2022.93</v>
      </c>
      <c r="L63" s="34"/>
      <c r="M63" s="34"/>
      <c r="N63" s="34">
        <f>I3</f>
        <v>2022.93</v>
      </c>
      <c r="O63" s="8"/>
      <c r="P63" s="9">
        <f t="shared" si="27"/>
        <v>1</v>
      </c>
      <c r="Q63" s="9">
        <f t="shared" si="28"/>
        <v>1</v>
      </c>
      <c r="R63" s="9">
        <f t="shared" si="29"/>
        <v>1</v>
      </c>
      <c r="S63" s="9">
        <f t="shared" si="30"/>
        <v>1</v>
      </c>
    </row>
    <row r="64" spans="1:36" ht="21.95" customHeight="1" x14ac:dyDescent="0.2">
      <c r="A64" s="262"/>
      <c r="B64" s="262"/>
      <c r="C64" s="262"/>
      <c r="D64" s="262"/>
      <c r="E64" s="262"/>
      <c r="F64" s="6" t="s">
        <v>66</v>
      </c>
      <c r="G64" s="7" t="s">
        <v>58</v>
      </c>
      <c r="H64" s="6">
        <v>73400</v>
      </c>
      <c r="I64" s="6" t="s">
        <v>73</v>
      </c>
      <c r="J64" s="34"/>
      <c r="K64" s="34">
        <f t="shared" si="26"/>
        <v>118.93</v>
      </c>
      <c r="L64" s="34"/>
      <c r="M64" s="34"/>
      <c r="N64" s="34">
        <f>J3</f>
        <v>118.93</v>
      </c>
      <c r="O64" s="8"/>
      <c r="P64" s="9">
        <f t="shared" si="27"/>
        <v>1</v>
      </c>
      <c r="Q64" s="9">
        <f t="shared" si="28"/>
        <v>1</v>
      </c>
      <c r="R64" s="9">
        <f t="shared" si="29"/>
        <v>1</v>
      </c>
      <c r="S64" s="9">
        <f t="shared" si="30"/>
        <v>1</v>
      </c>
    </row>
    <row r="65" spans="1:36" ht="21.95" customHeight="1" x14ac:dyDescent="0.2">
      <c r="A65" s="262"/>
      <c r="B65" s="262"/>
      <c r="C65" s="262"/>
      <c r="D65" s="262"/>
      <c r="E65" s="262"/>
      <c r="F65" s="6" t="s">
        <v>66</v>
      </c>
      <c r="G65" s="7" t="s">
        <v>74</v>
      </c>
      <c r="H65" s="6">
        <v>74100</v>
      </c>
      <c r="I65" s="6" t="s">
        <v>75</v>
      </c>
      <c r="J65" s="34"/>
      <c r="K65" s="34">
        <f t="shared" si="26"/>
        <v>0</v>
      </c>
      <c r="L65" s="34"/>
      <c r="M65" s="34"/>
      <c r="N65" s="34">
        <f>F3</f>
        <v>0</v>
      </c>
      <c r="O65" s="8"/>
      <c r="P65" s="9">
        <f t="shared" si="27"/>
        <v>1</v>
      </c>
      <c r="Q65" s="9">
        <f t="shared" si="28"/>
        <v>1</v>
      </c>
      <c r="R65" s="9">
        <f t="shared" si="29"/>
        <v>1</v>
      </c>
      <c r="S65" s="9">
        <f t="shared" si="30"/>
        <v>1</v>
      </c>
    </row>
    <row r="66" spans="1:36" ht="21.95" customHeight="1" x14ac:dyDescent="0.2">
      <c r="A66" s="262"/>
      <c r="B66" s="262"/>
      <c r="C66" s="262"/>
      <c r="D66" s="262"/>
      <c r="E66" s="262"/>
      <c r="F66" s="6" t="s">
        <v>66</v>
      </c>
      <c r="G66" s="7" t="s">
        <v>58</v>
      </c>
      <c r="H66" s="6">
        <v>74200</v>
      </c>
      <c r="I66" s="6" t="s">
        <v>76</v>
      </c>
      <c r="J66" s="34"/>
      <c r="K66" s="34">
        <f t="shared" si="26"/>
        <v>111.6</v>
      </c>
      <c r="L66" s="34"/>
      <c r="M66" s="34"/>
      <c r="N66" s="34">
        <f>K3</f>
        <v>111.6</v>
      </c>
      <c r="O66" s="8"/>
      <c r="P66" s="9">
        <f t="shared" si="27"/>
        <v>1</v>
      </c>
      <c r="Q66" s="9">
        <f t="shared" si="28"/>
        <v>1</v>
      </c>
      <c r="R66" s="9">
        <f t="shared" si="29"/>
        <v>1</v>
      </c>
      <c r="S66" s="9">
        <f t="shared" si="30"/>
        <v>1</v>
      </c>
    </row>
    <row r="67" spans="1:36" ht="21.95" customHeight="1" x14ac:dyDescent="0.2">
      <c r="A67" s="262"/>
      <c r="B67" s="262"/>
      <c r="C67" s="262"/>
      <c r="D67" s="262"/>
      <c r="E67" s="262"/>
      <c r="F67" s="6" t="s">
        <v>66</v>
      </c>
      <c r="G67" s="7" t="s">
        <v>23</v>
      </c>
      <c r="H67" s="6">
        <v>74500</v>
      </c>
      <c r="I67" s="6" t="s">
        <v>49</v>
      </c>
      <c r="J67" s="34"/>
      <c r="K67" s="34">
        <f t="shared" si="26"/>
        <v>139.77999999999997</v>
      </c>
      <c r="L67" s="34"/>
      <c r="M67" s="34"/>
      <c r="N67" s="34">
        <f>L3-SUM(N34,N47)</f>
        <v>139.77999999999997</v>
      </c>
      <c r="O67" s="8"/>
      <c r="P67" s="9">
        <f t="shared" si="27"/>
        <v>0.19187398279469892</v>
      </c>
      <c r="Q67" s="9">
        <f t="shared" si="28"/>
        <v>0</v>
      </c>
      <c r="R67" s="9">
        <f t="shared" si="29"/>
        <v>0</v>
      </c>
      <c r="S67" s="9">
        <f t="shared" si="30"/>
        <v>0</v>
      </c>
    </row>
    <row r="68" spans="1:36" s="2" customFormat="1" ht="21.95" customHeight="1" x14ac:dyDescent="0.2">
      <c r="A68" s="262"/>
      <c r="B68" s="262"/>
      <c r="C68" s="261" t="s">
        <v>31</v>
      </c>
      <c r="D68" s="261"/>
      <c r="E68" s="261"/>
      <c r="F68" s="261"/>
      <c r="G68" s="261"/>
      <c r="H68" s="261"/>
      <c r="I68" s="261"/>
      <c r="J68" s="34">
        <f>SUM(J58:J67)</f>
        <v>0</v>
      </c>
      <c r="K68" s="34">
        <f>SUM(K58:K67)</f>
        <v>3533.63</v>
      </c>
      <c r="L68" s="34">
        <f>SUM(L58:L67)</f>
        <v>0</v>
      </c>
      <c r="M68" s="34">
        <f>SUM(M58:M67)</f>
        <v>0</v>
      </c>
      <c r="N68" s="34">
        <f>SUM(N58:N67)</f>
        <v>3533.63</v>
      </c>
      <c r="O68" s="8"/>
      <c r="P68" s="9"/>
      <c r="Q68" s="9"/>
      <c r="R68" s="9"/>
      <c r="S68" s="9"/>
      <c r="T68" s="1"/>
      <c r="U68" s="1"/>
      <c r="V68" s="1"/>
      <c r="W68" s="1"/>
      <c r="X68" s="1"/>
      <c r="Y68" s="1"/>
      <c r="Z68" s="1"/>
      <c r="AA68" s="1"/>
      <c r="AB68" s="1"/>
      <c r="AC68" s="1"/>
      <c r="AD68" s="1"/>
      <c r="AE68" s="1"/>
      <c r="AF68" s="1"/>
      <c r="AG68" s="1"/>
      <c r="AH68" s="1"/>
      <c r="AI68" s="1"/>
      <c r="AJ68" s="1"/>
    </row>
    <row r="69" spans="1:36" s="2" customFormat="1" ht="21.95" customHeight="1" x14ac:dyDescent="0.2">
      <c r="A69" s="262"/>
      <c r="B69" s="261" t="s">
        <v>78</v>
      </c>
      <c r="C69" s="261"/>
      <c r="D69" s="261"/>
      <c r="E69" s="261"/>
      <c r="F69" s="261"/>
      <c r="G69" s="261"/>
      <c r="H69" s="261"/>
      <c r="I69" s="261"/>
      <c r="J69" s="34">
        <f>J68</f>
        <v>0</v>
      </c>
      <c r="K69" s="34">
        <f t="shared" ref="K69:N69" si="31">K68</f>
        <v>3533.63</v>
      </c>
      <c r="L69" s="34">
        <f t="shared" si="31"/>
        <v>0</v>
      </c>
      <c r="M69" s="34">
        <f t="shared" si="31"/>
        <v>0</v>
      </c>
      <c r="N69" s="34">
        <f t="shared" si="31"/>
        <v>3533.63</v>
      </c>
      <c r="O69" s="8"/>
      <c r="P69" s="9"/>
      <c r="Q69" s="9"/>
      <c r="R69" s="9"/>
      <c r="S69" s="9"/>
      <c r="T69" s="1"/>
      <c r="U69" s="1"/>
      <c r="V69" s="1"/>
      <c r="W69" s="1"/>
      <c r="X69" s="1"/>
      <c r="Y69" s="1"/>
      <c r="Z69" s="1"/>
      <c r="AA69" s="1"/>
      <c r="AB69" s="1"/>
      <c r="AC69" s="1"/>
      <c r="AD69" s="1"/>
      <c r="AE69" s="1"/>
      <c r="AF69" s="1"/>
      <c r="AG69" s="1"/>
      <c r="AH69" s="1"/>
      <c r="AI69" s="1"/>
      <c r="AJ69" s="1"/>
    </row>
    <row r="70" spans="1:36" s="2" customFormat="1" ht="21.95" customHeight="1" x14ac:dyDescent="0.2">
      <c r="A70" s="262"/>
      <c r="B70" s="262" t="s">
        <v>79</v>
      </c>
      <c r="C70" s="262" t="s">
        <v>17</v>
      </c>
      <c r="D70" s="262">
        <v>62000</v>
      </c>
      <c r="E70" s="262">
        <v>10003</v>
      </c>
      <c r="F70" s="6" t="s">
        <v>79</v>
      </c>
      <c r="G70" s="7" t="s">
        <v>23</v>
      </c>
      <c r="H70" s="6">
        <v>71600</v>
      </c>
      <c r="I70" s="6" t="s">
        <v>23</v>
      </c>
      <c r="J70" s="34"/>
      <c r="K70" s="34">
        <f t="shared" ref="K70:K79" si="32">N70</f>
        <v>561.31999999999971</v>
      </c>
      <c r="L70" s="34"/>
      <c r="M70" s="34"/>
      <c r="N70" s="34">
        <f>C4-SUM(N13,N25,N38,N51)</f>
        <v>561.31999999999971</v>
      </c>
      <c r="O70" s="8"/>
      <c r="P70" s="9">
        <f t="shared" ref="P70:P79" si="33">VLOOKUP(H70,starratio,7,FALSE)</f>
        <v>0.18200113324682271</v>
      </c>
      <c r="Q70" s="9">
        <f t="shared" ref="Q70:Q79" si="34">VLOOKUP(H70,starratio2,7,FALSE)</f>
        <v>0</v>
      </c>
      <c r="R70" s="9">
        <f t="shared" ref="R70:R79" si="35">VLOOKUP(H70,starratio3,7,FALSE)</f>
        <v>0</v>
      </c>
      <c r="S70" s="9">
        <f t="shared" ref="S70:S79" si="36">VLOOKUP(H70,starratio4,7,FALSE)</f>
        <v>0</v>
      </c>
      <c r="T70" s="1"/>
      <c r="U70" s="1"/>
      <c r="V70" s="1"/>
      <c r="W70" s="1"/>
      <c r="X70" s="1"/>
      <c r="Y70" s="1"/>
      <c r="Z70" s="1"/>
      <c r="AA70" s="1"/>
      <c r="AB70" s="1"/>
      <c r="AC70" s="1"/>
      <c r="AD70" s="1"/>
      <c r="AE70" s="1"/>
      <c r="AF70" s="1"/>
      <c r="AG70" s="1"/>
      <c r="AH70" s="1"/>
      <c r="AI70" s="1"/>
      <c r="AJ70" s="1"/>
    </row>
    <row r="71" spans="1:36" s="2" customFormat="1" ht="21.95" customHeight="1" x14ac:dyDescent="0.2">
      <c r="A71" s="262"/>
      <c r="B71" s="262"/>
      <c r="C71" s="262"/>
      <c r="D71" s="262"/>
      <c r="E71" s="262"/>
      <c r="F71" s="6" t="s">
        <v>79</v>
      </c>
      <c r="G71" s="7" t="s">
        <v>58</v>
      </c>
      <c r="H71" s="6">
        <v>72200</v>
      </c>
      <c r="I71" s="6" t="s">
        <v>67</v>
      </c>
      <c r="J71" s="34"/>
      <c r="K71" s="34">
        <f t="shared" si="32"/>
        <v>40.61</v>
      </c>
      <c r="L71" s="34"/>
      <c r="M71" s="34"/>
      <c r="N71" s="34">
        <f>D4</f>
        <v>40.61</v>
      </c>
      <c r="O71" s="8"/>
      <c r="P71" s="9">
        <f t="shared" si="33"/>
        <v>1</v>
      </c>
      <c r="Q71" s="9">
        <f t="shared" si="34"/>
        <v>1</v>
      </c>
      <c r="R71" s="9">
        <f t="shared" si="35"/>
        <v>1</v>
      </c>
      <c r="S71" s="9">
        <f t="shared" si="36"/>
        <v>1</v>
      </c>
      <c r="T71" s="1"/>
      <c r="U71" s="1"/>
      <c r="V71" s="1"/>
      <c r="W71" s="1"/>
      <c r="X71" s="1"/>
      <c r="Y71" s="1"/>
      <c r="Z71" s="1"/>
      <c r="AA71" s="1"/>
      <c r="AB71" s="1"/>
      <c r="AC71" s="1"/>
      <c r="AD71" s="1"/>
      <c r="AE71" s="1"/>
      <c r="AF71" s="1"/>
      <c r="AG71" s="1"/>
      <c r="AH71" s="1"/>
      <c r="AI71" s="1"/>
      <c r="AJ71" s="1"/>
    </row>
    <row r="72" spans="1:36" s="2" customFormat="1" ht="21.95" customHeight="1" x14ac:dyDescent="0.2">
      <c r="A72" s="262"/>
      <c r="B72" s="262"/>
      <c r="C72" s="262"/>
      <c r="D72" s="262"/>
      <c r="E72" s="262"/>
      <c r="F72" s="6" t="s">
        <v>79</v>
      </c>
      <c r="G72" s="7" t="s">
        <v>58</v>
      </c>
      <c r="H72" s="6">
        <v>72400</v>
      </c>
      <c r="I72" s="6" t="s">
        <v>69</v>
      </c>
      <c r="J72" s="34"/>
      <c r="K72" s="34">
        <f t="shared" si="32"/>
        <v>289.04000000000002</v>
      </c>
      <c r="L72" s="34"/>
      <c r="M72" s="34"/>
      <c r="N72" s="34">
        <f>E4</f>
        <v>289.04000000000002</v>
      </c>
      <c r="O72" s="8"/>
      <c r="P72" s="9">
        <f t="shared" si="33"/>
        <v>1</v>
      </c>
      <c r="Q72" s="9">
        <f t="shared" si="34"/>
        <v>1</v>
      </c>
      <c r="R72" s="9">
        <f t="shared" si="35"/>
        <v>1</v>
      </c>
      <c r="S72" s="9">
        <f t="shared" si="36"/>
        <v>1</v>
      </c>
      <c r="T72" s="1"/>
      <c r="U72" s="1"/>
      <c r="V72" s="1"/>
      <c r="W72" s="1"/>
      <c r="X72" s="1"/>
      <c r="Y72" s="1"/>
      <c r="Z72" s="1"/>
      <c r="AA72" s="1"/>
      <c r="AB72" s="1"/>
      <c r="AC72" s="1"/>
      <c r="AD72" s="1"/>
      <c r="AE72" s="1"/>
      <c r="AF72" s="1"/>
      <c r="AG72" s="1"/>
      <c r="AH72" s="1"/>
      <c r="AI72" s="1"/>
      <c r="AJ72" s="1"/>
    </row>
    <row r="73" spans="1:36" s="2" customFormat="1" ht="21.95" customHeight="1" x14ac:dyDescent="0.2">
      <c r="A73" s="262"/>
      <c r="B73" s="262"/>
      <c r="C73" s="262"/>
      <c r="D73" s="262"/>
      <c r="E73" s="262"/>
      <c r="F73" s="6" t="s">
        <v>79</v>
      </c>
      <c r="G73" s="7" t="s">
        <v>24</v>
      </c>
      <c r="H73" s="6">
        <v>72500</v>
      </c>
      <c r="I73" s="6" t="s">
        <v>25</v>
      </c>
      <c r="J73" s="34"/>
      <c r="K73" s="34">
        <f t="shared" si="32"/>
        <v>262.75</v>
      </c>
      <c r="L73" s="34"/>
      <c r="M73" s="34"/>
      <c r="N73" s="34">
        <f>G4-SUM(N14,N26,N39,N52)</f>
        <v>262.75</v>
      </c>
      <c r="O73" s="8"/>
      <c r="P73" s="9">
        <f t="shared" si="33"/>
        <v>0.62729062862071294</v>
      </c>
      <c r="Q73" s="9">
        <f t="shared" si="34"/>
        <v>1</v>
      </c>
      <c r="R73" s="9">
        <f t="shared" si="35"/>
        <v>1</v>
      </c>
      <c r="S73" s="9">
        <f t="shared" si="36"/>
        <v>1</v>
      </c>
      <c r="T73" s="1"/>
      <c r="U73" s="1"/>
      <c r="V73" s="1"/>
      <c r="W73" s="1"/>
      <c r="X73" s="1"/>
      <c r="Y73" s="1"/>
      <c r="Z73" s="1"/>
      <c r="AA73" s="1"/>
      <c r="AB73" s="1"/>
      <c r="AC73" s="1"/>
      <c r="AD73" s="1"/>
      <c r="AE73" s="1"/>
      <c r="AF73" s="1"/>
      <c r="AG73" s="1"/>
      <c r="AH73" s="1"/>
      <c r="AI73" s="1"/>
      <c r="AJ73" s="1"/>
    </row>
    <row r="74" spans="1:36" s="2" customFormat="1" ht="21.95" customHeight="1" x14ac:dyDescent="0.2">
      <c r="A74" s="262"/>
      <c r="B74" s="262"/>
      <c r="C74" s="262"/>
      <c r="D74" s="262"/>
      <c r="E74" s="262"/>
      <c r="F74" s="6" t="s">
        <v>79</v>
      </c>
      <c r="G74" s="7" t="s">
        <v>58</v>
      </c>
      <c r="H74" s="6">
        <v>72800</v>
      </c>
      <c r="I74" s="6" t="s">
        <v>70</v>
      </c>
      <c r="J74" s="34"/>
      <c r="K74" s="34">
        <f t="shared" si="32"/>
        <v>184.34</v>
      </c>
      <c r="L74" s="34"/>
      <c r="M74" s="34"/>
      <c r="N74" s="34">
        <f>H4</f>
        <v>184.34</v>
      </c>
      <c r="O74" s="8"/>
      <c r="P74" s="9">
        <f t="shared" si="33"/>
        <v>1</v>
      </c>
      <c r="Q74" s="9">
        <f t="shared" si="34"/>
        <v>1</v>
      </c>
      <c r="R74" s="9">
        <f t="shared" si="35"/>
        <v>1</v>
      </c>
      <c r="S74" s="9">
        <f t="shared" si="36"/>
        <v>1</v>
      </c>
      <c r="T74" s="1"/>
      <c r="U74" s="1"/>
      <c r="V74" s="1"/>
      <c r="W74" s="1"/>
      <c r="X74" s="1"/>
      <c r="Y74" s="1"/>
      <c r="Z74" s="1"/>
      <c r="AA74" s="1"/>
      <c r="AB74" s="1"/>
      <c r="AC74" s="1"/>
      <c r="AD74" s="1"/>
      <c r="AE74" s="1"/>
      <c r="AF74" s="1"/>
      <c r="AG74" s="1"/>
      <c r="AH74" s="1"/>
      <c r="AI74" s="1"/>
      <c r="AJ74" s="1"/>
    </row>
    <row r="75" spans="1:36" s="2" customFormat="1" ht="21.95" customHeight="1" x14ac:dyDescent="0.2">
      <c r="A75" s="262"/>
      <c r="B75" s="262"/>
      <c r="C75" s="262"/>
      <c r="D75" s="262"/>
      <c r="E75" s="262"/>
      <c r="F75" s="6" t="s">
        <v>79</v>
      </c>
      <c r="G75" s="7" t="s">
        <v>71</v>
      </c>
      <c r="H75" s="6">
        <v>73100</v>
      </c>
      <c r="I75" s="6" t="s">
        <v>72</v>
      </c>
      <c r="J75" s="34"/>
      <c r="K75" s="34">
        <f t="shared" si="32"/>
        <v>2373.5700000000002</v>
      </c>
      <c r="L75" s="34"/>
      <c r="M75" s="34"/>
      <c r="N75" s="34">
        <f>I4</f>
        <v>2373.5700000000002</v>
      </c>
      <c r="O75" s="8"/>
      <c r="P75" s="9">
        <f t="shared" si="33"/>
        <v>1</v>
      </c>
      <c r="Q75" s="9">
        <f t="shared" si="34"/>
        <v>1</v>
      </c>
      <c r="R75" s="9">
        <f t="shared" si="35"/>
        <v>1</v>
      </c>
      <c r="S75" s="9">
        <f t="shared" si="36"/>
        <v>1</v>
      </c>
      <c r="T75" s="1"/>
      <c r="U75" s="1"/>
      <c r="V75" s="1"/>
      <c r="W75" s="1"/>
      <c r="X75" s="1"/>
      <c r="Y75" s="1"/>
      <c r="Z75" s="1"/>
      <c r="AA75" s="1"/>
      <c r="AB75" s="1"/>
      <c r="AC75" s="1"/>
      <c r="AD75" s="1"/>
      <c r="AE75" s="1"/>
      <c r="AF75" s="1"/>
      <c r="AG75" s="1"/>
      <c r="AH75" s="1"/>
      <c r="AI75" s="1"/>
      <c r="AJ75" s="1"/>
    </row>
    <row r="76" spans="1:36" s="2" customFormat="1" ht="21.95" customHeight="1" x14ac:dyDescent="0.2">
      <c r="A76" s="262"/>
      <c r="B76" s="262"/>
      <c r="C76" s="262"/>
      <c r="D76" s="262"/>
      <c r="E76" s="262"/>
      <c r="F76" s="6" t="s">
        <v>79</v>
      </c>
      <c r="G76" s="7" t="s">
        <v>58</v>
      </c>
      <c r="H76" s="6">
        <v>73400</v>
      </c>
      <c r="I76" s="6" t="s">
        <v>73</v>
      </c>
      <c r="J76" s="34"/>
      <c r="K76" s="34">
        <f t="shared" si="32"/>
        <v>139.55000000000001</v>
      </c>
      <c r="L76" s="34"/>
      <c r="M76" s="34"/>
      <c r="N76" s="34">
        <f>J4</f>
        <v>139.55000000000001</v>
      </c>
      <c r="O76" s="8"/>
      <c r="P76" s="9">
        <f t="shared" si="33"/>
        <v>1</v>
      </c>
      <c r="Q76" s="9">
        <f t="shared" si="34"/>
        <v>1</v>
      </c>
      <c r="R76" s="9">
        <f t="shared" si="35"/>
        <v>1</v>
      </c>
      <c r="S76" s="9">
        <f t="shared" si="36"/>
        <v>1</v>
      </c>
      <c r="T76" s="1"/>
      <c r="U76" s="1"/>
      <c r="V76" s="1"/>
      <c r="W76" s="1"/>
      <c r="X76" s="1"/>
      <c r="Y76" s="1"/>
      <c r="Z76" s="1"/>
      <c r="AA76" s="1"/>
      <c r="AB76" s="1"/>
      <c r="AC76" s="1"/>
      <c r="AD76" s="1"/>
      <c r="AE76" s="1"/>
      <c r="AF76" s="1"/>
      <c r="AG76" s="1"/>
      <c r="AH76" s="1"/>
      <c r="AI76" s="1"/>
      <c r="AJ76" s="1"/>
    </row>
    <row r="77" spans="1:36" s="2" customFormat="1" ht="21.95" customHeight="1" x14ac:dyDescent="0.2">
      <c r="A77" s="262"/>
      <c r="B77" s="262"/>
      <c r="C77" s="262"/>
      <c r="D77" s="262"/>
      <c r="E77" s="262"/>
      <c r="F77" s="6" t="s">
        <v>79</v>
      </c>
      <c r="G77" s="7" t="s">
        <v>74</v>
      </c>
      <c r="H77" s="6">
        <v>74100</v>
      </c>
      <c r="I77" s="6" t="s">
        <v>75</v>
      </c>
      <c r="J77" s="34"/>
      <c r="K77" s="34">
        <f t="shared" si="32"/>
        <v>0</v>
      </c>
      <c r="L77" s="34"/>
      <c r="M77" s="34"/>
      <c r="N77" s="34">
        <f>F4</f>
        <v>0</v>
      </c>
      <c r="O77" s="8"/>
      <c r="P77" s="9">
        <f t="shared" si="33"/>
        <v>1</v>
      </c>
      <c r="Q77" s="9">
        <f t="shared" si="34"/>
        <v>1</v>
      </c>
      <c r="R77" s="9">
        <f t="shared" si="35"/>
        <v>1</v>
      </c>
      <c r="S77" s="9">
        <f t="shared" si="36"/>
        <v>1</v>
      </c>
      <c r="T77" s="1"/>
      <c r="U77" s="1"/>
      <c r="V77" s="1"/>
      <c r="W77" s="1"/>
      <c r="X77" s="1"/>
      <c r="Y77" s="1"/>
      <c r="Z77" s="1"/>
      <c r="AA77" s="1"/>
      <c r="AB77" s="1"/>
      <c r="AC77" s="1"/>
      <c r="AD77" s="1"/>
      <c r="AE77" s="1"/>
      <c r="AF77" s="1"/>
      <c r="AG77" s="1"/>
      <c r="AH77" s="1"/>
      <c r="AI77" s="1"/>
      <c r="AJ77" s="1"/>
    </row>
    <row r="78" spans="1:36" s="2" customFormat="1" ht="21.95" customHeight="1" x14ac:dyDescent="0.2">
      <c r="A78" s="262"/>
      <c r="B78" s="262"/>
      <c r="C78" s="262"/>
      <c r="D78" s="262"/>
      <c r="E78" s="262"/>
      <c r="F78" s="6" t="s">
        <v>79</v>
      </c>
      <c r="G78" s="7" t="s">
        <v>58</v>
      </c>
      <c r="H78" s="6">
        <v>74200</v>
      </c>
      <c r="I78" s="6" t="s">
        <v>76</v>
      </c>
      <c r="J78" s="34"/>
      <c r="K78" s="34">
        <f t="shared" si="32"/>
        <v>130.94999999999999</v>
      </c>
      <c r="L78" s="34"/>
      <c r="M78" s="34"/>
      <c r="N78" s="34">
        <f>K4</f>
        <v>130.94999999999999</v>
      </c>
      <c r="O78" s="8"/>
      <c r="P78" s="9">
        <f t="shared" si="33"/>
        <v>1</v>
      </c>
      <c r="Q78" s="9">
        <f t="shared" si="34"/>
        <v>1</v>
      </c>
      <c r="R78" s="9">
        <f t="shared" si="35"/>
        <v>1</v>
      </c>
      <c r="S78" s="9">
        <f t="shared" si="36"/>
        <v>1</v>
      </c>
      <c r="T78" s="1"/>
      <c r="U78" s="1"/>
      <c r="V78" s="1"/>
      <c r="W78" s="1"/>
      <c r="X78" s="1"/>
      <c r="Y78" s="1"/>
      <c r="Z78" s="1"/>
      <c r="AA78" s="1"/>
      <c r="AB78" s="1"/>
      <c r="AC78" s="1"/>
      <c r="AD78" s="1"/>
      <c r="AE78" s="1"/>
      <c r="AF78" s="1"/>
      <c r="AG78" s="1"/>
      <c r="AH78" s="1"/>
      <c r="AI78" s="1"/>
      <c r="AJ78" s="1"/>
    </row>
    <row r="79" spans="1:36" s="2" customFormat="1" ht="21.95" customHeight="1" x14ac:dyDescent="0.2">
      <c r="A79" s="262"/>
      <c r="B79" s="262"/>
      <c r="C79" s="262"/>
      <c r="D79" s="262"/>
      <c r="E79" s="262"/>
      <c r="F79" s="6" t="s">
        <v>79</v>
      </c>
      <c r="G79" s="7" t="s">
        <v>23</v>
      </c>
      <c r="H79" s="6">
        <v>74500</v>
      </c>
      <c r="I79" s="6" t="s">
        <v>49</v>
      </c>
      <c r="J79" s="34"/>
      <c r="K79" s="34">
        <f t="shared" si="32"/>
        <v>164</v>
      </c>
      <c r="L79" s="34"/>
      <c r="M79" s="34"/>
      <c r="N79" s="34">
        <f>L4-SUM(N40,N53)</f>
        <v>164</v>
      </c>
      <c r="O79" s="8"/>
      <c r="P79" s="9">
        <f t="shared" si="33"/>
        <v>0.19187269255251432</v>
      </c>
      <c r="Q79" s="9">
        <f t="shared" si="34"/>
        <v>0</v>
      </c>
      <c r="R79" s="9">
        <f t="shared" si="35"/>
        <v>0</v>
      </c>
      <c r="S79" s="9">
        <f t="shared" si="36"/>
        <v>0</v>
      </c>
      <c r="T79" s="1"/>
      <c r="U79" s="1"/>
      <c r="V79" s="1"/>
      <c r="W79" s="1"/>
      <c r="X79" s="1"/>
      <c r="Y79" s="1"/>
      <c r="Z79" s="1"/>
      <c r="AA79" s="1"/>
      <c r="AB79" s="1"/>
      <c r="AC79" s="1"/>
      <c r="AD79" s="1"/>
      <c r="AE79" s="1"/>
      <c r="AF79" s="1"/>
      <c r="AG79" s="1"/>
      <c r="AH79" s="1"/>
      <c r="AI79" s="1"/>
      <c r="AJ79" s="1"/>
    </row>
    <row r="80" spans="1:36" s="2" customFormat="1" ht="21.95" customHeight="1" x14ac:dyDescent="0.2">
      <c r="A80" s="262"/>
      <c r="B80" s="262"/>
      <c r="C80" s="263" t="s">
        <v>31</v>
      </c>
      <c r="D80" s="263"/>
      <c r="E80" s="263"/>
      <c r="F80" s="263"/>
      <c r="G80" s="263"/>
      <c r="H80" s="263"/>
      <c r="I80" s="263"/>
      <c r="J80" s="34">
        <f>SUM(J70:J79)</f>
        <v>0</v>
      </c>
      <c r="K80" s="34">
        <f>SUM(K70:K79)</f>
        <v>4146.13</v>
      </c>
      <c r="L80" s="34">
        <f>SUM(L70:L79)</f>
        <v>0</v>
      </c>
      <c r="M80" s="34">
        <f>SUM(M70:M79)</f>
        <v>0</v>
      </c>
      <c r="N80" s="34">
        <f>SUM(N70:N79)</f>
        <v>4146.13</v>
      </c>
      <c r="O80" s="8"/>
      <c r="P80" s="9"/>
      <c r="R80" s="1"/>
      <c r="S80" s="1"/>
      <c r="T80" s="1"/>
      <c r="U80" s="1"/>
      <c r="V80" s="1"/>
      <c r="W80" s="1"/>
      <c r="X80" s="1"/>
      <c r="Y80" s="1"/>
      <c r="Z80" s="1"/>
      <c r="AA80" s="1"/>
      <c r="AB80" s="1"/>
      <c r="AC80" s="1"/>
      <c r="AD80" s="1"/>
      <c r="AE80" s="1"/>
      <c r="AF80" s="1"/>
      <c r="AG80" s="1"/>
      <c r="AH80" s="1"/>
      <c r="AI80" s="1"/>
      <c r="AJ80" s="1"/>
    </row>
    <row r="81" spans="1:36" ht="21.95" customHeight="1" x14ac:dyDescent="0.2">
      <c r="A81" s="262"/>
      <c r="B81" s="263" t="s">
        <v>80</v>
      </c>
      <c r="C81" s="263"/>
      <c r="D81" s="263"/>
      <c r="E81" s="263"/>
      <c r="F81" s="263"/>
      <c r="G81" s="263"/>
      <c r="H81" s="263"/>
      <c r="I81" s="263"/>
      <c r="J81" s="34">
        <f>J80</f>
        <v>0</v>
      </c>
      <c r="K81" s="34">
        <f t="shared" ref="K81:N81" si="37">K80</f>
        <v>4146.13</v>
      </c>
      <c r="L81" s="34">
        <f t="shared" si="37"/>
        <v>0</v>
      </c>
      <c r="M81" s="34">
        <f t="shared" si="37"/>
        <v>0</v>
      </c>
      <c r="N81" s="34">
        <f t="shared" si="37"/>
        <v>4146.13</v>
      </c>
      <c r="O81" s="8"/>
      <c r="Q81" s="10"/>
      <c r="Z81" s="11"/>
      <c r="AC81" s="12"/>
      <c r="AD81" s="13"/>
    </row>
    <row r="82" spans="1:36" ht="21.95" customHeight="1" x14ac:dyDescent="0.2">
      <c r="A82" s="261" t="s">
        <v>81</v>
      </c>
      <c r="B82" s="261"/>
      <c r="C82" s="261"/>
      <c r="D82" s="261"/>
      <c r="E82" s="261"/>
      <c r="F82" s="261"/>
      <c r="G82" s="261"/>
      <c r="H82" s="261"/>
      <c r="I82" s="261"/>
      <c r="J82" s="34">
        <f>J69+J81</f>
        <v>0</v>
      </c>
      <c r="K82" s="34">
        <f>K69+K81</f>
        <v>7679.76</v>
      </c>
      <c r="L82" s="34">
        <f>L69+L81</f>
        <v>0</v>
      </c>
      <c r="M82" s="34">
        <f>M69+M81</f>
        <v>0</v>
      </c>
      <c r="N82" s="34">
        <f>N69+N81</f>
        <v>7679.76</v>
      </c>
      <c r="O82" s="8"/>
      <c r="R82" s="14"/>
      <c r="Z82" s="15"/>
      <c r="AJ82" s="16"/>
    </row>
    <row r="83" spans="1:36" s="31" customFormat="1" ht="21.95" customHeight="1" x14ac:dyDescent="0.2">
      <c r="A83" s="275" t="s">
        <v>82</v>
      </c>
      <c r="B83" s="275"/>
      <c r="C83" s="275"/>
      <c r="D83" s="275"/>
      <c r="E83" s="275"/>
      <c r="F83" s="275"/>
      <c r="G83" s="275"/>
      <c r="H83" s="275"/>
      <c r="I83" s="275"/>
      <c r="J83" s="35">
        <f>J18+J31+J44+J57+J82</f>
        <v>99281.817999999999</v>
      </c>
      <c r="K83" s="35">
        <f>K18+K31+K44+K57+K82</f>
        <v>412533.27200000006</v>
      </c>
      <c r="L83" s="35">
        <f>L18+L31+L44+L57+L82</f>
        <v>347486.36300000001</v>
      </c>
      <c r="M83" s="35">
        <f>M18+M31+M44+M57+M82</f>
        <v>148922.72700000001</v>
      </c>
      <c r="N83" s="38">
        <f>N18+N31+N44+N57+N82</f>
        <v>1008224.1799999999</v>
      </c>
      <c r="O83" s="36"/>
      <c r="Q83" s="18"/>
      <c r="R83" s="37"/>
    </row>
    <row r="84" spans="1:36" ht="21.95" customHeight="1" x14ac:dyDescent="0.2">
      <c r="A84" s="20"/>
      <c r="B84" s="20"/>
      <c r="C84" s="20"/>
      <c r="D84" s="20"/>
      <c r="E84" s="20"/>
      <c r="F84" s="20"/>
      <c r="G84" s="20"/>
      <c r="H84" s="20"/>
      <c r="I84" s="20"/>
      <c r="J84" s="19"/>
      <c r="K84" s="19"/>
      <c r="L84" s="19"/>
      <c r="M84" s="19"/>
      <c r="N84" s="19"/>
      <c r="O84" s="21"/>
      <c r="Q84" s="18"/>
      <c r="R84" s="19"/>
    </row>
    <row r="86" spans="1:36" ht="12.6" hidden="1" customHeight="1" x14ac:dyDescent="0.2"/>
    <row r="87" spans="1:36" ht="12.6" hidden="1" customHeight="1" x14ac:dyDescent="0.2">
      <c r="A87" s="1" t="s">
        <v>7</v>
      </c>
      <c r="B87" s="1" t="s">
        <v>110</v>
      </c>
    </row>
    <row r="88" spans="1:36" ht="12.6" hidden="1" customHeight="1" x14ac:dyDescent="0.2">
      <c r="G88" s="1" t="s">
        <v>23</v>
      </c>
    </row>
    <row r="89" spans="1:36" ht="12.6" hidden="1" customHeight="1" x14ac:dyDescent="0.2">
      <c r="A89" s="22" t="s">
        <v>111</v>
      </c>
      <c r="B89" s="22" t="s">
        <v>112</v>
      </c>
      <c r="C89" s="23"/>
      <c r="E89" s="24" t="s">
        <v>113</v>
      </c>
      <c r="F89" s="24"/>
      <c r="G89" s="24">
        <v>2</v>
      </c>
    </row>
    <row r="90" spans="1:36" ht="12.6" hidden="1" customHeight="1" x14ac:dyDescent="0.2">
      <c r="A90" s="22" t="s">
        <v>49</v>
      </c>
      <c r="B90" s="22">
        <v>814869</v>
      </c>
      <c r="C90" s="23"/>
      <c r="E90" s="24" t="s">
        <v>114</v>
      </c>
      <c r="F90" s="24"/>
      <c r="G90" s="24">
        <v>-5</v>
      </c>
    </row>
    <row r="91" spans="1:36" ht="12.6" hidden="1" customHeight="1" x14ac:dyDescent="0.2">
      <c r="A91" s="22" t="s">
        <v>77</v>
      </c>
      <c r="B91" s="22">
        <v>47589</v>
      </c>
      <c r="C91" s="23"/>
      <c r="E91" s="24" t="s">
        <v>115</v>
      </c>
      <c r="F91" s="24"/>
      <c r="G91" s="24">
        <v>-3</v>
      </c>
    </row>
    <row r="92" spans="1:36" ht="12.6" hidden="1" customHeight="1" x14ac:dyDescent="0.2">
      <c r="A92" s="22" t="s">
        <v>23</v>
      </c>
      <c r="B92" s="22">
        <v>2731487.162</v>
      </c>
      <c r="C92" s="23"/>
      <c r="E92" s="24" t="s">
        <v>116</v>
      </c>
      <c r="F92" s="24"/>
      <c r="G92" s="24">
        <v>0</v>
      </c>
    </row>
    <row r="93" spans="1:36" ht="12.6" hidden="1" customHeight="1" x14ac:dyDescent="0.2">
      <c r="A93" s="22" t="s">
        <v>117</v>
      </c>
      <c r="B93" s="22">
        <v>3593945.162</v>
      </c>
      <c r="C93" s="23"/>
      <c r="E93" s="24" t="s">
        <v>118</v>
      </c>
      <c r="F93" s="24"/>
      <c r="G93" s="24">
        <v>-3</v>
      </c>
    </row>
    <row r="94" spans="1:36" ht="12.95" hidden="1" customHeight="1" x14ac:dyDescent="0.2">
      <c r="A94" s="23"/>
      <c r="B94" s="23"/>
      <c r="C94" s="23"/>
      <c r="E94" s="24" t="s">
        <v>119</v>
      </c>
      <c r="F94" s="24"/>
      <c r="G94" s="24">
        <v>-9</v>
      </c>
    </row>
    <row r="95" spans="1:36" s="2" customFormat="1" x14ac:dyDescent="0.2">
      <c r="A95" s="23"/>
      <c r="B95" s="23"/>
      <c r="C95" s="23"/>
      <c r="D95" s="1"/>
      <c r="E95" s="1"/>
      <c r="F95" s="1"/>
      <c r="G95" s="1"/>
      <c r="H95" s="1"/>
      <c r="I95" s="1"/>
      <c r="J95" s="1"/>
      <c r="K95" s="1"/>
      <c r="L95" s="1"/>
      <c r="M95" s="1"/>
      <c r="N95" s="15"/>
      <c r="O95" s="15"/>
      <c r="P95" s="25"/>
      <c r="R95" s="1"/>
      <c r="S95" s="1"/>
      <c r="T95" s="1"/>
      <c r="U95" s="1"/>
      <c r="V95" s="1"/>
      <c r="W95" s="1"/>
      <c r="X95" s="1"/>
      <c r="Y95" s="1"/>
      <c r="Z95" s="1"/>
      <c r="AA95" s="1"/>
      <c r="AB95" s="1"/>
      <c r="AC95" s="1"/>
      <c r="AD95" s="1"/>
      <c r="AE95" s="1"/>
      <c r="AF95" s="1"/>
      <c r="AG95" s="1"/>
      <c r="AH95" s="1"/>
      <c r="AI95" s="1"/>
      <c r="AJ95" s="1"/>
    </row>
    <row r="96" spans="1:36" s="2" customFormat="1" x14ac:dyDescent="0.2">
      <c r="A96" s="26" t="s">
        <v>83</v>
      </c>
      <c r="B96" s="1"/>
      <c r="C96" s="1"/>
      <c r="D96" s="1"/>
      <c r="E96" s="1"/>
      <c r="F96" s="1"/>
      <c r="G96" s="1"/>
      <c r="H96" s="1"/>
      <c r="I96" s="1"/>
      <c r="J96" s="1"/>
      <c r="K96" s="1"/>
      <c r="L96" s="1"/>
      <c r="M96" s="1"/>
      <c r="N96" s="15"/>
      <c r="O96" s="15"/>
      <c r="P96" s="1"/>
      <c r="R96" s="1"/>
      <c r="S96" s="1"/>
      <c r="T96" s="1"/>
      <c r="U96" s="1"/>
      <c r="V96" s="1"/>
      <c r="W96" s="1"/>
      <c r="X96" s="1"/>
      <c r="Y96" s="1"/>
      <c r="Z96" s="1"/>
      <c r="AA96" s="1"/>
      <c r="AB96" s="1"/>
      <c r="AC96" s="1"/>
      <c r="AD96" s="1"/>
      <c r="AE96" s="1"/>
      <c r="AF96" s="1"/>
      <c r="AG96" s="1"/>
      <c r="AH96" s="1"/>
      <c r="AI96" s="1"/>
      <c r="AJ96" s="1"/>
    </row>
    <row r="97" spans="1:36" s="2" customFormat="1" x14ac:dyDescent="0.2">
      <c r="A97" s="26" t="s">
        <v>85</v>
      </c>
      <c r="B97" s="1"/>
      <c r="C97" s="1"/>
      <c r="D97" s="1"/>
      <c r="E97" s="1"/>
      <c r="F97" s="1"/>
      <c r="G97" s="1"/>
      <c r="H97" s="1"/>
      <c r="I97" s="1"/>
      <c r="J97" s="1"/>
      <c r="K97" s="1"/>
      <c r="L97" s="1"/>
      <c r="M97" s="1"/>
      <c r="N97" s="15"/>
      <c r="O97" s="15"/>
      <c r="P97" s="1"/>
      <c r="R97" s="1"/>
      <c r="S97" s="1"/>
      <c r="T97" s="1"/>
      <c r="U97" s="1"/>
      <c r="V97" s="1"/>
      <c r="W97" s="1"/>
      <c r="X97" s="1"/>
      <c r="Y97" s="1"/>
      <c r="Z97" s="1"/>
      <c r="AA97" s="1"/>
      <c r="AB97" s="1"/>
      <c r="AC97" s="1"/>
      <c r="AD97" s="1"/>
      <c r="AE97" s="1"/>
      <c r="AF97" s="1"/>
      <c r="AG97" s="1"/>
      <c r="AH97" s="1"/>
      <c r="AI97" s="1"/>
      <c r="AJ97" s="1"/>
    </row>
    <row r="98" spans="1:36" s="2" customFormat="1" x14ac:dyDescent="0.2">
      <c r="A98" s="27" t="s">
        <v>87</v>
      </c>
      <c r="B98" s="1"/>
      <c r="C98" s="1"/>
      <c r="D98" s="1"/>
      <c r="E98" s="1"/>
      <c r="F98" s="1"/>
      <c r="G98" s="1"/>
      <c r="H98" s="1"/>
      <c r="I98" s="1"/>
      <c r="J98" s="1"/>
      <c r="K98" s="1"/>
      <c r="L98" s="1"/>
      <c r="M98" s="1"/>
      <c r="N98" s="1"/>
      <c r="O98" s="1"/>
      <c r="P98" s="1"/>
      <c r="R98" s="1"/>
      <c r="S98" s="1"/>
      <c r="T98" s="1"/>
      <c r="U98" s="1"/>
      <c r="V98" s="1"/>
      <c r="W98" s="1"/>
      <c r="X98" s="1"/>
      <c r="Y98" s="1"/>
      <c r="Z98" s="1"/>
      <c r="AA98" s="1"/>
      <c r="AB98" s="1"/>
      <c r="AC98" s="1"/>
      <c r="AD98" s="1"/>
      <c r="AE98" s="1"/>
      <c r="AF98" s="1"/>
      <c r="AG98" s="1"/>
      <c r="AH98" s="1"/>
      <c r="AI98" s="1"/>
      <c r="AJ98" s="1"/>
    </row>
    <row r="99" spans="1:36" s="2" customFormat="1" x14ac:dyDescent="0.2">
      <c r="A99" s="27" t="s">
        <v>88</v>
      </c>
      <c r="B99" s="1"/>
      <c r="C99" s="1"/>
      <c r="D99" s="1"/>
      <c r="E99" s="1"/>
      <c r="F99" s="1"/>
      <c r="G99" s="1"/>
      <c r="H99" s="1"/>
      <c r="I99" s="1"/>
      <c r="J99" s="1"/>
      <c r="K99" s="1"/>
      <c r="L99" s="1"/>
      <c r="M99" s="1"/>
      <c r="N99" s="1"/>
      <c r="O99" s="1"/>
      <c r="P99" s="1"/>
      <c r="R99" s="1"/>
      <c r="S99" s="1"/>
      <c r="T99" s="1"/>
      <c r="U99" s="1"/>
      <c r="V99" s="1"/>
      <c r="W99" s="1"/>
      <c r="X99" s="1"/>
      <c r="Y99" s="1"/>
      <c r="Z99" s="1"/>
      <c r="AA99" s="1"/>
      <c r="AB99" s="1"/>
      <c r="AC99" s="1"/>
      <c r="AD99" s="1"/>
      <c r="AE99" s="1"/>
      <c r="AF99" s="1"/>
      <c r="AG99" s="1"/>
      <c r="AH99" s="1"/>
      <c r="AI99" s="1"/>
      <c r="AJ99" s="1"/>
    </row>
    <row r="100" spans="1:36" s="2" customFormat="1" x14ac:dyDescent="0.2">
      <c r="A100" s="27" t="s">
        <v>89</v>
      </c>
      <c r="B100" s="1"/>
      <c r="C100" s="1"/>
      <c r="D100" s="1"/>
      <c r="E100" s="1"/>
      <c r="F100" s="1"/>
      <c r="G100" s="1"/>
      <c r="H100" s="1"/>
      <c r="I100" s="1"/>
      <c r="J100" s="1"/>
      <c r="K100" s="1"/>
      <c r="L100" s="1"/>
      <c r="M100" s="1"/>
      <c r="N100" s="1"/>
      <c r="O100" s="1"/>
      <c r="P100" s="1"/>
      <c r="R100" s="1"/>
      <c r="S100" s="1"/>
      <c r="T100" s="1"/>
      <c r="U100" s="1"/>
      <c r="V100" s="1"/>
      <c r="W100" s="1"/>
      <c r="X100" s="1"/>
      <c r="Y100" s="1"/>
      <c r="Z100" s="1"/>
      <c r="AA100" s="1"/>
      <c r="AB100" s="1"/>
      <c r="AC100" s="1"/>
      <c r="AD100" s="1"/>
      <c r="AE100" s="1"/>
      <c r="AF100" s="1"/>
      <c r="AG100" s="1"/>
      <c r="AH100" s="1"/>
      <c r="AI100" s="1"/>
      <c r="AJ100" s="1"/>
    </row>
    <row r="101" spans="1:36" s="2" customFormat="1" x14ac:dyDescent="0.2">
      <c r="A101" s="27" t="s">
        <v>90</v>
      </c>
      <c r="B101" s="1"/>
      <c r="C101" s="1"/>
      <c r="D101" s="1"/>
      <c r="E101" s="1"/>
      <c r="F101" s="1"/>
      <c r="G101" s="1"/>
      <c r="H101" s="1"/>
      <c r="I101" s="1"/>
      <c r="J101" s="1"/>
      <c r="K101" s="1"/>
      <c r="L101" s="1"/>
      <c r="M101" s="1"/>
      <c r="N101" s="1"/>
      <c r="O101" s="1"/>
      <c r="P101" s="1"/>
      <c r="R101" s="1"/>
      <c r="S101" s="1"/>
      <c r="T101" s="1"/>
      <c r="U101" s="1"/>
      <c r="V101" s="1"/>
      <c r="W101" s="1"/>
      <c r="X101" s="1"/>
      <c r="Y101" s="1"/>
      <c r="Z101" s="1"/>
      <c r="AA101" s="1"/>
      <c r="AB101" s="1"/>
      <c r="AC101" s="1"/>
      <c r="AD101" s="1"/>
      <c r="AE101" s="1"/>
      <c r="AF101" s="1"/>
      <c r="AG101" s="1"/>
      <c r="AH101" s="1"/>
      <c r="AI101" s="1"/>
      <c r="AJ101" s="1"/>
    </row>
    <row r="102" spans="1:36" s="2" customFormat="1" x14ac:dyDescent="0.2">
      <c r="A102" s="27" t="s">
        <v>91</v>
      </c>
      <c r="B102" s="1"/>
      <c r="C102" s="1"/>
      <c r="D102" s="1"/>
      <c r="E102" s="1"/>
      <c r="F102" s="1"/>
      <c r="G102" s="1"/>
      <c r="H102" s="1"/>
      <c r="I102" s="1"/>
      <c r="J102" s="1"/>
      <c r="K102" s="1"/>
      <c r="L102" s="1"/>
      <c r="M102" s="1"/>
      <c r="N102" s="1"/>
      <c r="O102" s="1"/>
      <c r="P102" s="1"/>
      <c r="R102" s="1"/>
      <c r="S102" s="1"/>
      <c r="T102" s="1"/>
      <c r="U102" s="1"/>
      <c r="V102" s="1"/>
      <c r="W102" s="1"/>
      <c r="X102" s="1"/>
      <c r="Y102" s="1"/>
      <c r="Z102" s="1"/>
      <c r="AA102" s="1"/>
      <c r="AB102" s="1"/>
      <c r="AC102" s="1"/>
      <c r="AD102" s="1"/>
      <c r="AE102" s="1"/>
      <c r="AF102" s="1"/>
      <c r="AG102" s="1"/>
      <c r="AH102" s="1"/>
      <c r="AI102" s="1"/>
      <c r="AJ102" s="1"/>
    </row>
    <row r="103" spans="1:36" s="2" customFormat="1" x14ac:dyDescent="0.2">
      <c r="A103" s="27" t="s">
        <v>92</v>
      </c>
      <c r="B103" s="1"/>
      <c r="C103" s="1"/>
      <c r="D103" s="1"/>
      <c r="E103" s="1"/>
      <c r="F103" s="1"/>
      <c r="G103" s="1"/>
      <c r="H103" s="1"/>
      <c r="I103" s="1"/>
      <c r="J103" s="1"/>
      <c r="K103" s="1"/>
      <c r="L103" s="1"/>
      <c r="M103" s="1"/>
      <c r="N103" s="1"/>
      <c r="O103" s="1"/>
      <c r="P103" s="1"/>
      <c r="R103" s="1"/>
      <c r="S103" s="1"/>
      <c r="T103" s="1"/>
      <c r="U103" s="1"/>
      <c r="V103" s="1"/>
      <c r="W103" s="1"/>
      <c r="X103" s="1"/>
      <c r="Y103" s="1"/>
      <c r="Z103" s="1"/>
      <c r="AA103" s="1"/>
      <c r="AB103" s="1"/>
      <c r="AC103" s="1"/>
      <c r="AD103" s="1"/>
      <c r="AE103" s="1"/>
      <c r="AF103" s="1"/>
      <c r="AG103" s="1"/>
      <c r="AH103" s="1"/>
      <c r="AI103" s="1"/>
      <c r="AJ103" s="1"/>
    </row>
    <row r="104" spans="1:36" s="2" customFormat="1" x14ac:dyDescent="0.2">
      <c r="A104" s="27" t="s">
        <v>93</v>
      </c>
      <c r="B104" s="1"/>
      <c r="C104" s="1"/>
      <c r="D104" s="1"/>
      <c r="E104" s="1"/>
      <c r="F104" s="1"/>
      <c r="G104" s="1"/>
      <c r="H104" s="1"/>
      <c r="I104" s="1"/>
      <c r="J104" s="1"/>
      <c r="K104" s="1"/>
      <c r="L104" s="1"/>
      <c r="M104" s="1"/>
      <c r="N104" s="1"/>
      <c r="O104" s="1"/>
      <c r="P104" s="1"/>
      <c r="R104" s="1"/>
      <c r="S104" s="1"/>
      <c r="T104" s="1"/>
      <c r="U104" s="1"/>
      <c r="V104" s="1"/>
      <c r="W104" s="1"/>
      <c r="X104" s="1"/>
      <c r="Y104" s="1"/>
      <c r="Z104" s="1"/>
      <c r="AA104" s="1"/>
      <c r="AB104" s="1"/>
      <c r="AC104" s="1"/>
      <c r="AD104" s="1"/>
      <c r="AE104" s="1"/>
      <c r="AF104" s="1"/>
      <c r="AG104" s="1"/>
      <c r="AH104" s="1"/>
      <c r="AI104" s="1"/>
      <c r="AJ104" s="1"/>
    </row>
    <row r="105" spans="1:36" s="2" customFormat="1" x14ac:dyDescent="0.2">
      <c r="A105" s="27" t="s">
        <v>94</v>
      </c>
      <c r="B105" s="1"/>
      <c r="C105" s="1"/>
      <c r="D105" s="1"/>
      <c r="E105" s="1"/>
      <c r="F105" s="1"/>
      <c r="G105" s="1"/>
      <c r="H105" s="1"/>
      <c r="I105" s="1"/>
      <c r="J105" s="1"/>
      <c r="K105" s="1"/>
      <c r="L105" s="1"/>
      <c r="M105" s="1"/>
      <c r="N105" s="1"/>
      <c r="O105" s="1"/>
      <c r="P105" s="1"/>
      <c r="R105" s="1"/>
      <c r="S105" s="1"/>
      <c r="T105" s="1"/>
      <c r="U105" s="1"/>
      <c r="V105" s="1"/>
      <c r="W105" s="1"/>
      <c r="X105" s="1"/>
      <c r="Y105" s="1"/>
      <c r="Z105" s="1"/>
      <c r="AA105" s="1"/>
      <c r="AB105" s="1"/>
      <c r="AC105" s="1"/>
      <c r="AD105" s="1"/>
      <c r="AE105" s="1"/>
      <c r="AF105" s="1"/>
      <c r="AG105" s="1"/>
      <c r="AH105" s="1"/>
      <c r="AI105" s="1"/>
      <c r="AJ105" s="1"/>
    </row>
    <row r="106" spans="1:36" s="2" customFormat="1" x14ac:dyDescent="0.2">
      <c r="A106" s="27" t="s">
        <v>95</v>
      </c>
      <c r="B106" s="1"/>
      <c r="C106" s="1"/>
      <c r="D106" s="1"/>
      <c r="E106" s="1"/>
      <c r="F106" s="1"/>
      <c r="G106" s="1"/>
      <c r="H106" s="1"/>
      <c r="I106" s="1"/>
      <c r="J106" s="1"/>
      <c r="K106" s="1"/>
      <c r="L106" s="1"/>
      <c r="M106" s="1"/>
      <c r="N106" s="1"/>
      <c r="O106" s="1"/>
      <c r="P106" s="1"/>
      <c r="R106" s="1"/>
      <c r="S106" s="1"/>
      <c r="T106" s="1"/>
      <c r="U106" s="1"/>
      <c r="V106" s="1"/>
      <c r="W106" s="1"/>
      <c r="X106" s="1"/>
      <c r="Y106" s="1"/>
      <c r="Z106" s="1"/>
      <c r="AA106" s="1"/>
      <c r="AB106" s="1"/>
      <c r="AC106" s="1"/>
      <c r="AD106" s="1"/>
      <c r="AE106" s="1"/>
      <c r="AF106" s="1"/>
      <c r="AG106" s="1"/>
      <c r="AH106" s="1"/>
      <c r="AI106" s="1"/>
      <c r="AJ106" s="1"/>
    </row>
    <row r="107" spans="1:36" s="2" customFormat="1" x14ac:dyDescent="0.2">
      <c r="A107" s="27" t="s">
        <v>96</v>
      </c>
      <c r="B107" s="1"/>
      <c r="C107" s="1"/>
      <c r="D107" s="1"/>
      <c r="E107" s="1"/>
      <c r="F107" s="1"/>
      <c r="G107" s="1"/>
      <c r="H107" s="1"/>
      <c r="I107" s="1"/>
      <c r="J107" s="1"/>
      <c r="K107" s="1"/>
      <c r="L107" s="1"/>
      <c r="M107" s="1"/>
      <c r="N107" s="1"/>
      <c r="O107" s="1"/>
      <c r="P107" s="1"/>
      <c r="R107" s="1"/>
      <c r="S107" s="1"/>
      <c r="T107" s="1"/>
      <c r="U107" s="1"/>
      <c r="V107" s="1"/>
      <c r="W107" s="1"/>
      <c r="X107" s="1"/>
      <c r="Y107" s="1"/>
      <c r="Z107" s="1"/>
      <c r="AA107" s="1"/>
      <c r="AB107" s="1"/>
      <c r="AC107" s="1"/>
      <c r="AD107" s="1"/>
      <c r="AE107" s="1"/>
      <c r="AF107" s="1"/>
      <c r="AG107" s="1"/>
      <c r="AH107" s="1"/>
      <c r="AI107" s="1"/>
      <c r="AJ107" s="1"/>
    </row>
    <row r="108" spans="1:36" s="2" customFormat="1" x14ac:dyDescent="0.2">
      <c r="A108" s="27" t="s">
        <v>97</v>
      </c>
      <c r="B108" s="1"/>
      <c r="C108" s="1"/>
      <c r="D108" s="1"/>
      <c r="E108" s="1"/>
      <c r="F108" s="1"/>
      <c r="G108" s="1"/>
      <c r="H108" s="1"/>
      <c r="I108" s="1"/>
      <c r="J108" s="1"/>
      <c r="K108" s="1"/>
      <c r="L108" s="1"/>
      <c r="M108" s="1"/>
      <c r="N108" s="1"/>
      <c r="O108" s="1"/>
      <c r="P108" s="1"/>
      <c r="R108" s="1"/>
      <c r="S108" s="1"/>
      <c r="T108" s="1"/>
      <c r="U108" s="1"/>
      <c r="V108" s="1"/>
      <c r="W108" s="1"/>
      <c r="X108" s="1"/>
      <c r="Y108" s="1"/>
      <c r="Z108" s="1"/>
      <c r="AA108" s="1"/>
      <c r="AB108" s="1"/>
      <c r="AC108" s="1"/>
      <c r="AD108" s="1"/>
      <c r="AE108" s="1"/>
      <c r="AF108" s="1"/>
      <c r="AG108" s="1"/>
      <c r="AH108" s="1"/>
      <c r="AI108" s="1"/>
      <c r="AJ108" s="1"/>
    </row>
    <row r="109" spans="1:36" s="2" customFormat="1" x14ac:dyDescent="0.2">
      <c r="A109" s="27" t="s">
        <v>98</v>
      </c>
      <c r="B109" s="1"/>
      <c r="C109" s="1"/>
      <c r="D109" s="1"/>
      <c r="E109" s="1"/>
      <c r="F109" s="1"/>
      <c r="G109" s="1"/>
      <c r="H109" s="1"/>
      <c r="I109" s="1"/>
      <c r="J109" s="1"/>
      <c r="K109" s="1"/>
      <c r="L109" s="1"/>
      <c r="M109" s="1"/>
      <c r="N109" s="1"/>
      <c r="O109" s="1"/>
      <c r="P109" s="1"/>
      <c r="R109" s="1"/>
      <c r="S109" s="1"/>
      <c r="T109" s="1"/>
      <c r="U109" s="1"/>
      <c r="V109" s="1"/>
      <c r="W109" s="1"/>
      <c r="X109" s="1"/>
      <c r="Y109" s="1"/>
      <c r="Z109" s="1"/>
      <c r="AA109" s="1"/>
      <c r="AB109" s="1"/>
      <c r="AC109" s="1"/>
      <c r="AD109" s="1"/>
      <c r="AE109" s="1"/>
      <c r="AF109" s="1"/>
      <c r="AG109" s="1"/>
      <c r="AH109" s="1"/>
      <c r="AI109" s="1"/>
      <c r="AJ109" s="1"/>
    </row>
    <row r="110" spans="1:36" s="2" customFormat="1" x14ac:dyDescent="0.2">
      <c r="A110" s="27" t="s">
        <v>99</v>
      </c>
      <c r="B110" s="1"/>
      <c r="C110" s="1"/>
      <c r="D110" s="1"/>
      <c r="E110" s="1"/>
      <c r="F110" s="1"/>
      <c r="G110" s="1"/>
      <c r="H110" s="1"/>
      <c r="I110" s="1"/>
      <c r="J110" s="1"/>
      <c r="K110" s="1"/>
      <c r="L110" s="1"/>
      <c r="M110" s="1"/>
      <c r="N110" s="1"/>
      <c r="O110" s="1"/>
      <c r="P110" s="1"/>
      <c r="R110" s="1"/>
      <c r="S110" s="1"/>
      <c r="T110" s="1"/>
      <c r="U110" s="1"/>
      <c r="V110" s="1"/>
      <c r="W110" s="1"/>
      <c r="X110" s="1"/>
      <c r="Y110" s="1"/>
      <c r="Z110" s="1"/>
      <c r="AA110" s="1"/>
      <c r="AB110" s="1"/>
      <c r="AC110" s="1"/>
      <c r="AD110" s="1"/>
      <c r="AE110" s="1"/>
      <c r="AF110" s="1"/>
      <c r="AG110" s="1"/>
      <c r="AH110" s="1"/>
      <c r="AI110" s="1"/>
      <c r="AJ110" s="1"/>
    </row>
    <row r="111" spans="1:36" x14ac:dyDescent="0.2">
      <c r="A111" s="27" t="s">
        <v>100</v>
      </c>
    </row>
    <row r="112" spans="1:36" x14ac:dyDescent="0.2">
      <c r="A112" s="27" t="s">
        <v>101</v>
      </c>
    </row>
    <row r="113" spans="1:1" x14ac:dyDescent="0.2">
      <c r="A113" s="27" t="s">
        <v>102</v>
      </c>
    </row>
    <row r="114" spans="1:1" x14ac:dyDescent="0.2">
      <c r="A114" s="27" t="s">
        <v>103</v>
      </c>
    </row>
    <row r="115" spans="1:1" x14ac:dyDescent="0.2">
      <c r="A115" s="27" t="s">
        <v>104</v>
      </c>
    </row>
    <row r="116" spans="1:1" x14ac:dyDescent="0.2">
      <c r="A116" s="27" t="s">
        <v>105</v>
      </c>
    </row>
  </sheetData>
  <sheetProtection formatCells="0" formatColumns="0" formatRows="0" insertColumns="0" insertRows="0" insertHyperlinks="0" deleteColumns="0" deleteRows="0" sort="0" autoFilter="0" pivotTables="0"/>
  <mergeCells count="72">
    <mergeCell ref="D13:D15"/>
    <mergeCell ref="E13:E15"/>
    <mergeCell ref="C16:I16"/>
    <mergeCell ref="B8:B11"/>
    <mergeCell ref="C8:C10"/>
    <mergeCell ref="D8:D10"/>
    <mergeCell ref="E8:E10"/>
    <mergeCell ref="C42:I42"/>
    <mergeCell ref="B17:I17"/>
    <mergeCell ref="A18:I18"/>
    <mergeCell ref="A19:A30"/>
    <mergeCell ref="B19:B23"/>
    <mergeCell ref="C19:C22"/>
    <mergeCell ref="D19:D22"/>
    <mergeCell ref="E19:E22"/>
    <mergeCell ref="C23:I23"/>
    <mergeCell ref="B24:I24"/>
    <mergeCell ref="B25:B29"/>
    <mergeCell ref="A8:A17"/>
    <mergeCell ref="C11:I11"/>
    <mergeCell ref="B12:I12"/>
    <mergeCell ref="B13:B16"/>
    <mergeCell ref="C13:C15"/>
    <mergeCell ref="C38:C41"/>
    <mergeCell ref="D38:D41"/>
    <mergeCell ref="C25:C28"/>
    <mergeCell ref="D25:D28"/>
    <mergeCell ref="E25:E28"/>
    <mergeCell ref="C29:I29"/>
    <mergeCell ref="B30:I30"/>
    <mergeCell ref="A31:I31"/>
    <mergeCell ref="E38:E41"/>
    <mergeCell ref="B43:I43"/>
    <mergeCell ref="A44:I44"/>
    <mergeCell ref="A45:A56"/>
    <mergeCell ref="B45:B49"/>
    <mergeCell ref="C45:C48"/>
    <mergeCell ref="D45:D48"/>
    <mergeCell ref="E45:E48"/>
    <mergeCell ref="C49:I49"/>
    <mergeCell ref="A32:A43"/>
    <mergeCell ref="B32:B36"/>
    <mergeCell ref="C32:C35"/>
    <mergeCell ref="D32:D35"/>
    <mergeCell ref="E32:E35"/>
    <mergeCell ref="C36:I36"/>
    <mergeCell ref="B37:I37"/>
    <mergeCell ref="B38:B42"/>
    <mergeCell ref="B69:I69"/>
    <mergeCell ref="B70:B80"/>
    <mergeCell ref="B50:I50"/>
    <mergeCell ref="B51:B55"/>
    <mergeCell ref="C51:C54"/>
    <mergeCell ref="D51:D54"/>
    <mergeCell ref="E51:E54"/>
    <mergeCell ref="C55:I55"/>
    <mergeCell ref="A83:I83"/>
    <mergeCell ref="A3:A5"/>
    <mergeCell ref="C70:C79"/>
    <mergeCell ref="D70:D79"/>
    <mergeCell ref="E70:E79"/>
    <mergeCell ref="C80:I80"/>
    <mergeCell ref="B81:I81"/>
    <mergeCell ref="A82:I82"/>
    <mergeCell ref="B56:I56"/>
    <mergeCell ref="A57:I57"/>
    <mergeCell ref="A58:A81"/>
    <mergeCell ref="B58:B68"/>
    <mergeCell ref="C58:C67"/>
    <mergeCell ref="D58:D67"/>
    <mergeCell ref="E58:E67"/>
    <mergeCell ref="C68:I6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C75E622-00F4-47A3-B88C-C65B77249A2B}">
          <x14:formula1>
            <xm:f>'2026 COB breakdown_Kris'!$A$5:$A$103</xm:f>
          </x14:formula1>
          <xm:sqref>A3</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15987-250E-4122-86B1-DD39032BBE08}">
  <dimension ref="A1:AK110"/>
  <sheetViews>
    <sheetView topLeftCell="F90" zoomScale="80" zoomScaleNormal="80" workbookViewId="0">
      <selection activeCell="S7" sqref="S7:S79"/>
    </sheetView>
  </sheetViews>
  <sheetFormatPr defaultColWidth="8.7109375" defaultRowHeight="15" customHeight="1" x14ac:dyDescent="0.2"/>
  <cols>
    <col min="1" max="1" width="8.42578125" style="22" customWidth="1"/>
    <col min="2" max="2" width="14.5703125" style="22" customWidth="1"/>
    <col min="3" max="3" width="14.42578125" style="22" customWidth="1"/>
    <col min="4" max="4" width="16.5703125" style="93" customWidth="1"/>
    <col min="5" max="5" width="15.85546875" style="93" customWidth="1"/>
    <col min="6" max="6" width="15.140625" style="93" bestFit="1" customWidth="1"/>
    <col min="7" max="7" width="13.85546875" style="94" bestFit="1" customWidth="1"/>
    <col min="8" max="8" width="15.140625" style="94" bestFit="1" customWidth="1"/>
    <col min="9" max="9" width="23" style="22" bestFit="1" customWidth="1"/>
    <col min="10" max="10" width="12.7109375" style="93" bestFit="1" customWidth="1"/>
    <col min="11" max="11" width="11.42578125" style="93" customWidth="1"/>
    <col min="12" max="12" width="18.5703125" style="22" customWidth="1"/>
    <col min="13" max="13" width="17.140625" style="95" customWidth="1"/>
    <col min="14" max="14" width="17.140625" style="22" bestFit="1" customWidth="1"/>
    <col min="15" max="15" width="19.7109375" style="22" customWidth="1"/>
    <col min="16" max="16" width="21.28515625" style="22" customWidth="1"/>
    <col min="17" max="17" width="13.42578125" style="22" bestFit="1" customWidth="1"/>
    <col min="18" max="18" width="12.5703125" style="22" customWidth="1"/>
    <col min="19" max="19" width="21.5703125" style="22" customWidth="1"/>
    <col min="20" max="20" width="11.85546875" style="22" customWidth="1"/>
    <col min="21" max="21" width="11.7109375" style="22" customWidth="1"/>
    <col min="22" max="22" width="13.85546875" style="22" customWidth="1"/>
    <col min="23" max="23" width="13" style="22" customWidth="1"/>
    <col min="24" max="25" width="11.42578125" style="22" customWidth="1"/>
    <col min="26" max="26" width="9.28515625" style="22" bestFit="1" customWidth="1"/>
    <col min="27" max="16384" width="8.7109375" style="22"/>
  </cols>
  <sheetData>
    <row r="1" spans="1:27" ht="12" x14ac:dyDescent="0.2"/>
    <row r="2" spans="1:27" ht="15" customHeight="1" x14ac:dyDescent="0.2">
      <c r="J2" s="281" t="s">
        <v>258</v>
      </c>
      <c r="K2" s="281" t="s">
        <v>259</v>
      </c>
      <c r="L2" s="279" t="s">
        <v>158</v>
      </c>
      <c r="M2" s="279"/>
      <c r="N2" s="279" t="s">
        <v>159</v>
      </c>
      <c r="O2" s="279"/>
      <c r="P2" s="279" t="s">
        <v>156</v>
      </c>
    </row>
    <row r="3" spans="1:27" x14ac:dyDescent="0.25">
      <c r="A3" t="s">
        <v>112</v>
      </c>
      <c r="B3"/>
      <c r="C3"/>
      <c r="D3" s="96" t="s">
        <v>260</v>
      </c>
      <c r="E3" s="96"/>
      <c r="F3" s="96"/>
      <c r="J3" s="281"/>
      <c r="K3" s="281"/>
      <c r="L3" s="106" t="s">
        <v>106</v>
      </c>
      <c r="M3" s="106" t="s">
        <v>261</v>
      </c>
      <c r="N3" s="106" t="s">
        <v>106</v>
      </c>
      <c r="O3" s="106" t="s">
        <v>261</v>
      </c>
      <c r="P3" s="279"/>
    </row>
    <row r="4" spans="1:27" s="98" customFormat="1" x14ac:dyDescent="0.25">
      <c r="A4" s="28" t="s">
        <v>121</v>
      </c>
      <c r="B4" s="28" t="s">
        <v>262</v>
      </c>
      <c r="C4" s="28" t="s">
        <v>122</v>
      </c>
      <c r="D4" s="97" t="s">
        <v>263</v>
      </c>
      <c r="E4" s="97" t="s">
        <v>264</v>
      </c>
      <c r="F4" s="97" t="s">
        <v>117</v>
      </c>
      <c r="G4" s="97" t="s">
        <v>265</v>
      </c>
      <c r="H4" s="97" t="s">
        <v>266</v>
      </c>
      <c r="J4" s="43" t="s">
        <v>267</v>
      </c>
      <c r="K4" s="43" t="s">
        <v>268</v>
      </c>
      <c r="L4" s="107"/>
      <c r="M4" s="107">
        <f>'OP8 part 1 analysis'!C11-SUM('country project'!M5:M103)</f>
        <v>14920726.91</v>
      </c>
      <c r="N4" s="107"/>
      <c r="O4" s="107">
        <f>'OP8 part 1 analysis'!D11-SUM(O5:O103)</f>
        <v>12882722.41</v>
      </c>
      <c r="P4" s="107">
        <f>SUM(L4:O4)</f>
        <v>27803449.32</v>
      </c>
      <c r="S4" s="99"/>
      <c r="Y4" s="99"/>
    </row>
    <row r="5" spans="1:27" x14ac:dyDescent="0.25">
      <c r="A5">
        <v>10168</v>
      </c>
      <c r="B5" t="s">
        <v>269</v>
      </c>
      <c r="C5" t="s">
        <v>157</v>
      </c>
      <c r="D5" s="96">
        <v>456818.18</v>
      </c>
      <c r="E5" s="96">
        <v>536000</v>
      </c>
      <c r="F5" s="96">
        <f>D5+E5</f>
        <v>992818.17999999993</v>
      </c>
      <c r="G5" s="96">
        <f>'2026 COB breakdown_Kris'!M5</f>
        <v>15406</v>
      </c>
      <c r="H5" s="96">
        <f>F5+G5</f>
        <v>1008224.1799999999</v>
      </c>
      <c r="J5" s="43" t="s">
        <v>157</v>
      </c>
      <c r="K5" s="43" t="s">
        <v>268</v>
      </c>
      <c r="L5" s="107">
        <f>D5</f>
        <v>456818.18</v>
      </c>
      <c r="M5" s="201">
        <f>'2026 COB breakdown_new'!Z6</f>
        <v>7088.65</v>
      </c>
      <c r="N5" s="107">
        <f>E5</f>
        <v>536000</v>
      </c>
      <c r="O5" s="107">
        <f>'2026 COB breakdown_new'!AL6</f>
        <v>8317.35</v>
      </c>
      <c r="P5" s="107">
        <f>SUM(L5:O5)</f>
        <v>1008224.18</v>
      </c>
      <c r="Q5" s="100"/>
      <c r="S5" s="100"/>
      <c r="V5" s="101"/>
      <c r="W5" s="101"/>
      <c r="X5" s="101"/>
    </row>
    <row r="6" spans="1:27" x14ac:dyDescent="0.25">
      <c r="A6">
        <v>10169</v>
      </c>
      <c r="B6" t="s">
        <v>270</v>
      </c>
      <c r="C6" t="s">
        <v>161</v>
      </c>
      <c r="D6" s="96">
        <v>456818.18</v>
      </c>
      <c r="E6" s="96">
        <v>67000</v>
      </c>
      <c r="F6" s="96">
        <f t="shared" ref="F6:F69" si="0">D6+E6</f>
        <v>523818.18</v>
      </c>
      <c r="G6" s="96">
        <f>'2026 COB breakdown_Kris'!M6</f>
        <v>25578.6</v>
      </c>
      <c r="H6" s="96">
        <f t="shared" ref="H6:H69" si="1">F6+G6</f>
        <v>549396.78</v>
      </c>
      <c r="J6" s="43" t="s">
        <v>161</v>
      </c>
      <c r="K6" s="43" t="s">
        <v>268</v>
      </c>
      <c r="L6" s="107">
        <f t="shared" ref="L6:L69" si="2">D6</f>
        <v>456818.18</v>
      </c>
      <c r="M6" s="201">
        <f>'2026 COB breakdown_new'!Z7</f>
        <v>22306.92</v>
      </c>
      <c r="N6" s="107">
        <f t="shared" ref="N6:N69" si="3">E6</f>
        <v>67000</v>
      </c>
      <c r="O6" s="107">
        <f>'2026 COB breakdown_new'!AL7</f>
        <v>3271.68</v>
      </c>
      <c r="P6" s="107">
        <f t="shared" ref="P6:P69" si="4">SUM(L6:O6)</f>
        <v>549396.78</v>
      </c>
      <c r="Q6" s="100"/>
      <c r="S6" s="100"/>
      <c r="T6" s="101"/>
      <c r="V6" s="101"/>
      <c r="W6" s="101"/>
      <c r="X6" s="101"/>
      <c r="Z6" s="101"/>
      <c r="AA6" s="102"/>
    </row>
    <row r="7" spans="1:27" ht="14.25" customHeight="1" x14ac:dyDescent="0.25">
      <c r="A7">
        <v>10170</v>
      </c>
      <c r="B7" t="s">
        <v>271</v>
      </c>
      <c r="C7" s="22" t="s">
        <v>162</v>
      </c>
      <c r="D7" s="96">
        <v>456818.18</v>
      </c>
      <c r="E7" s="96">
        <v>167500</v>
      </c>
      <c r="F7" s="96">
        <f t="shared" si="0"/>
        <v>624318.17999999993</v>
      </c>
      <c r="G7" s="96">
        <f>'2026 COB breakdown_Kris'!M7</f>
        <v>15045</v>
      </c>
      <c r="H7" s="96">
        <f t="shared" si="1"/>
        <v>639363.17999999993</v>
      </c>
      <c r="J7" s="43" t="s">
        <v>162</v>
      </c>
      <c r="K7" s="43" t="s">
        <v>268</v>
      </c>
      <c r="L7" s="107">
        <f t="shared" si="2"/>
        <v>456818.18</v>
      </c>
      <c r="M7" s="201">
        <f>'2026 COB breakdown_new'!Z8</f>
        <v>11008.54</v>
      </c>
      <c r="N7" s="107">
        <f t="shared" si="3"/>
        <v>167500</v>
      </c>
      <c r="O7" s="107">
        <f>'2026 COB breakdown_new'!AL8</f>
        <v>4036.46</v>
      </c>
      <c r="P7" s="107">
        <f t="shared" si="4"/>
        <v>639363.17999999993</v>
      </c>
      <c r="Q7" s="100"/>
      <c r="S7" s="100"/>
      <c r="V7" s="101"/>
      <c r="W7" s="101"/>
      <c r="X7" s="101"/>
    </row>
    <row r="8" spans="1:27" x14ac:dyDescent="0.25">
      <c r="A8">
        <v>10171</v>
      </c>
      <c r="B8" t="s">
        <v>272</v>
      </c>
      <c r="C8" t="s">
        <v>163</v>
      </c>
      <c r="D8" s="96">
        <v>456818.18</v>
      </c>
      <c r="E8" s="96">
        <v>850900</v>
      </c>
      <c r="F8" s="96">
        <f t="shared" si="0"/>
        <v>1307718.18</v>
      </c>
      <c r="G8" s="96">
        <f>'2026 COB breakdown_Kris'!M8</f>
        <v>60541.999999999993</v>
      </c>
      <c r="H8" s="96">
        <f t="shared" si="1"/>
        <v>1368260.18</v>
      </c>
      <c r="J8" s="43" t="s">
        <v>163</v>
      </c>
      <c r="K8" s="43" t="s">
        <v>268</v>
      </c>
      <c r="L8" s="107">
        <f t="shared" si="2"/>
        <v>456818.18</v>
      </c>
      <c r="M8" s="201">
        <f>'2026 COB breakdown_new'!Z9</f>
        <v>21148.809999999998</v>
      </c>
      <c r="N8" s="107">
        <f t="shared" si="3"/>
        <v>850900</v>
      </c>
      <c r="O8" s="107">
        <f>'2026 COB breakdown_new'!AL9</f>
        <v>39393.19</v>
      </c>
      <c r="P8" s="107">
        <f t="shared" si="4"/>
        <v>1368260.18</v>
      </c>
      <c r="Q8" s="100"/>
      <c r="S8" s="100"/>
      <c r="V8" s="101"/>
      <c r="W8" s="101"/>
      <c r="X8" s="101"/>
    </row>
    <row r="9" spans="1:27" x14ac:dyDescent="0.25">
      <c r="A9">
        <v>10172</v>
      </c>
      <c r="B9" t="s">
        <v>273</v>
      </c>
      <c r="C9" t="s">
        <v>164</v>
      </c>
      <c r="D9" s="96">
        <v>456818.18</v>
      </c>
      <c r="E9" s="96">
        <v>36515</v>
      </c>
      <c r="F9" s="96">
        <f t="shared" si="0"/>
        <v>493333.18</v>
      </c>
      <c r="G9" s="96">
        <f>'2026 COB breakdown_Kris'!M9</f>
        <v>28867.010000000002</v>
      </c>
      <c r="H9" s="96">
        <f t="shared" si="1"/>
        <v>522200.19</v>
      </c>
      <c r="J9" s="43" t="s">
        <v>164</v>
      </c>
      <c r="K9" s="43" t="s">
        <v>268</v>
      </c>
      <c r="L9" s="107">
        <f t="shared" si="2"/>
        <v>456818.18</v>
      </c>
      <c r="M9" s="201">
        <f>'2026 COB breakdown_new'!Z10</f>
        <v>26730.359999999997</v>
      </c>
      <c r="N9" s="107">
        <f t="shared" si="3"/>
        <v>36515</v>
      </c>
      <c r="O9" s="107">
        <f>'2026 COB breakdown_new'!AL10</f>
        <v>2136.65</v>
      </c>
      <c r="P9" s="107">
        <f t="shared" si="4"/>
        <v>522200.19</v>
      </c>
      <c r="Q9" s="100"/>
      <c r="S9" s="100"/>
      <c r="T9" s="101"/>
      <c r="V9" s="101"/>
      <c r="W9" s="101"/>
      <c r="X9" s="101"/>
      <c r="Z9" s="101"/>
      <c r="AA9" s="102"/>
    </row>
    <row r="10" spans="1:27" x14ac:dyDescent="0.25">
      <c r="A10">
        <v>10173</v>
      </c>
      <c r="B10" t="s">
        <v>274</v>
      </c>
      <c r="C10" t="s">
        <v>165</v>
      </c>
      <c r="D10" s="96">
        <v>456818.18</v>
      </c>
      <c r="E10" s="96">
        <v>641860</v>
      </c>
      <c r="F10" s="96">
        <f t="shared" si="0"/>
        <v>1098678.18</v>
      </c>
      <c r="G10" s="96">
        <f>'2026 COB breakdown_Kris'!M10</f>
        <v>42697.279999999992</v>
      </c>
      <c r="H10" s="96">
        <f t="shared" si="1"/>
        <v>1141375.46</v>
      </c>
      <c r="J10" s="43" t="s">
        <v>165</v>
      </c>
      <c r="K10" s="43" t="s">
        <v>268</v>
      </c>
      <c r="L10" s="107">
        <f t="shared" si="2"/>
        <v>456818.18</v>
      </c>
      <c r="M10" s="201">
        <f>'2026 COB breakdown_new'!Z11</f>
        <v>17753.05</v>
      </c>
      <c r="N10" s="107">
        <f t="shared" si="3"/>
        <v>641860</v>
      </c>
      <c r="O10" s="107">
        <f>'2026 COB breakdown_new'!AL11</f>
        <v>24944.23</v>
      </c>
      <c r="P10" s="107">
        <f t="shared" si="4"/>
        <v>1141375.46</v>
      </c>
      <c r="Q10" s="100"/>
      <c r="S10" s="100"/>
      <c r="V10" s="101"/>
      <c r="W10" s="101"/>
      <c r="X10" s="101"/>
    </row>
    <row r="11" spans="1:27" x14ac:dyDescent="0.25">
      <c r="A11">
        <v>10174</v>
      </c>
      <c r="B11" t="s">
        <v>275</v>
      </c>
      <c r="C11" t="s">
        <v>166</v>
      </c>
      <c r="D11" s="96">
        <v>456818.18</v>
      </c>
      <c r="E11" s="96">
        <v>134000</v>
      </c>
      <c r="F11" s="96">
        <f t="shared" si="0"/>
        <v>590818.17999999993</v>
      </c>
      <c r="G11" s="96">
        <f>'2026 COB breakdown_Kris'!M11</f>
        <v>20988.000000000004</v>
      </c>
      <c r="H11" s="96">
        <f t="shared" si="1"/>
        <v>611806.17999999993</v>
      </c>
      <c r="J11" s="43" t="s">
        <v>166</v>
      </c>
      <c r="K11" s="43" t="s">
        <v>268</v>
      </c>
      <c r="L11" s="107">
        <f t="shared" si="2"/>
        <v>456818.18</v>
      </c>
      <c r="M11" s="201">
        <f>'2026 COB breakdown_new'!Z12</f>
        <v>16227.84</v>
      </c>
      <c r="N11" s="107">
        <f t="shared" si="3"/>
        <v>134000</v>
      </c>
      <c r="O11" s="107">
        <f>'2026 COB breakdown_new'!AL12</f>
        <v>4760.16</v>
      </c>
      <c r="P11" s="107">
        <f t="shared" si="4"/>
        <v>611806.18000000005</v>
      </c>
      <c r="Q11" s="100"/>
      <c r="S11" s="100"/>
      <c r="T11" s="101"/>
      <c r="V11" s="101"/>
      <c r="W11" s="101"/>
      <c r="X11" s="101"/>
      <c r="Z11" s="101"/>
    </row>
    <row r="12" spans="1:27" x14ac:dyDescent="0.25">
      <c r="A12">
        <v>10175</v>
      </c>
      <c r="B12" t="s">
        <v>271</v>
      </c>
      <c r="C12" t="s">
        <v>167</v>
      </c>
      <c r="D12" s="96">
        <v>456818.18</v>
      </c>
      <c r="E12" s="96">
        <v>0</v>
      </c>
      <c r="F12" s="96">
        <f t="shared" si="0"/>
        <v>456818.18</v>
      </c>
      <c r="G12" s="96">
        <f>'2026 COB breakdown_Kris'!M12</f>
        <v>23386.2</v>
      </c>
      <c r="H12" s="96">
        <f t="shared" si="1"/>
        <v>480204.38</v>
      </c>
      <c r="J12" s="43" t="s">
        <v>167</v>
      </c>
      <c r="K12" s="43" t="s">
        <v>268</v>
      </c>
      <c r="L12" s="107">
        <f t="shared" si="2"/>
        <v>456818.18</v>
      </c>
      <c r="M12" s="201">
        <f>'2026 COB breakdown_new'!Z13</f>
        <v>23386.2</v>
      </c>
      <c r="N12" s="107">
        <f t="shared" si="3"/>
        <v>0</v>
      </c>
      <c r="O12" s="107">
        <f>'2026 COB breakdown_new'!AL13</f>
        <v>0</v>
      </c>
      <c r="P12" s="107">
        <f t="shared" si="4"/>
        <v>480204.38</v>
      </c>
      <c r="Q12" s="100"/>
      <c r="S12" s="100"/>
      <c r="V12" s="101"/>
      <c r="W12" s="101"/>
      <c r="X12" s="101"/>
    </row>
    <row r="13" spans="1:27" x14ac:dyDescent="0.25">
      <c r="A13">
        <v>10176</v>
      </c>
      <c r="B13" t="s">
        <v>276</v>
      </c>
      <c r="C13" t="s">
        <v>168</v>
      </c>
      <c r="D13" s="96">
        <v>456818.18</v>
      </c>
      <c r="E13" s="96">
        <v>536000</v>
      </c>
      <c r="F13" s="96">
        <f t="shared" si="0"/>
        <v>992818.17999999993</v>
      </c>
      <c r="G13" s="96">
        <f>'2026 COB breakdown_Kris'!M13</f>
        <v>42130.02</v>
      </c>
      <c r="H13" s="96">
        <f t="shared" si="1"/>
        <v>1034948.2</v>
      </c>
      <c r="J13" s="43" t="s">
        <v>168</v>
      </c>
      <c r="K13" s="43" t="s">
        <v>268</v>
      </c>
      <c r="L13" s="107">
        <f t="shared" si="2"/>
        <v>456818.18</v>
      </c>
      <c r="M13" s="201">
        <f>'2026 COB breakdown_new'!Z14</f>
        <v>19384.979999999996</v>
      </c>
      <c r="N13" s="107">
        <f t="shared" si="3"/>
        <v>536000</v>
      </c>
      <c r="O13" s="107">
        <f>'2026 COB breakdown_new'!AL14</f>
        <v>22745.040000000001</v>
      </c>
      <c r="P13" s="107">
        <f t="shared" si="4"/>
        <v>1034948.2</v>
      </c>
      <c r="Q13" s="100"/>
      <c r="R13" s="100"/>
      <c r="S13" s="100"/>
      <c r="V13" s="101"/>
      <c r="W13" s="101"/>
      <c r="X13" s="101"/>
    </row>
    <row r="14" spans="1:27" x14ac:dyDescent="0.25">
      <c r="A14">
        <v>10177</v>
      </c>
      <c r="B14" t="s">
        <v>277</v>
      </c>
      <c r="C14" t="s">
        <v>169</v>
      </c>
      <c r="D14" s="96">
        <v>456818.18</v>
      </c>
      <c r="E14" s="96">
        <v>422100</v>
      </c>
      <c r="F14" s="96">
        <f t="shared" si="0"/>
        <v>878918.17999999993</v>
      </c>
      <c r="G14" s="96">
        <f>'2026 COB breakdown_Kris'!M14</f>
        <v>22500</v>
      </c>
      <c r="H14" s="96">
        <f t="shared" si="1"/>
        <v>901418.17999999993</v>
      </c>
      <c r="J14" s="43" t="s">
        <v>169</v>
      </c>
      <c r="K14" s="43" t="s">
        <v>268</v>
      </c>
      <c r="L14" s="107">
        <f t="shared" si="2"/>
        <v>456818.18</v>
      </c>
      <c r="M14" s="201">
        <f>'2026 COB breakdown_new'!Z15</f>
        <v>11694.39</v>
      </c>
      <c r="N14" s="107">
        <f t="shared" si="3"/>
        <v>422100</v>
      </c>
      <c r="O14" s="107">
        <f>'2026 COB breakdown_new'!AL15</f>
        <v>10805.61</v>
      </c>
      <c r="P14" s="107">
        <f t="shared" si="4"/>
        <v>901418.18</v>
      </c>
      <c r="Q14" s="100"/>
      <c r="R14" s="100"/>
      <c r="S14" s="100"/>
      <c r="V14" s="101"/>
      <c r="W14" s="101"/>
      <c r="X14" s="101"/>
    </row>
    <row r="15" spans="1:27" x14ac:dyDescent="0.25">
      <c r="A15">
        <v>10178</v>
      </c>
      <c r="B15" t="s">
        <v>278</v>
      </c>
      <c r="C15" t="s">
        <v>170</v>
      </c>
      <c r="D15" s="96">
        <v>456818.18</v>
      </c>
      <c r="E15" s="96">
        <v>0</v>
      </c>
      <c r="F15" s="96">
        <f t="shared" si="0"/>
        <v>456818.18</v>
      </c>
      <c r="G15" s="96">
        <f>'2026 COB breakdown_Kris'!M15</f>
        <v>14652.6</v>
      </c>
      <c r="H15" s="96">
        <f t="shared" si="1"/>
        <v>471470.77999999997</v>
      </c>
      <c r="J15" s="43" t="s">
        <v>170</v>
      </c>
      <c r="K15" s="43" t="s">
        <v>268</v>
      </c>
      <c r="L15" s="107">
        <f t="shared" si="2"/>
        <v>456818.18</v>
      </c>
      <c r="M15" s="201">
        <f>'2026 COB breakdown_new'!Z16</f>
        <v>14652.6</v>
      </c>
      <c r="N15" s="107">
        <f t="shared" si="3"/>
        <v>0</v>
      </c>
      <c r="O15" s="107">
        <f>'2026 COB breakdown_new'!AL16</f>
        <v>0</v>
      </c>
      <c r="P15" s="107">
        <f t="shared" si="4"/>
        <v>471470.77999999997</v>
      </c>
      <c r="Q15" s="100"/>
      <c r="S15" s="100"/>
      <c r="T15" s="101"/>
      <c r="V15" s="101"/>
      <c r="X15" s="101"/>
      <c r="Z15" s="101"/>
      <c r="AA15" s="102"/>
    </row>
    <row r="16" spans="1:27" x14ac:dyDescent="0.25">
      <c r="A16">
        <v>10179</v>
      </c>
      <c r="B16" t="s">
        <v>279</v>
      </c>
      <c r="C16" t="s">
        <v>171</v>
      </c>
      <c r="D16" s="96">
        <v>456818.18</v>
      </c>
      <c r="E16" s="96">
        <v>0</v>
      </c>
      <c r="F16" s="96">
        <f t="shared" si="0"/>
        <v>456818.18</v>
      </c>
      <c r="G16" s="96">
        <f>'2026 COB breakdown_Kris'!M16</f>
        <v>33750</v>
      </c>
      <c r="H16" s="96">
        <f t="shared" si="1"/>
        <v>490568.18</v>
      </c>
      <c r="J16" s="43" t="s">
        <v>171</v>
      </c>
      <c r="K16" s="43" t="s">
        <v>268</v>
      </c>
      <c r="L16" s="107">
        <f t="shared" si="2"/>
        <v>456818.18</v>
      </c>
      <c r="M16" s="201">
        <f>'2026 COB breakdown_new'!Z17</f>
        <v>33750</v>
      </c>
      <c r="N16" s="107">
        <f t="shared" si="3"/>
        <v>0</v>
      </c>
      <c r="O16" s="107">
        <f>'2026 COB breakdown_new'!AL17</f>
        <v>0</v>
      </c>
      <c r="P16" s="107">
        <f t="shared" si="4"/>
        <v>490568.18</v>
      </c>
      <c r="Q16" s="100"/>
      <c r="S16" s="100"/>
      <c r="T16" s="101"/>
      <c r="V16" s="101"/>
      <c r="W16" s="101"/>
      <c r="X16" s="101"/>
      <c r="Z16" s="101"/>
      <c r="AA16" s="102"/>
    </row>
    <row r="17" spans="1:27" x14ac:dyDescent="0.25">
      <c r="A17">
        <v>10180</v>
      </c>
      <c r="B17" t="s">
        <v>280</v>
      </c>
      <c r="C17" t="s">
        <v>126</v>
      </c>
      <c r="D17" s="96">
        <v>456818.18</v>
      </c>
      <c r="E17" s="96">
        <v>2680000</v>
      </c>
      <c r="F17" s="96">
        <f t="shared" si="0"/>
        <v>3136818.18</v>
      </c>
      <c r="G17" s="96"/>
      <c r="H17" s="96"/>
      <c r="J17" s="43" t="s">
        <v>126</v>
      </c>
      <c r="K17" s="43" t="s">
        <v>268</v>
      </c>
      <c r="L17" s="107">
        <f t="shared" si="2"/>
        <v>456818.18</v>
      </c>
      <c r="M17" s="201">
        <f>RPA_Kris!B5</f>
        <v>50000</v>
      </c>
      <c r="N17" s="107">
        <f t="shared" si="3"/>
        <v>2680000</v>
      </c>
      <c r="O17" s="107">
        <f>RPA_Kris!B6</f>
        <v>928310</v>
      </c>
      <c r="P17" s="107">
        <f t="shared" si="4"/>
        <v>4115128.18</v>
      </c>
      <c r="Q17" s="100"/>
      <c r="S17" s="100"/>
      <c r="T17" s="101"/>
      <c r="V17" s="101"/>
      <c r="W17" s="101"/>
      <c r="X17" s="101"/>
      <c r="Z17" s="101"/>
      <c r="AA17" s="102"/>
    </row>
    <row r="18" spans="1:27" x14ac:dyDescent="0.25">
      <c r="A18">
        <v>10181</v>
      </c>
      <c r="B18" t="s">
        <v>281</v>
      </c>
      <c r="C18" t="s">
        <v>172</v>
      </c>
      <c r="D18" s="96">
        <v>456818.18</v>
      </c>
      <c r="E18" s="96">
        <v>920484.19</v>
      </c>
      <c r="F18" s="96">
        <f t="shared" si="0"/>
        <v>1377302.3699999999</v>
      </c>
      <c r="G18" s="96">
        <f>'2026 COB breakdown_Kris'!M18</f>
        <v>33928.009999999995</v>
      </c>
      <c r="H18" s="96">
        <f t="shared" si="1"/>
        <v>1411230.38</v>
      </c>
      <c r="J18" s="43" t="s">
        <v>172</v>
      </c>
      <c r="K18" s="43" t="s">
        <v>268</v>
      </c>
      <c r="L18" s="107">
        <f t="shared" si="2"/>
        <v>456818.18</v>
      </c>
      <c r="M18" s="201">
        <f>'2026 COB breakdown_new'!Z19</f>
        <v>11253.11</v>
      </c>
      <c r="N18" s="107">
        <f t="shared" si="3"/>
        <v>920484.19</v>
      </c>
      <c r="O18" s="107">
        <f>'2026 COB breakdown_new'!AL19</f>
        <v>22674.9</v>
      </c>
      <c r="P18" s="107">
        <f t="shared" si="4"/>
        <v>1411230.38</v>
      </c>
      <c r="Q18" s="100"/>
      <c r="S18" s="100"/>
      <c r="T18" s="101"/>
      <c r="V18" s="101"/>
      <c r="W18" s="101"/>
      <c r="X18" s="101"/>
      <c r="Z18" s="101"/>
      <c r="AA18" s="102"/>
    </row>
    <row r="19" spans="1:27" x14ac:dyDescent="0.25">
      <c r="A19">
        <v>10182</v>
      </c>
      <c r="B19" t="s">
        <v>282</v>
      </c>
      <c r="C19" t="s">
        <v>173</v>
      </c>
      <c r="D19" s="96">
        <v>456818.18</v>
      </c>
      <c r="E19" s="96">
        <v>268000</v>
      </c>
      <c r="F19" s="96">
        <f t="shared" si="0"/>
        <v>724818.17999999993</v>
      </c>
      <c r="G19" s="96">
        <f>'2026 COB breakdown_Kris'!M19</f>
        <v>35173.5</v>
      </c>
      <c r="H19" s="96">
        <f t="shared" si="1"/>
        <v>759991.67999999993</v>
      </c>
      <c r="J19" s="43" t="s">
        <v>173</v>
      </c>
      <c r="K19" s="43" t="s">
        <v>268</v>
      </c>
      <c r="L19" s="107">
        <f t="shared" si="2"/>
        <v>456818.18</v>
      </c>
      <c r="M19" s="201">
        <f>'2026 COB breakdown_new'!Z20</f>
        <v>22168.17</v>
      </c>
      <c r="N19" s="107">
        <f t="shared" si="3"/>
        <v>268000</v>
      </c>
      <c r="O19" s="107">
        <f>'2026 COB breakdown_new'!AL20</f>
        <v>13005.33</v>
      </c>
      <c r="P19" s="107">
        <f t="shared" si="4"/>
        <v>759991.67999999993</v>
      </c>
      <c r="Q19" s="100"/>
      <c r="S19" s="100"/>
      <c r="V19" s="101"/>
      <c r="W19" s="101"/>
      <c r="X19" s="101"/>
    </row>
    <row r="20" spans="1:27" x14ac:dyDescent="0.25">
      <c r="A20">
        <v>10183</v>
      </c>
      <c r="B20" t="s">
        <v>283</v>
      </c>
      <c r="C20" t="s">
        <v>174</v>
      </c>
      <c r="D20" s="96">
        <v>456818.18</v>
      </c>
      <c r="E20" s="96">
        <v>636500</v>
      </c>
      <c r="F20" s="96">
        <f t="shared" si="0"/>
        <v>1093318.18</v>
      </c>
      <c r="G20" s="96">
        <f>'2026 COB breakdown_Kris'!M20</f>
        <v>23048.000000000004</v>
      </c>
      <c r="H20" s="96">
        <f t="shared" si="1"/>
        <v>1116366.18</v>
      </c>
      <c r="J20" s="43" t="s">
        <v>174</v>
      </c>
      <c r="K20" s="43" t="s">
        <v>268</v>
      </c>
      <c r="L20" s="107">
        <f t="shared" si="2"/>
        <v>456818.18</v>
      </c>
      <c r="M20" s="201">
        <f>'2026 COB breakdown_new'!Z21</f>
        <v>9630.08</v>
      </c>
      <c r="N20" s="107">
        <f t="shared" si="3"/>
        <v>636500</v>
      </c>
      <c r="O20" s="107">
        <f>'2026 COB breakdown_new'!AL21</f>
        <v>13417.92</v>
      </c>
      <c r="P20" s="107">
        <f t="shared" si="4"/>
        <v>1116366.18</v>
      </c>
      <c r="Q20" s="100"/>
      <c r="S20" s="100"/>
      <c r="V20" s="101"/>
      <c r="W20" s="101"/>
      <c r="X20" s="101"/>
    </row>
    <row r="21" spans="1:27" x14ac:dyDescent="0.25">
      <c r="A21">
        <v>10184</v>
      </c>
      <c r="B21" t="s">
        <v>284</v>
      </c>
      <c r="C21" t="s">
        <v>175</v>
      </c>
      <c r="D21" s="96">
        <v>456818.18</v>
      </c>
      <c r="E21" s="96">
        <v>60361.64</v>
      </c>
      <c r="F21" s="96">
        <f t="shared" si="0"/>
        <v>517179.82</v>
      </c>
      <c r="G21" s="96">
        <f>'2026 COB breakdown_Kris'!M21</f>
        <v>24487.5</v>
      </c>
      <c r="H21" s="96">
        <f t="shared" si="1"/>
        <v>541667.32000000007</v>
      </c>
      <c r="J21" s="43" t="s">
        <v>175</v>
      </c>
      <c r="K21" s="43" t="s">
        <v>268</v>
      </c>
      <c r="L21" s="107">
        <f t="shared" si="2"/>
        <v>456818.18</v>
      </c>
      <c r="M21" s="201">
        <f>'2026 COB breakdown_new'!Z22</f>
        <v>21629.489999999998</v>
      </c>
      <c r="N21" s="107">
        <f t="shared" si="3"/>
        <v>60361.64</v>
      </c>
      <c r="O21" s="107">
        <f>'2026 COB breakdown_new'!AL22</f>
        <v>2858.01</v>
      </c>
      <c r="P21" s="107">
        <f t="shared" si="4"/>
        <v>541667.31999999995</v>
      </c>
      <c r="Q21" s="100"/>
      <c r="S21" s="100"/>
      <c r="T21" s="101"/>
      <c r="V21" s="101"/>
      <c r="W21" s="101"/>
      <c r="X21" s="101"/>
      <c r="Z21" s="101"/>
      <c r="AA21" s="102"/>
    </row>
    <row r="22" spans="1:27" x14ac:dyDescent="0.25">
      <c r="A22">
        <v>10185</v>
      </c>
      <c r="B22" t="s">
        <v>285</v>
      </c>
      <c r="C22" t="s">
        <v>177</v>
      </c>
      <c r="D22" s="96">
        <v>456818.18</v>
      </c>
      <c r="E22" s="96">
        <v>469000</v>
      </c>
      <c r="F22" s="96">
        <f t="shared" si="0"/>
        <v>925818.17999999993</v>
      </c>
      <c r="G22" s="96">
        <f>'2026 COB breakdown_Kris'!M22</f>
        <v>19941</v>
      </c>
      <c r="H22" s="96">
        <f t="shared" si="1"/>
        <v>945759.17999999993</v>
      </c>
      <c r="J22" s="43" t="s">
        <v>177</v>
      </c>
      <c r="K22" s="43" t="s">
        <v>268</v>
      </c>
      <c r="L22" s="107">
        <f t="shared" si="2"/>
        <v>456818.18</v>
      </c>
      <c r="M22" s="201">
        <f>'2026 COB breakdown_new'!Z23</f>
        <v>9839.31</v>
      </c>
      <c r="N22" s="107">
        <f t="shared" si="3"/>
        <v>469000</v>
      </c>
      <c r="O22" s="107">
        <f>'2026 COB breakdown_new'!AL23</f>
        <v>10101.69</v>
      </c>
      <c r="P22" s="107">
        <f t="shared" si="4"/>
        <v>945759.17999999993</v>
      </c>
      <c r="Q22" s="100"/>
      <c r="S22" s="100"/>
      <c r="V22" s="101"/>
      <c r="W22" s="101"/>
      <c r="X22" s="101"/>
    </row>
    <row r="23" spans="1:27" ht="15.75" customHeight="1" x14ac:dyDescent="0.25">
      <c r="A23">
        <v>10186</v>
      </c>
      <c r="B23" t="s">
        <v>286</v>
      </c>
      <c r="C23" t="s">
        <v>178</v>
      </c>
      <c r="D23" s="96">
        <v>456818.18</v>
      </c>
      <c r="E23" s="96">
        <v>595392.15</v>
      </c>
      <c r="F23" s="96">
        <f t="shared" si="0"/>
        <v>1052210.33</v>
      </c>
      <c r="G23" s="96">
        <f>'2026 COB breakdown_Kris'!M23</f>
        <v>31286.400000000001</v>
      </c>
      <c r="H23" s="96">
        <f t="shared" si="1"/>
        <v>1083496.73</v>
      </c>
      <c r="J23" s="43" t="s">
        <v>178</v>
      </c>
      <c r="K23" s="43" t="s">
        <v>268</v>
      </c>
      <c r="L23" s="107">
        <f t="shared" si="2"/>
        <v>456818.18</v>
      </c>
      <c r="M23" s="201">
        <f>'2026 COB breakdown_new'!Z24</f>
        <v>13583.02</v>
      </c>
      <c r="N23" s="107">
        <f t="shared" si="3"/>
        <v>595392.15</v>
      </c>
      <c r="O23" s="107">
        <f>'2026 COB breakdown_new'!AL24</f>
        <v>17703.38</v>
      </c>
      <c r="P23" s="107">
        <f t="shared" si="4"/>
        <v>1083496.73</v>
      </c>
      <c r="Q23" s="100"/>
      <c r="R23" s="100"/>
      <c r="S23" s="100"/>
      <c r="V23" s="101"/>
      <c r="W23" s="101"/>
      <c r="X23" s="101"/>
    </row>
    <row r="24" spans="1:27" x14ac:dyDescent="0.25">
      <c r="A24">
        <v>10187</v>
      </c>
      <c r="B24" t="s">
        <v>287</v>
      </c>
      <c r="C24" t="s">
        <v>179</v>
      </c>
      <c r="D24" s="96">
        <v>456818.18</v>
      </c>
      <c r="E24" s="96">
        <v>1340000</v>
      </c>
      <c r="F24" s="96">
        <f t="shared" si="0"/>
        <v>1796818.18</v>
      </c>
      <c r="G24" s="96">
        <f>'2026 COB breakdown_Kris'!M24</f>
        <v>48477</v>
      </c>
      <c r="H24" s="96">
        <f t="shared" si="1"/>
        <v>1845295.18</v>
      </c>
      <c r="J24" s="43" t="s">
        <v>179</v>
      </c>
      <c r="K24" s="43" t="s">
        <v>268</v>
      </c>
      <c r="L24" s="107">
        <f t="shared" si="2"/>
        <v>456818.18</v>
      </c>
      <c r="M24" s="201">
        <f>'2026 COB breakdown_new'!Z25</f>
        <v>12324.660000000003</v>
      </c>
      <c r="N24" s="107">
        <f t="shared" si="3"/>
        <v>1340000</v>
      </c>
      <c r="O24" s="107">
        <f>'2026 COB breakdown_new'!AL25</f>
        <v>36152.339999999997</v>
      </c>
      <c r="P24" s="107">
        <f t="shared" si="4"/>
        <v>1845295.18</v>
      </c>
      <c r="Q24" s="100"/>
      <c r="R24" s="100"/>
      <c r="S24" s="100"/>
      <c r="V24" s="101"/>
      <c r="W24" s="101"/>
    </row>
    <row r="25" spans="1:27" x14ac:dyDescent="0.25">
      <c r="A25">
        <v>10188</v>
      </c>
      <c r="B25" t="s">
        <v>288</v>
      </c>
      <c r="C25" t="s">
        <v>180</v>
      </c>
      <c r="D25" s="96">
        <v>456818.18</v>
      </c>
      <c r="E25" s="96">
        <v>541215.28</v>
      </c>
      <c r="F25" s="96">
        <f t="shared" si="0"/>
        <v>998033.46</v>
      </c>
      <c r="G25" s="96">
        <f>'2026 COB breakdown_Kris'!M25</f>
        <v>26729</v>
      </c>
      <c r="H25" s="96">
        <f t="shared" si="1"/>
        <v>1024762.46</v>
      </c>
      <c r="J25" s="43" t="s">
        <v>180</v>
      </c>
      <c r="K25" s="43" t="s">
        <v>268</v>
      </c>
      <c r="L25" s="107">
        <f t="shared" si="2"/>
        <v>456818.18</v>
      </c>
      <c r="M25" s="201">
        <f>'2026 COB breakdown_new'!Z26</f>
        <v>12234.35</v>
      </c>
      <c r="N25" s="107">
        <f t="shared" si="3"/>
        <v>541215.28</v>
      </c>
      <c r="O25" s="107">
        <f>'2026 COB breakdown_new'!AL26</f>
        <v>14494.65</v>
      </c>
      <c r="P25" s="107">
        <f t="shared" si="4"/>
        <v>1024762.4600000001</v>
      </c>
      <c r="Q25" s="100"/>
      <c r="S25" s="100"/>
      <c r="T25" s="101"/>
      <c r="V25" s="101"/>
      <c r="W25" s="101"/>
      <c r="X25" s="101"/>
      <c r="Z25" s="101"/>
      <c r="AA25" s="102"/>
    </row>
    <row r="26" spans="1:27" x14ac:dyDescent="0.25">
      <c r="A26">
        <v>10189</v>
      </c>
      <c r="B26" t="s">
        <v>289</v>
      </c>
      <c r="C26" s="22" t="s">
        <v>181</v>
      </c>
      <c r="D26" s="96">
        <v>456818.18</v>
      </c>
      <c r="E26" s="96">
        <v>327630</v>
      </c>
      <c r="F26" s="96">
        <f t="shared" si="0"/>
        <v>784448.17999999993</v>
      </c>
      <c r="G26" s="96">
        <f>'2026 COB breakdown_Kris'!M26</f>
        <v>11851</v>
      </c>
      <c r="H26" s="96">
        <f t="shared" si="1"/>
        <v>796299.17999999993</v>
      </c>
      <c r="J26" s="43" t="s">
        <v>181</v>
      </c>
      <c r="K26" s="43" t="s">
        <v>268</v>
      </c>
      <c r="L26" s="107">
        <f t="shared" si="2"/>
        <v>456818.18</v>
      </c>
      <c r="M26" s="201">
        <f>'2026 COB breakdown_new'!Z27</f>
        <v>6901.35</v>
      </c>
      <c r="N26" s="107">
        <f t="shared" si="3"/>
        <v>327630</v>
      </c>
      <c r="O26" s="107">
        <f>'2026 COB breakdown_new'!AL27</f>
        <v>4949.6499999999996</v>
      </c>
      <c r="P26" s="107">
        <f t="shared" si="4"/>
        <v>796299.18</v>
      </c>
      <c r="Q26" s="100"/>
      <c r="R26" s="100"/>
      <c r="S26" s="100"/>
      <c r="V26" s="101"/>
      <c r="W26" s="101"/>
      <c r="X26" s="101"/>
    </row>
    <row r="27" spans="1:27" ht="15.75" customHeight="1" x14ac:dyDescent="0.25">
      <c r="A27">
        <v>10190</v>
      </c>
      <c r="B27" t="s">
        <v>290</v>
      </c>
      <c r="C27" s="22" t="s">
        <v>182</v>
      </c>
      <c r="D27" s="96">
        <v>456818.18</v>
      </c>
      <c r="E27" s="96">
        <v>359419.49</v>
      </c>
      <c r="F27" s="96">
        <f t="shared" si="0"/>
        <v>816237.66999999993</v>
      </c>
      <c r="G27" s="96">
        <f>'2026 COB breakdown_Kris'!M27</f>
        <v>23154</v>
      </c>
      <c r="H27" s="96">
        <f t="shared" si="1"/>
        <v>839391.66999999993</v>
      </c>
      <c r="J27" s="43" t="s">
        <v>182</v>
      </c>
      <c r="K27" s="43" t="s">
        <v>268</v>
      </c>
      <c r="L27" s="107">
        <f t="shared" si="2"/>
        <v>456818.18</v>
      </c>
      <c r="M27" s="201">
        <f>'2026 COB breakdown_new'!Z28</f>
        <v>12958.44</v>
      </c>
      <c r="N27" s="107">
        <f t="shared" si="3"/>
        <v>359419.49</v>
      </c>
      <c r="O27" s="107">
        <f>'2026 COB breakdown_new'!AL28</f>
        <v>10195.56</v>
      </c>
      <c r="P27" s="107">
        <f t="shared" si="4"/>
        <v>839391.67</v>
      </c>
      <c r="Q27" s="100"/>
      <c r="S27" s="100"/>
      <c r="T27" s="101"/>
      <c r="V27" s="101"/>
      <c r="W27" s="101"/>
      <c r="X27" s="101"/>
      <c r="Z27" s="101"/>
      <c r="AA27" s="102"/>
    </row>
    <row r="28" spans="1:27" x14ac:dyDescent="0.25">
      <c r="A28">
        <v>10191</v>
      </c>
      <c r="B28" t="s">
        <v>291</v>
      </c>
      <c r="C28" t="s">
        <v>183</v>
      </c>
      <c r="D28" s="96">
        <v>456818.18</v>
      </c>
      <c r="E28" s="96">
        <v>817155.45</v>
      </c>
      <c r="F28" s="96">
        <f t="shared" si="0"/>
        <v>1273973.6299999999</v>
      </c>
      <c r="G28" s="96">
        <f>'2026 COB breakdown_Kris'!M28</f>
        <v>29471.81</v>
      </c>
      <c r="H28" s="96">
        <f t="shared" si="1"/>
        <v>1303445.44</v>
      </c>
      <c r="J28" s="43" t="s">
        <v>183</v>
      </c>
      <c r="K28" s="43" t="s">
        <v>268</v>
      </c>
      <c r="L28" s="107">
        <f t="shared" si="2"/>
        <v>456818.18</v>
      </c>
      <c r="M28" s="201">
        <f>'2026 COB breakdown_new'!Z29</f>
        <v>10567.93</v>
      </c>
      <c r="N28" s="107">
        <f t="shared" si="3"/>
        <v>817155.45</v>
      </c>
      <c r="O28" s="107">
        <f>'2026 COB breakdown_new'!AL29</f>
        <v>18903.88</v>
      </c>
      <c r="P28" s="107">
        <f t="shared" si="4"/>
        <v>1303445.44</v>
      </c>
      <c r="Q28" s="100"/>
      <c r="S28" s="100"/>
      <c r="T28" s="101"/>
      <c r="V28" s="101"/>
      <c r="W28" s="101"/>
      <c r="X28" s="101"/>
      <c r="Z28" s="101"/>
      <c r="AA28" s="102"/>
    </row>
    <row r="29" spans="1:27" x14ac:dyDescent="0.25">
      <c r="A29">
        <v>10192</v>
      </c>
      <c r="B29" t="s">
        <v>292</v>
      </c>
      <c r="C29" t="s">
        <v>184</v>
      </c>
      <c r="D29" s="96">
        <v>456818.18</v>
      </c>
      <c r="E29" s="96">
        <v>861445.8</v>
      </c>
      <c r="F29" s="96">
        <f t="shared" si="0"/>
        <v>1318263.98</v>
      </c>
      <c r="G29" s="96">
        <f>'2026 COB breakdown_Kris'!M29</f>
        <v>33060</v>
      </c>
      <c r="H29" s="96">
        <f t="shared" si="1"/>
        <v>1351323.98</v>
      </c>
      <c r="J29" s="43" t="s">
        <v>184</v>
      </c>
      <c r="K29" s="43" t="s">
        <v>268</v>
      </c>
      <c r="L29" s="107">
        <f t="shared" si="2"/>
        <v>456818.18</v>
      </c>
      <c r="M29" s="201">
        <f>'2026 COB breakdown_new'!Z30</f>
        <v>11456.29</v>
      </c>
      <c r="N29" s="107">
        <f t="shared" si="3"/>
        <v>861445.8</v>
      </c>
      <c r="O29" s="107">
        <f>'2026 COB breakdown_new'!AL30</f>
        <v>21603.71</v>
      </c>
      <c r="P29" s="107">
        <f t="shared" si="4"/>
        <v>1351323.98</v>
      </c>
      <c r="Q29" s="100"/>
      <c r="S29" s="100"/>
      <c r="V29" s="101"/>
      <c r="W29" s="101"/>
      <c r="X29" s="101"/>
    </row>
    <row r="30" spans="1:27" x14ac:dyDescent="0.25">
      <c r="A30">
        <v>10193</v>
      </c>
      <c r="B30" t="s">
        <v>293</v>
      </c>
      <c r="C30" t="s">
        <v>185</v>
      </c>
      <c r="D30" s="96">
        <v>456818.18</v>
      </c>
      <c r="E30" s="96">
        <v>167500</v>
      </c>
      <c r="F30" s="96">
        <f t="shared" si="0"/>
        <v>624318.17999999993</v>
      </c>
      <c r="G30" s="96">
        <f>'2026 COB breakdown_Kris'!M30</f>
        <v>39448.99</v>
      </c>
      <c r="H30" s="96">
        <f t="shared" si="1"/>
        <v>663767.16999999993</v>
      </c>
      <c r="J30" s="43" t="s">
        <v>185</v>
      </c>
      <c r="K30" s="43" t="s">
        <v>268</v>
      </c>
      <c r="L30" s="107">
        <f t="shared" si="2"/>
        <v>456818.18</v>
      </c>
      <c r="M30" s="201">
        <f>'2026 COB breakdown_new'!Z31</f>
        <v>28865.11</v>
      </c>
      <c r="N30" s="107">
        <f t="shared" si="3"/>
        <v>167500</v>
      </c>
      <c r="O30" s="107">
        <f>'2026 COB breakdown_new'!AL31</f>
        <v>10583.88</v>
      </c>
      <c r="P30" s="107">
        <f t="shared" si="4"/>
        <v>663767.17000000004</v>
      </c>
      <c r="Q30" s="100"/>
      <c r="S30" s="100"/>
      <c r="V30" s="101"/>
      <c r="W30" s="101"/>
      <c r="X30" s="101"/>
    </row>
    <row r="31" spans="1:27" x14ac:dyDescent="0.25">
      <c r="A31">
        <v>10194</v>
      </c>
      <c r="B31" t="s">
        <v>294</v>
      </c>
      <c r="C31" t="s">
        <v>186</v>
      </c>
      <c r="D31" s="96">
        <v>456818.18</v>
      </c>
      <c r="E31" s="96">
        <v>134000</v>
      </c>
      <c r="F31" s="96">
        <f t="shared" si="0"/>
        <v>590818.17999999993</v>
      </c>
      <c r="G31" s="96">
        <f>'2026 COB breakdown_Kris'!M31</f>
        <v>34526</v>
      </c>
      <c r="H31" s="96">
        <f t="shared" si="1"/>
        <v>625344.17999999993</v>
      </c>
      <c r="J31" s="43" t="s">
        <v>186</v>
      </c>
      <c r="K31" s="43" t="s">
        <v>268</v>
      </c>
      <c r="L31" s="107">
        <f t="shared" si="2"/>
        <v>456818.18</v>
      </c>
      <c r="M31" s="201">
        <f>'2026 COB breakdown_new'!Z32</f>
        <v>26695.360000000001</v>
      </c>
      <c r="N31" s="107">
        <f t="shared" si="3"/>
        <v>134000</v>
      </c>
      <c r="O31" s="107">
        <f>'2026 COB breakdown_new'!AL32</f>
        <v>7830.64</v>
      </c>
      <c r="P31" s="107">
        <f t="shared" si="4"/>
        <v>625344.18000000005</v>
      </c>
      <c r="Q31" s="100"/>
      <c r="S31" s="100"/>
      <c r="T31" s="101"/>
      <c r="V31" s="101"/>
      <c r="W31" s="101"/>
      <c r="X31" s="101"/>
      <c r="Z31" s="101"/>
      <c r="AA31" s="102"/>
    </row>
    <row r="32" spans="1:27" x14ac:dyDescent="0.25">
      <c r="A32">
        <v>10195</v>
      </c>
      <c r="B32" t="s">
        <v>271</v>
      </c>
      <c r="C32" t="s">
        <v>187</v>
      </c>
      <c r="D32" s="96">
        <v>456818.18</v>
      </c>
      <c r="E32" s="96">
        <v>0</v>
      </c>
      <c r="F32" s="96">
        <f t="shared" si="0"/>
        <v>456818.18</v>
      </c>
      <c r="G32" s="96">
        <f>'2026 COB breakdown_Kris'!M32</f>
        <v>19076.260000000002</v>
      </c>
      <c r="H32" s="96">
        <f t="shared" si="1"/>
        <v>475894.44</v>
      </c>
      <c r="J32" s="43" t="s">
        <v>187</v>
      </c>
      <c r="K32" s="43" t="s">
        <v>268</v>
      </c>
      <c r="L32" s="107">
        <f t="shared" si="2"/>
        <v>456818.18</v>
      </c>
      <c r="M32" s="201">
        <f>'2026 COB breakdown_new'!Z33</f>
        <v>19076.259999999998</v>
      </c>
      <c r="N32" s="107">
        <f t="shared" si="3"/>
        <v>0</v>
      </c>
      <c r="O32" s="107">
        <f>'2026 COB breakdown_new'!AL33</f>
        <v>0</v>
      </c>
      <c r="P32" s="107">
        <f t="shared" si="4"/>
        <v>475894.44</v>
      </c>
      <c r="Q32" s="100"/>
      <c r="S32" s="100"/>
      <c r="V32" s="101"/>
      <c r="W32" s="101"/>
      <c r="X32" s="101"/>
    </row>
    <row r="33" spans="1:27" x14ac:dyDescent="0.25">
      <c r="A33">
        <v>10196</v>
      </c>
      <c r="B33" t="s">
        <v>295</v>
      </c>
      <c r="C33" t="s">
        <v>188</v>
      </c>
      <c r="D33" s="96">
        <v>456818.18</v>
      </c>
      <c r="E33" s="96">
        <v>792325.92</v>
      </c>
      <c r="F33" s="96">
        <f t="shared" si="0"/>
        <v>1249144.1000000001</v>
      </c>
      <c r="G33" s="96">
        <f>'2026 COB breakdown_Kris'!M33</f>
        <v>43190.1</v>
      </c>
      <c r="H33" s="96">
        <f t="shared" si="1"/>
        <v>1292334.2000000002</v>
      </c>
      <c r="J33" s="43" t="s">
        <v>188</v>
      </c>
      <c r="K33" s="43" t="s">
        <v>268</v>
      </c>
      <c r="L33" s="107">
        <f t="shared" si="2"/>
        <v>456818.18</v>
      </c>
      <c r="M33" s="201">
        <f>'2026 COB breakdown_new'!Z34</f>
        <v>15794.829999999998</v>
      </c>
      <c r="N33" s="107">
        <f t="shared" si="3"/>
        <v>792325.92</v>
      </c>
      <c r="O33" s="107">
        <f>'2026 COB breakdown_new'!AL34</f>
        <v>27395.27</v>
      </c>
      <c r="P33" s="107">
        <f t="shared" si="4"/>
        <v>1292334.2000000002</v>
      </c>
      <c r="Q33" s="100"/>
      <c r="R33" s="100"/>
      <c r="S33" s="100"/>
      <c r="V33" s="101"/>
      <c r="W33" s="101"/>
      <c r="X33" s="101"/>
    </row>
    <row r="34" spans="1:27" x14ac:dyDescent="0.25">
      <c r="A34">
        <v>10197</v>
      </c>
      <c r="B34" t="s">
        <v>296</v>
      </c>
      <c r="C34" t="s">
        <v>189</v>
      </c>
      <c r="D34" s="96">
        <v>456818.18</v>
      </c>
      <c r="E34" s="96">
        <v>670000</v>
      </c>
      <c r="F34" s="96">
        <f t="shared" si="0"/>
        <v>1126818.18</v>
      </c>
      <c r="G34" s="96">
        <f>'2026 COB breakdown_Kris'!M34</f>
        <v>29471.81</v>
      </c>
      <c r="H34" s="96">
        <f t="shared" si="1"/>
        <v>1156289.99</v>
      </c>
      <c r="J34" s="43" t="s">
        <v>189</v>
      </c>
      <c r="K34" s="43" t="s">
        <v>268</v>
      </c>
      <c r="L34" s="107">
        <f t="shared" si="2"/>
        <v>456818.18</v>
      </c>
      <c r="M34" s="201">
        <f>'2026 COB breakdown_new'!Z35</f>
        <v>11948.030000000002</v>
      </c>
      <c r="N34" s="107">
        <f t="shared" si="3"/>
        <v>670000</v>
      </c>
      <c r="O34" s="107">
        <f>'2026 COB breakdown_new'!AL35</f>
        <v>17523.78</v>
      </c>
      <c r="P34" s="107">
        <f t="shared" si="4"/>
        <v>1156289.99</v>
      </c>
      <c r="Q34" s="100"/>
      <c r="S34" s="100"/>
      <c r="T34" s="101"/>
      <c r="V34" s="101"/>
      <c r="W34" s="101"/>
      <c r="X34" s="101"/>
      <c r="Z34" s="101"/>
      <c r="AA34" s="102"/>
    </row>
    <row r="35" spans="1:27" x14ac:dyDescent="0.25">
      <c r="A35">
        <v>10198</v>
      </c>
      <c r="B35" t="s">
        <v>297</v>
      </c>
      <c r="C35" t="s">
        <v>136</v>
      </c>
      <c r="D35" s="96">
        <v>456818.18</v>
      </c>
      <c r="E35" s="96">
        <v>954750</v>
      </c>
      <c r="F35" s="96">
        <f t="shared" si="0"/>
        <v>1411568.18</v>
      </c>
      <c r="G35" s="96"/>
      <c r="H35" s="96"/>
      <c r="J35" s="43" t="s">
        <v>136</v>
      </c>
      <c r="K35" s="43" t="s">
        <v>268</v>
      </c>
      <c r="L35" s="107">
        <f t="shared" si="2"/>
        <v>456818.18</v>
      </c>
      <c r="M35" s="201">
        <f>RPA_Kris!E5</f>
        <v>0</v>
      </c>
      <c r="N35" s="107">
        <f t="shared" si="3"/>
        <v>954750</v>
      </c>
      <c r="O35" s="107">
        <f>RPA_Kris!E6</f>
        <v>218100</v>
      </c>
      <c r="P35" s="107">
        <f t="shared" si="4"/>
        <v>1629668.18</v>
      </c>
      <c r="Q35" s="100"/>
      <c r="R35" s="100"/>
      <c r="S35" s="100"/>
      <c r="V35" s="101"/>
      <c r="W35" s="101"/>
      <c r="X35" s="101"/>
    </row>
    <row r="36" spans="1:27" x14ac:dyDescent="0.25">
      <c r="A36">
        <v>10199</v>
      </c>
      <c r="B36" t="s">
        <v>298</v>
      </c>
      <c r="C36" t="s">
        <v>190</v>
      </c>
      <c r="D36" s="96">
        <v>456818.18</v>
      </c>
      <c r="E36" s="96">
        <v>0</v>
      </c>
      <c r="F36" s="96">
        <f t="shared" si="0"/>
        <v>456818.18</v>
      </c>
      <c r="G36" s="96">
        <f>'2026 COB breakdown_Kris'!M36</f>
        <v>44092.99</v>
      </c>
      <c r="H36" s="96">
        <f t="shared" si="1"/>
        <v>500911.17</v>
      </c>
      <c r="J36" s="43" t="s">
        <v>190</v>
      </c>
      <c r="K36" s="43" t="s">
        <v>268</v>
      </c>
      <c r="L36" s="107">
        <f t="shared" si="2"/>
        <v>456818.18</v>
      </c>
      <c r="M36" s="201">
        <f>'2026 COB breakdown_new'!Z37</f>
        <v>44092.99</v>
      </c>
      <c r="N36" s="107">
        <f t="shared" si="3"/>
        <v>0</v>
      </c>
      <c r="O36" s="107">
        <f>'2026 COB breakdown_new'!AL37</f>
        <v>0</v>
      </c>
      <c r="P36" s="107">
        <f t="shared" si="4"/>
        <v>500911.17</v>
      </c>
      <c r="Q36" s="100"/>
      <c r="S36" s="100"/>
      <c r="V36" s="101"/>
      <c r="W36" s="101"/>
    </row>
    <row r="37" spans="1:27" x14ac:dyDescent="0.25">
      <c r="A37">
        <v>10200</v>
      </c>
      <c r="B37" t="s">
        <v>299</v>
      </c>
      <c r="C37" t="s">
        <v>191</v>
      </c>
      <c r="D37" s="96">
        <v>456818.18</v>
      </c>
      <c r="E37" s="96">
        <v>335000</v>
      </c>
      <c r="F37" s="96">
        <f t="shared" si="0"/>
        <v>791818.17999999993</v>
      </c>
      <c r="G37" s="96">
        <f>'2026 COB breakdown_Kris'!M37</f>
        <v>28421.010000000002</v>
      </c>
      <c r="H37" s="96">
        <f t="shared" si="1"/>
        <v>820239.19</v>
      </c>
      <c r="J37" s="43" t="s">
        <v>191</v>
      </c>
      <c r="K37" s="43" t="s">
        <v>268</v>
      </c>
      <c r="L37" s="107">
        <f t="shared" si="2"/>
        <v>456818.18</v>
      </c>
      <c r="M37" s="201">
        <f>'2026 COB breakdown_new'!Z38</f>
        <v>16396.739999999998</v>
      </c>
      <c r="N37" s="107">
        <f t="shared" si="3"/>
        <v>335000</v>
      </c>
      <c r="O37" s="107">
        <f>'2026 COB breakdown_new'!AL38</f>
        <v>12024.27</v>
      </c>
      <c r="P37" s="107">
        <f t="shared" si="4"/>
        <v>820239.19</v>
      </c>
      <c r="Q37" s="100"/>
      <c r="S37" s="100"/>
      <c r="T37" s="101"/>
      <c r="V37" s="101"/>
      <c r="W37" s="101"/>
      <c r="X37" s="101"/>
      <c r="Z37" s="101"/>
      <c r="AA37" s="102"/>
    </row>
    <row r="38" spans="1:27" x14ac:dyDescent="0.25">
      <c r="A38">
        <v>10201</v>
      </c>
      <c r="B38" t="s">
        <v>300</v>
      </c>
      <c r="C38" t="s">
        <v>192</v>
      </c>
      <c r="D38" s="96">
        <v>456818.18</v>
      </c>
      <c r="E38" s="96">
        <v>469000</v>
      </c>
      <c r="F38" s="96">
        <f t="shared" si="0"/>
        <v>925818.17999999993</v>
      </c>
      <c r="G38" s="96">
        <f>'2026 COB breakdown_Kris'!M38</f>
        <v>33631.509999999995</v>
      </c>
      <c r="H38" s="96">
        <f t="shared" si="1"/>
        <v>959449.69</v>
      </c>
      <c r="J38" s="43" t="s">
        <v>192</v>
      </c>
      <c r="K38" s="43" t="s">
        <v>268</v>
      </c>
      <c r="L38" s="107">
        <f t="shared" si="2"/>
        <v>456818.18</v>
      </c>
      <c r="M38" s="201">
        <f>'2026 COB breakdown_new'!Z39</f>
        <v>16594.500000000004</v>
      </c>
      <c r="N38" s="107">
        <f t="shared" si="3"/>
        <v>469000</v>
      </c>
      <c r="O38" s="107">
        <f>'2026 COB breakdown_new'!AL39</f>
        <v>17037.009999999998</v>
      </c>
      <c r="P38" s="107">
        <f t="shared" si="4"/>
        <v>959449.69</v>
      </c>
      <c r="Q38" s="100"/>
      <c r="S38" s="100"/>
      <c r="T38" s="101"/>
      <c r="V38" s="101"/>
      <c r="W38" s="101"/>
      <c r="X38" s="101"/>
      <c r="Z38" s="101"/>
      <c r="AA38" s="102"/>
    </row>
    <row r="39" spans="1:27" x14ac:dyDescent="0.25">
      <c r="A39">
        <v>10202</v>
      </c>
      <c r="B39" t="s">
        <v>301</v>
      </c>
      <c r="C39" s="22" t="s">
        <v>193</v>
      </c>
      <c r="D39" s="96">
        <v>456818.18</v>
      </c>
      <c r="E39" s="96">
        <v>0</v>
      </c>
      <c r="F39" s="96">
        <f t="shared" si="0"/>
        <v>456818.18</v>
      </c>
      <c r="G39" s="96">
        <f>'2026 COB breakdown_Kris'!M39</f>
        <v>19817.399999999998</v>
      </c>
      <c r="H39" s="96">
        <f t="shared" si="1"/>
        <v>476635.58</v>
      </c>
      <c r="J39" s="43" t="s">
        <v>193</v>
      </c>
      <c r="K39" s="43" t="s">
        <v>268</v>
      </c>
      <c r="L39" s="107">
        <f t="shared" si="2"/>
        <v>456818.18</v>
      </c>
      <c r="M39" s="201">
        <f>'2026 COB breakdown_new'!Z40</f>
        <v>19817.400000000001</v>
      </c>
      <c r="N39" s="107">
        <f t="shared" si="3"/>
        <v>0</v>
      </c>
      <c r="O39" s="107">
        <f>'2026 COB breakdown_new'!AL40</f>
        <v>0</v>
      </c>
      <c r="P39" s="107">
        <f t="shared" si="4"/>
        <v>476635.58</v>
      </c>
      <c r="Q39" s="100"/>
      <c r="S39" s="100"/>
      <c r="V39" s="101"/>
      <c r="W39" s="101"/>
      <c r="X39" s="101"/>
    </row>
    <row r="40" spans="1:27" x14ac:dyDescent="0.25">
      <c r="A40">
        <v>10203</v>
      </c>
      <c r="B40" t="s">
        <v>301</v>
      </c>
      <c r="C40" t="s">
        <v>194</v>
      </c>
      <c r="D40" s="96">
        <v>456818.18</v>
      </c>
      <c r="E40" s="96">
        <v>335000</v>
      </c>
      <c r="F40" s="96">
        <f t="shared" si="0"/>
        <v>791818.17999999993</v>
      </c>
      <c r="G40" s="96">
        <f>'2026 COB breakdown_Kris'!M40</f>
        <v>27871.5</v>
      </c>
      <c r="H40" s="96">
        <f t="shared" si="1"/>
        <v>819689.67999999993</v>
      </c>
      <c r="J40" s="43" t="s">
        <v>194</v>
      </c>
      <c r="K40" s="43" t="s">
        <v>268</v>
      </c>
      <c r="L40" s="107">
        <f t="shared" si="2"/>
        <v>456818.18</v>
      </c>
      <c r="M40" s="201">
        <f>'2026 COB breakdown_new'!Z41</f>
        <v>16079.71</v>
      </c>
      <c r="N40" s="107">
        <f t="shared" si="3"/>
        <v>335000</v>
      </c>
      <c r="O40" s="107">
        <f>'2026 COB breakdown_new'!AL41</f>
        <v>11791.79</v>
      </c>
      <c r="P40" s="107">
        <f t="shared" si="4"/>
        <v>819689.68</v>
      </c>
      <c r="Q40" s="100"/>
      <c r="S40" s="100"/>
      <c r="T40" s="101"/>
      <c r="V40" s="101"/>
      <c r="W40" s="101"/>
      <c r="X40" s="101"/>
      <c r="Z40" s="101"/>
    </row>
    <row r="41" spans="1:27" x14ac:dyDescent="0.25">
      <c r="A41">
        <v>10204</v>
      </c>
      <c r="B41" t="s">
        <v>302</v>
      </c>
      <c r="C41" t="s">
        <v>195</v>
      </c>
      <c r="D41" s="96">
        <v>456818.18</v>
      </c>
      <c r="E41" s="96">
        <v>301500</v>
      </c>
      <c r="F41" s="96">
        <f t="shared" si="0"/>
        <v>758318.17999999993</v>
      </c>
      <c r="G41" s="96">
        <f>'2026 COB breakdown_Kris'!M41</f>
        <v>22500</v>
      </c>
      <c r="H41" s="96">
        <f t="shared" si="1"/>
        <v>780818.17999999993</v>
      </c>
      <c r="J41" s="43" t="s">
        <v>195</v>
      </c>
      <c r="K41" s="43" t="s">
        <v>268</v>
      </c>
      <c r="L41" s="107">
        <f t="shared" si="2"/>
        <v>456818.18</v>
      </c>
      <c r="M41" s="201">
        <f>'2026 COB breakdown_new'!Z42</f>
        <v>13554.22</v>
      </c>
      <c r="N41" s="107">
        <f t="shared" si="3"/>
        <v>301500</v>
      </c>
      <c r="O41" s="107">
        <f>'2026 COB breakdown_new'!AL42</f>
        <v>8945.7800000000007</v>
      </c>
      <c r="P41" s="107">
        <f t="shared" si="4"/>
        <v>780818.17999999993</v>
      </c>
      <c r="Q41" s="100"/>
      <c r="S41" s="100"/>
      <c r="V41" s="101"/>
      <c r="W41" s="101"/>
      <c r="X41" s="101"/>
    </row>
    <row r="42" spans="1:27" x14ac:dyDescent="0.25">
      <c r="A42">
        <v>10205</v>
      </c>
      <c r="B42" t="s">
        <v>303</v>
      </c>
      <c r="C42" t="s">
        <v>196</v>
      </c>
      <c r="D42" s="96">
        <v>456818.18</v>
      </c>
      <c r="E42" s="96">
        <v>670000</v>
      </c>
      <c r="F42" s="96">
        <f t="shared" si="0"/>
        <v>1126818.18</v>
      </c>
      <c r="G42" s="96">
        <f>'2026 COB breakdown_Kris'!M42</f>
        <v>11931</v>
      </c>
      <c r="H42" s="96">
        <f t="shared" si="1"/>
        <v>1138749.18</v>
      </c>
      <c r="J42" s="43" t="s">
        <v>196</v>
      </c>
      <c r="K42" s="43" t="s">
        <v>268</v>
      </c>
      <c r="L42" s="107">
        <f t="shared" si="2"/>
        <v>456818.18</v>
      </c>
      <c r="M42" s="201">
        <f>'2026 COB breakdown_new'!Z43</f>
        <v>4836.8900000000003</v>
      </c>
      <c r="N42" s="107">
        <f t="shared" si="3"/>
        <v>670000</v>
      </c>
      <c r="O42" s="107">
        <f>'2026 COB breakdown_new'!AL43</f>
        <v>7094.11</v>
      </c>
      <c r="P42" s="107">
        <f t="shared" si="4"/>
        <v>1138749.1800000002</v>
      </c>
      <c r="Q42" s="100"/>
      <c r="S42" s="100"/>
      <c r="T42" s="101"/>
      <c r="V42" s="101"/>
      <c r="W42" s="101"/>
      <c r="X42" s="101"/>
      <c r="Z42" s="101"/>
      <c r="AA42" s="102"/>
    </row>
    <row r="43" spans="1:27" x14ac:dyDescent="0.25">
      <c r="A43">
        <v>10206</v>
      </c>
      <c r="B43" t="s">
        <v>304</v>
      </c>
      <c r="C43" t="s">
        <v>197</v>
      </c>
      <c r="D43" s="96">
        <v>456818.18</v>
      </c>
      <c r="E43" s="96">
        <v>120600</v>
      </c>
      <c r="F43" s="96">
        <f t="shared" si="0"/>
        <v>577418.17999999993</v>
      </c>
      <c r="G43" s="96">
        <f>'2026 COB breakdown_Kris'!M43</f>
        <v>12780</v>
      </c>
      <c r="H43" s="96">
        <f t="shared" si="1"/>
        <v>590198.17999999993</v>
      </c>
      <c r="J43" s="43" t="s">
        <v>197</v>
      </c>
      <c r="K43" s="43" t="s">
        <v>268</v>
      </c>
      <c r="L43" s="107">
        <f t="shared" si="2"/>
        <v>456818.18</v>
      </c>
      <c r="M43" s="201">
        <f>'2026 COB breakdown_new'!Z44</f>
        <v>10110.76</v>
      </c>
      <c r="N43" s="107">
        <f t="shared" si="3"/>
        <v>120600</v>
      </c>
      <c r="O43" s="107">
        <f>'2026 COB breakdown_new'!AL44</f>
        <v>2669.24</v>
      </c>
      <c r="P43" s="107">
        <f t="shared" si="4"/>
        <v>590198.17999999993</v>
      </c>
      <c r="Q43" s="100"/>
      <c r="S43" s="100"/>
      <c r="T43" s="101"/>
      <c r="V43" s="101"/>
      <c r="W43" s="101"/>
      <c r="X43" s="101"/>
      <c r="Z43" s="101"/>
      <c r="AA43" s="102"/>
    </row>
    <row r="44" spans="1:27" x14ac:dyDescent="0.25">
      <c r="A44">
        <v>10207</v>
      </c>
      <c r="B44" t="s">
        <v>305</v>
      </c>
      <c r="C44" t="s">
        <v>198</v>
      </c>
      <c r="D44" s="96">
        <v>456818.18</v>
      </c>
      <c r="E44" s="96">
        <v>0</v>
      </c>
      <c r="F44" s="96">
        <f t="shared" si="0"/>
        <v>456818.18</v>
      </c>
      <c r="G44" s="96">
        <f>'2026 COB breakdown_Kris'!M44</f>
        <v>27686.1</v>
      </c>
      <c r="H44" s="96">
        <f t="shared" si="1"/>
        <v>484504.27999999997</v>
      </c>
      <c r="J44" s="43" t="s">
        <v>198</v>
      </c>
      <c r="K44" s="43" t="s">
        <v>268</v>
      </c>
      <c r="L44" s="107">
        <f t="shared" si="2"/>
        <v>456818.18</v>
      </c>
      <c r="M44" s="201">
        <f>'2026 COB breakdown_new'!Z45</f>
        <v>27686.1</v>
      </c>
      <c r="N44" s="107">
        <f t="shared" si="3"/>
        <v>0</v>
      </c>
      <c r="O44" s="107">
        <f>'2026 COB breakdown_new'!AL45</f>
        <v>0</v>
      </c>
      <c r="P44" s="107">
        <f t="shared" si="4"/>
        <v>484504.27999999997</v>
      </c>
      <c r="Q44" s="100"/>
      <c r="S44" s="100"/>
      <c r="T44" s="101"/>
      <c r="V44" s="101"/>
      <c r="W44" s="101"/>
      <c r="X44" s="101"/>
      <c r="Z44" s="101"/>
      <c r="AA44" s="102"/>
    </row>
    <row r="45" spans="1:27" x14ac:dyDescent="0.25">
      <c r="A45">
        <v>10208</v>
      </c>
      <c r="B45" t="s">
        <v>271</v>
      </c>
      <c r="C45" t="s">
        <v>199</v>
      </c>
      <c r="D45" s="96">
        <v>456818.18</v>
      </c>
      <c r="E45" s="96">
        <v>536000</v>
      </c>
      <c r="F45" s="96">
        <f t="shared" si="0"/>
        <v>992818.17999999993</v>
      </c>
      <c r="G45" s="96">
        <f>'2026 COB breakdown_Kris'!M45</f>
        <v>20400.989999999998</v>
      </c>
      <c r="H45" s="96">
        <f t="shared" si="1"/>
        <v>1013219.1699999999</v>
      </c>
      <c r="J45" s="43" t="s">
        <v>199</v>
      </c>
      <c r="K45" s="43" t="s">
        <v>268</v>
      </c>
      <c r="L45" s="107">
        <f t="shared" si="2"/>
        <v>456818.18</v>
      </c>
      <c r="M45" s="201">
        <f>'2026 COB breakdown_new'!Z46</f>
        <v>9386.9600000000009</v>
      </c>
      <c r="N45" s="107">
        <f t="shared" si="3"/>
        <v>536000</v>
      </c>
      <c r="O45" s="107">
        <f>'2026 COB breakdown_new'!AL46</f>
        <v>11014.03</v>
      </c>
      <c r="P45" s="107">
        <f t="shared" si="4"/>
        <v>1013219.17</v>
      </c>
      <c r="Q45" s="100"/>
      <c r="S45" s="100"/>
      <c r="V45" s="101"/>
      <c r="W45" s="101"/>
      <c r="X45" s="101"/>
    </row>
    <row r="46" spans="1:27" x14ac:dyDescent="0.25">
      <c r="A46">
        <v>10209</v>
      </c>
      <c r="B46" t="s">
        <v>306</v>
      </c>
      <c r="C46" t="s">
        <v>200</v>
      </c>
      <c r="D46" s="96">
        <v>456818.18</v>
      </c>
      <c r="E46" s="96">
        <v>0</v>
      </c>
      <c r="F46" s="96">
        <f t="shared" si="0"/>
        <v>456818.18</v>
      </c>
      <c r="G46" s="96">
        <f>'2026 COB breakdown_Kris'!M46</f>
        <v>35400</v>
      </c>
      <c r="H46" s="96">
        <f t="shared" si="1"/>
        <v>492218.18</v>
      </c>
      <c r="J46" s="43" t="s">
        <v>200</v>
      </c>
      <c r="K46" s="43" t="s">
        <v>268</v>
      </c>
      <c r="L46" s="107">
        <f t="shared" si="2"/>
        <v>456818.18</v>
      </c>
      <c r="M46" s="201">
        <f>'2026 COB breakdown_new'!Z47</f>
        <v>35400</v>
      </c>
      <c r="N46" s="107">
        <f t="shared" si="3"/>
        <v>0</v>
      </c>
      <c r="O46" s="107">
        <f>'2026 COB breakdown_new'!AL47</f>
        <v>0</v>
      </c>
      <c r="P46" s="107">
        <f t="shared" si="4"/>
        <v>492218.18</v>
      </c>
      <c r="Q46" s="100"/>
      <c r="S46" s="100"/>
      <c r="V46" s="101"/>
      <c r="W46" s="101"/>
      <c r="X46" s="101"/>
    </row>
    <row r="47" spans="1:27" x14ac:dyDescent="0.25">
      <c r="A47">
        <v>10210</v>
      </c>
      <c r="B47" t="s">
        <v>307</v>
      </c>
      <c r="C47" t="s">
        <v>201</v>
      </c>
      <c r="D47" s="96">
        <v>456818.18</v>
      </c>
      <c r="E47" s="96">
        <v>428.8</v>
      </c>
      <c r="F47" s="96">
        <f t="shared" si="0"/>
        <v>457246.98</v>
      </c>
      <c r="G47" s="96">
        <f>'2026 COB breakdown_Kris'!M47</f>
        <v>27375.010000000002</v>
      </c>
      <c r="H47" s="96">
        <f t="shared" si="1"/>
        <v>484621.99</v>
      </c>
      <c r="J47" s="43" t="s">
        <v>201</v>
      </c>
      <c r="K47" s="43" t="s">
        <v>268</v>
      </c>
      <c r="L47" s="107">
        <f t="shared" si="2"/>
        <v>456818.18</v>
      </c>
      <c r="M47" s="201">
        <f>'2026 COB breakdown_new'!Z48</f>
        <v>27349.34</v>
      </c>
      <c r="N47" s="107">
        <f t="shared" si="3"/>
        <v>428.8</v>
      </c>
      <c r="O47" s="107">
        <f>'2026 COB breakdown_new'!AL48</f>
        <v>25.67</v>
      </c>
      <c r="P47" s="107">
        <f t="shared" si="4"/>
        <v>484621.99</v>
      </c>
      <c r="Q47" s="100"/>
      <c r="S47" s="100"/>
      <c r="T47" s="101"/>
      <c r="V47" s="101"/>
      <c r="W47" s="101"/>
      <c r="X47" s="101"/>
      <c r="Z47" s="101"/>
      <c r="AA47" s="102"/>
    </row>
    <row r="48" spans="1:27" x14ac:dyDescent="0.25">
      <c r="A48">
        <v>10211</v>
      </c>
      <c r="B48" t="s">
        <v>308</v>
      </c>
      <c r="C48" t="s">
        <v>202</v>
      </c>
      <c r="D48" s="96">
        <v>456818.18</v>
      </c>
      <c r="E48" s="96">
        <v>536000</v>
      </c>
      <c r="F48" s="96">
        <f t="shared" si="0"/>
        <v>992818.17999999993</v>
      </c>
      <c r="G48" s="96">
        <f>'2026 COB breakdown_Kris'!M48</f>
        <v>20125</v>
      </c>
      <c r="H48" s="96">
        <f t="shared" si="1"/>
        <v>1012943.1799999999</v>
      </c>
      <c r="J48" s="43" t="s">
        <v>202</v>
      </c>
      <c r="K48" s="43" t="s">
        <v>268</v>
      </c>
      <c r="L48" s="107">
        <f t="shared" si="2"/>
        <v>456818.18</v>
      </c>
      <c r="M48" s="201">
        <f>'2026 COB breakdown_new'!Z49</f>
        <v>9259.9699999999993</v>
      </c>
      <c r="N48" s="107">
        <f t="shared" si="3"/>
        <v>536000</v>
      </c>
      <c r="O48" s="107">
        <f>'2026 COB breakdown_new'!AL49</f>
        <v>10865.03</v>
      </c>
      <c r="P48" s="107">
        <f t="shared" si="4"/>
        <v>1012943.1799999999</v>
      </c>
      <c r="Q48" s="100"/>
      <c r="S48" s="100"/>
      <c r="V48" s="101"/>
      <c r="W48" s="101"/>
      <c r="X48" s="101"/>
    </row>
    <row r="49" spans="1:37" x14ac:dyDescent="0.25">
      <c r="A49">
        <v>10212</v>
      </c>
      <c r="B49" t="s">
        <v>309</v>
      </c>
      <c r="C49" t="s">
        <v>203</v>
      </c>
      <c r="D49" s="96">
        <v>456818.18</v>
      </c>
      <c r="E49" s="96">
        <v>655809.4</v>
      </c>
      <c r="F49" s="96">
        <f t="shared" si="0"/>
        <v>1112627.58</v>
      </c>
      <c r="G49" s="96">
        <f>'2026 COB breakdown_Kris'!M49</f>
        <v>17100</v>
      </c>
      <c r="H49" s="96">
        <f t="shared" si="1"/>
        <v>1129727.58</v>
      </c>
      <c r="J49" s="43" t="s">
        <v>203</v>
      </c>
      <c r="K49" s="43" t="s">
        <v>268</v>
      </c>
      <c r="L49" s="107">
        <f t="shared" si="2"/>
        <v>456818.18</v>
      </c>
      <c r="M49" s="201">
        <f>'2026 COB breakdown_new'!Z50</f>
        <v>7020.85</v>
      </c>
      <c r="N49" s="107">
        <f t="shared" si="3"/>
        <v>655809.4</v>
      </c>
      <c r="O49" s="107">
        <f>'2026 COB breakdown_new'!AL50</f>
        <v>10079.15</v>
      </c>
      <c r="P49" s="107">
        <f t="shared" si="4"/>
        <v>1129727.5799999998</v>
      </c>
      <c r="Q49" s="100"/>
      <c r="R49" s="100"/>
      <c r="S49" s="100"/>
      <c r="V49" s="101"/>
      <c r="W49" s="101"/>
      <c r="X49" s="101"/>
    </row>
    <row r="50" spans="1:37" x14ac:dyDescent="0.25">
      <c r="A50">
        <v>10213</v>
      </c>
      <c r="B50" t="s">
        <v>310</v>
      </c>
      <c r="C50" t="s">
        <v>204</v>
      </c>
      <c r="D50" s="96">
        <v>456818.18</v>
      </c>
      <c r="E50" s="96">
        <v>1065300</v>
      </c>
      <c r="F50" s="96">
        <f t="shared" si="0"/>
        <v>1522118.18</v>
      </c>
      <c r="G50" s="96">
        <f>'2026 COB breakdown_Kris'!M50</f>
        <v>25402.000000000004</v>
      </c>
      <c r="H50" s="96">
        <f t="shared" si="1"/>
        <v>1547520.18</v>
      </c>
      <c r="J50" s="43" t="s">
        <v>204</v>
      </c>
      <c r="K50" s="43" t="s">
        <v>268</v>
      </c>
      <c r="L50" s="107">
        <f t="shared" si="2"/>
        <v>456818.18</v>
      </c>
      <c r="M50" s="201">
        <f>'2026 COB breakdown_new'!Z51</f>
        <v>7623.6500000000015</v>
      </c>
      <c r="N50" s="107">
        <f t="shared" si="3"/>
        <v>1065300</v>
      </c>
      <c r="O50" s="107">
        <f>'2026 COB breakdown_new'!AL51</f>
        <v>17778.349999999999</v>
      </c>
      <c r="P50" s="107">
        <f t="shared" si="4"/>
        <v>1547520.1800000002</v>
      </c>
      <c r="Q50" s="100"/>
      <c r="S50" s="100"/>
      <c r="T50" s="101"/>
      <c r="V50" s="101"/>
      <c r="W50" s="101"/>
      <c r="X50" s="101"/>
      <c r="Z50" s="101"/>
      <c r="AA50" s="102"/>
    </row>
    <row r="51" spans="1:37" x14ac:dyDescent="0.25">
      <c r="A51">
        <v>10214</v>
      </c>
      <c r="B51" t="s">
        <v>311</v>
      </c>
      <c r="C51" t="s">
        <v>132</v>
      </c>
      <c r="D51" s="96">
        <v>456818.18</v>
      </c>
      <c r="E51" s="96">
        <v>3350000</v>
      </c>
      <c r="F51" s="96">
        <f t="shared" si="0"/>
        <v>3806818.18</v>
      </c>
      <c r="G51" s="96"/>
      <c r="H51" s="96"/>
      <c r="J51" s="43" t="s">
        <v>132</v>
      </c>
      <c r="K51" s="43" t="s">
        <v>268</v>
      </c>
      <c r="L51" s="107">
        <f t="shared" si="2"/>
        <v>456818.18</v>
      </c>
      <c r="M51" s="201">
        <f>RPA_Kris!C5</f>
        <v>50000</v>
      </c>
      <c r="N51" s="107">
        <f t="shared" si="3"/>
        <v>3350000</v>
      </c>
      <c r="O51" s="107">
        <f>RPA_Kris!C6</f>
        <v>1173317</v>
      </c>
      <c r="P51" s="107">
        <f t="shared" si="4"/>
        <v>5030135.18</v>
      </c>
      <c r="Q51" s="100"/>
      <c r="S51" s="100"/>
      <c r="T51" s="101"/>
      <c r="V51" s="101"/>
      <c r="W51" s="101"/>
      <c r="X51" s="101"/>
      <c r="Z51" s="101"/>
      <c r="AA51" s="102"/>
    </row>
    <row r="52" spans="1:37" x14ac:dyDescent="0.25">
      <c r="A52">
        <v>10215</v>
      </c>
      <c r="B52" t="s">
        <v>274</v>
      </c>
      <c r="C52" t="s">
        <v>205</v>
      </c>
      <c r="D52" s="96">
        <v>456818.18</v>
      </c>
      <c r="E52" s="96">
        <v>767150</v>
      </c>
      <c r="F52" s="96">
        <f t="shared" si="0"/>
        <v>1223968.18</v>
      </c>
      <c r="G52" s="96">
        <f>'2026 COB breakdown_Kris'!M52</f>
        <v>13671.759999999998</v>
      </c>
      <c r="H52" s="96">
        <f t="shared" si="1"/>
        <v>1237639.94</v>
      </c>
      <c r="J52" s="43" t="s">
        <v>205</v>
      </c>
      <c r="K52" s="43" t="s">
        <v>268</v>
      </c>
      <c r="L52" s="107">
        <f t="shared" si="2"/>
        <v>456818.18</v>
      </c>
      <c r="M52" s="201">
        <f>'2026 COB breakdown_new'!Z53</f>
        <v>5102.67</v>
      </c>
      <c r="N52" s="107">
        <f t="shared" si="3"/>
        <v>767150</v>
      </c>
      <c r="O52" s="107">
        <f>'2026 COB breakdown_new'!AL53</f>
        <v>8569.09</v>
      </c>
      <c r="P52" s="107">
        <f t="shared" si="4"/>
        <v>1237639.9400000002</v>
      </c>
      <c r="Q52" s="100"/>
      <c r="S52" s="100"/>
      <c r="V52" s="101"/>
      <c r="W52" s="101"/>
      <c r="X52" s="101"/>
      <c r="AC52" s="49" t="s">
        <v>312</v>
      </c>
      <c r="AD52" s="49"/>
      <c r="AE52" s="49"/>
      <c r="AF52" s="103"/>
      <c r="AG52" s="103"/>
      <c r="AH52" s="103"/>
      <c r="AI52" s="103"/>
      <c r="AJ52" s="103"/>
      <c r="AK52" s="103"/>
    </row>
    <row r="53" spans="1:37" x14ac:dyDescent="0.25">
      <c r="A53">
        <v>10216</v>
      </c>
      <c r="B53" t="s">
        <v>313</v>
      </c>
      <c r="C53" t="s">
        <v>206</v>
      </c>
      <c r="D53" s="96">
        <v>456818.18</v>
      </c>
      <c r="E53" s="96">
        <v>234500</v>
      </c>
      <c r="F53" s="96">
        <f t="shared" si="0"/>
        <v>691318.17999999993</v>
      </c>
      <c r="G53" s="96">
        <f>'2026 COB breakdown_Kris'!M53</f>
        <v>22502</v>
      </c>
      <c r="H53" s="96">
        <f t="shared" si="1"/>
        <v>713820.17999999993</v>
      </c>
      <c r="J53" s="43" t="s">
        <v>206</v>
      </c>
      <c r="K53" s="43" t="s">
        <v>268</v>
      </c>
      <c r="L53" s="107">
        <f t="shared" si="2"/>
        <v>456818.18</v>
      </c>
      <c r="M53" s="201">
        <f>'2026 COB breakdown_new'!Z54</f>
        <v>14869.16</v>
      </c>
      <c r="N53" s="107">
        <f t="shared" si="3"/>
        <v>234500</v>
      </c>
      <c r="O53" s="107">
        <f>'2026 COB breakdown_new'!AL54</f>
        <v>7632.84</v>
      </c>
      <c r="P53" s="107">
        <f t="shared" si="4"/>
        <v>713820.17999999993</v>
      </c>
      <c r="Q53" s="100"/>
      <c r="S53" s="100"/>
      <c r="V53" s="101"/>
      <c r="W53" s="101"/>
      <c r="X53" s="101"/>
    </row>
    <row r="54" spans="1:37" x14ac:dyDescent="0.25">
      <c r="A54">
        <v>10217</v>
      </c>
      <c r="B54" t="s">
        <v>301</v>
      </c>
      <c r="C54" t="s">
        <v>207</v>
      </c>
      <c r="D54" s="96">
        <v>456818.18</v>
      </c>
      <c r="E54" s="96">
        <v>0</v>
      </c>
      <c r="F54" s="96">
        <f t="shared" si="0"/>
        <v>456818.18</v>
      </c>
      <c r="G54" s="96">
        <f>'2026 COB breakdown_Kris'!M54</f>
        <v>39028</v>
      </c>
      <c r="H54" s="96">
        <f t="shared" si="1"/>
        <v>495846.18</v>
      </c>
      <c r="J54" s="43" t="s">
        <v>207</v>
      </c>
      <c r="K54" s="43" t="s">
        <v>268</v>
      </c>
      <c r="L54" s="107">
        <f t="shared" si="2"/>
        <v>456818.18</v>
      </c>
      <c r="M54" s="201">
        <f>'2026 COB breakdown_new'!Z55</f>
        <v>39028</v>
      </c>
      <c r="N54" s="107">
        <f t="shared" si="3"/>
        <v>0</v>
      </c>
      <c r="O54" s="107">
        <f>'2026 COB breakdown_new'!AL55</f>
        <v>0</v>
      </c>
      <c r="P54" s="107">
        <f t="shared" si="4"/>
        <v>495846.18</v>
      </c>
      <c r="Q54" s="100"/>
      <c r="S54" s="100"/>
      <c r="T54" s="101"/>
      <c r="V54" s="101"/>
      <c r="W54" s="101"/>
      <c r="X54" s="101"/>
      <c r="Z54" s="101"/>
    </row>
    <row r="55" spans="1:37" x14ac:dyDescent="0.25">
      <c r="A55">
        <v>10218</v>
      </c>
      <c r="B55" t="s">
        <v>314</v>
      </c>
      <c r="C55" t="s">
        <v>208</v>
      </c>
      <c r="D55" s="96">
        <v>456818.18</v>
      </c>
      <c r="E55" s="96">
        <v>334156.46999999997</v>
      </c>
      <c r="F55" s="96">
        <f t="shared" si="0"/>
        <v>790974.64999999991</v>
      </c>
      <c r="G55" s="96">
        <f>'2026 COB breakdown_Kris'!M55</f>
        <v>13387.2</v>
      </c>
      <c r="H55" s="96">
        <f t="shared" si="1"/>
        <v>804361.84999999986</v>
      </c>
      <c r="J55" s="43" t="s">
        <v>208</v>
      </c>
      <c r="K55" s="43" t="s">
        <v>268</v>
      </c>
      <c r="L55" s="107">
        <f t="shared" si="2"/>
        <v>456818.18</v>
      </c>
      <c r="M55" s="201">
        <f>'2026 COB breakdown_new'!Z56</f>
        <v>7731.6200000000008</v>
      </c>
      <c r="N55" s="107">
        <f t="shared" si="3"/>
        <v>334156.46999999997</v>
      </c>
      <c r="O55" s="107">
        <f>'2026 COB breakdown_new'!AL56</f>
        <v>5655.58</v>
      </c>
      <c r="P55" s="107">
        <f t="shared" si="4"/>
        <v>804361.85</v>
      </c>
      <c r="Q55" s="100"/>
      <c r="S55" s="100"/>
      <c r="V55" s="101"/>
      <c r="W55" s="101"/>
      <c r="X55" s="101"/>
    </row>
    <row r="56" spans="1:37" x14ac:dyDescent="0.25">
      <c r="A56">
        <v>10219</v>
      </c>
      <c r="B56" t="s">
        <v>315</v>
      </c>
      <c r="C56" t="s">
        <v>209</v>
      </c>
      <c r="D56" s="96">
        <v>456818.18</v>
      </c>
      <c r="E56" s="96">
        <v>335000</v>
      </c>
      <c r="F56" s="96">
        <f t="shared" si="0"/>
        <v>791818.17999999993</v>
      </c>
      <c r="G56" s="96">
        <f>'2026 COB breakdown_Kris'!M56</f>
        <v>26498.999999999996</v>
      </c>
      <c r="H56" s="96">
        <f t="shared" si="1"/>
        <v>818317.17999999993</v>
      </c>
      <c r="J56" s="43" t="s">
        <v>209</v>
      </c>
      <c r="K56" s="43" t="s">
        <v>268</v>
      </c>
      <c r="L56" s="107">
        <f t="shared" si="2"/>
        <v>456818.18</v>
      </c>
      <c r="M56" s="201">
        <f>'2026 COB breakdown_new'!Z57</f>
        <v>15287.88</v>
      </c>
      <c r="N56" s="107">
        <f t="shared" si="3"/>
        <v>335000</v>
      </c>
      <c r="O56" s="107">
        <f>'2026 COB breakdown_new'!AL57</f>
        <v>11211.12</v>
      </c>
      <c r="P56" s="107">
        <f t="shared" si="4"/>
        <v>818317.18</v>
      </c>
      <c r="Q56" s="100"/>
      <c r="R56" s="100"/>
      <c r="S56" s="100"/>
      <c r="V56" s="101"/>
      <c r="W56" s="101"/>
      <c r="X56" s="101"/>
    </row>
    <row r="57" spans="1:37" x14ac:dyDescent="0.25">
      <c r="A57">
        <v>10220</v>
      </c>
      <c r="B57" t="s">
        <v>316</v>
      </c>
      <c r="C57" t="s">
        <v>210</v>
      </c>
      <c r="D57" s="96">
        <v>456818.18</v>
      </c>
      <c r="E57" s="96">
        <v>528630</v>
      </c>
      <c r="F57" s="96">
        <f t="shared" si="0"/>
        <v>985448.17999999993</v>
      </c>
      <c r="G57" s="96">
        <f>'2026 COB breakdown_Kris'!M57</f>
        <v>2300</v>
      </c>
      <c r="H57" s="96">
        <f t="shared" si="1"/>
        <v>987748.17999999993</v>
      </c>
      <c r="J57" s="43" t="s">
        <v>210</v>
      </c>
      <c r="K57" s="43" t="s">
        <v>268</v>
      </c>
      <c r="L57" s="107">
        <f t="shared" si="2"/>
        <v>456818.18</v>
      </c>
      <c r="M57" s="201">
        <f>'2026 COB breakdown_new'!Z58</f>
        <v>1066.2</v>
      </c>
      <c r="N57" s="107">
        <f t="shared" si="3"/>
        <v>528630</v>
      </c>
      <c r="O57" s="107">
        <f>'2026 COB breakdown_new'!AL58</f>
        <v>1233.8</v>
      </c>
      <c r="P57" s="107">
        <f t="shared" si="4"/>
        <v>987748.18</v>
      </c>
      <c r="Q57" s="100"/>
      <c r="S57" s="100"/>
      <c r="V57" s="101"/>
      <c r="W57" s="101"/>
      <c r="X57" s="101"/>
    </row>
    <row r="58" spans="1:37" x14ac:dyDescent="0.25">
      <c r="A58">
        <v>10221</v>
      </c>
      <c r="B58" t="s">
        <v>317</v>
      </c>
      <c r="C58" t="s">
        <v>211</v>
      </c>
      <c r="D58" s="96">
        <v>456818.18</v>
      </c>
      <c r="E58" s="96">
        <v>0</v>
      </c>
      <c r="F58" s="96">
        <f t="shared" si="0"/>
        <v>456818.18</v>
      </c>
      <c r="G58" s="96">
        <f>'2026 COB breakdown_Kris'!M58</f>
        <v>15460.2</v>
      </c>
      <c r="H58" s="96">
        <f t="shared" si="1"/>
        <v>472278.38</v>
      </c>
      <c r="J58" s="43" t="s">
        <v>211</v>
      </c>
      <c r="K58" s="43" t="s">
        <v>268</v>
      </c>
      <c r="L58" s="107">
        <f t="shared" si="2"/>
        <v>456818.18</v>
      </c>
      <c r="M58" s="201">
        <f>'2026 COB breakdown_new'!Z59</f>
        <v>15460.2</v>
      </c>
      <c r="N58" s="107">
        <f t="shared" si="3"/>
        <v>0</v>
      </c>
      <c r="O58" s="107">
        <f>'2026 COB breakdown_new'!AL59</f>
        <v>0</v>
      </c>
      <c r="P58" s="107">
        <f t="shared" si="4"/>
        <v>472278.38</v>
      </c>
      <c r="Q58" s="100"/>
      <c r="S58" s="100"/>
      <c r="T58" s="101"/>
      <c r="V58" s="101"/>
      <c r="W58" s="101"/>
      <c r="X58" s="101"/>
      <c r="Z58" s="101"/>
      <c r="AA58" s="102"/>
    </row>
    <row r="59" spans="1:37" x14ac:dyDescent="0.25">
      <c r="A59">
        <v>10222</v>
      </c>
      <c r="B59" t="s">
        <v>318</v>
      </c>
      <c r="C59" t="s">
        <v>212</v>
      </c>
      <c r="D59" s="96">
        <v>456818.18</v>
      </c>
      <c r="E59" s="96">
        <v>577994.26</v>
      </c>
      <c r="F59" s="96">
        <f t="shared" si="0"/>
        <v>1034812.44</v>
      </c>
      <c r="G59" s="96">
        <f>'2026 COB breakdown_Kris'!M59</f>
        <v>21776.399999999998</v>
      </c>
      <c r="H59" s="96">
        <f t="shared" si="1"/>
        <v>1056588.8399999999</v>
      </c>
      <c r="J59" s="43" t="s">
        <v>212</v>
      </c>
      <c r="K59" s="43" t="s">
        <v>268</v>
      </c>
      <c r="L59" s="107">
        <f t="shared" si="2"/>
        <v>456818.18</v>
      </c>
      <c r="M59" s="201">
        <f>'2026 COB breakdown_new'!Z60</f>
        <v>9613.2000000000007</v>
      </c>
      <c r="N59" s="107">
        <f t="shared" si="3"/>
        <v>577994.26</v>
      </c>
      <c r="O59" s="107">
        <f>'2026 COB breakdown_new'!AL60</f>
        <v>12163.2</v>
      </c>
      <c r="P59" s="107">
        <f t="shared" si="4"/>
        <v>1056588.8400000001</v>
      </c>
      <c r="Q59" s="100"/>
      <c r="S59" s="100"/>
      <c r="T59" s="101"/>
      <c r="V59" s="101"/>
      <c r="W59" s="101"/>
      <c r="X59" s="101"/>
      <c r="Z59" s="101"/>
      <c r="AA59" s="102"/>
    </row>
    <row r="60" spans="1:37" x14ac:dyDescent="0.25">
      <c r="A60">
        <v>10223</v>
      </c>
      <c r="B60" t="s">
        <v>319</v>
      </c>
      <c r="C60" t="s">
        <v>213</v>
      </c>
      <c r="D60" s="96">
        <v>456818.18</v>
      </c>
      <c r="E60" s="96">
        <v>0</v>
      </c>
      <c r="F60" s="96">
        <f t="shared" si="0"/>
        <v>456818.18</v>
      </c>
      <c r="G60" s="96">
        <f>'2026 COB breakdown_Kris'!M60</f>
        <v>39019</v>
      </c>
      <c r="H60" s="96">
        <f t="shared" si="1"/>
        <v>495837.18</v>
      </c>
      <c r="J60" s="43" t="s">
        <v>213</v>
      </c>
      <c r="K60" s="43" t="s">
        <v>268</v>
      </c>
      <c r="L60" s="107">
        <f t="shared" si="2"/>
        <v>456818.18</v>
      </c>
      <c r="M60" s="201">
        <f>'2026 COB breakdown_new'!Z61</f>
        <v>39019</v>
      </c>
      <c r="N60" s="107">
        <f t="shared" si="3"/>
        <v>0</v>
      </c>
      <c r="O60" s="107">
        <f>'2026 COB breakdown_new'!AL61</f>
        <v>0</v>
      </c>
      <c r="P60" s="107">
        <f t="shared" si="4"/>
        <v>495837.18</v>
      </c>
      <c r="Q60" s="100"/>
      <c r="S60" s="100"/>
      <c r="T60" s="101"/>
      <c r="V60" s="101"/>
      <c r="W60" s="101"/>
      <c r="X60" s="101"/>
      <c r="Z60" s="101"/>
      <c r="AA60" s="102"/>
    </row>
    <row r="61" spans="1:37" x14ac:dyDescent="0.25">
      <c r="A61">
        <v>10224</v>
      </c>
      <c r="B61" t="s">
        <v>320</v>
      </c>
      <c r="C61" t="s">
        <v>215</v>
      </c>
      <c r="D61" s="96">
        <v>456818.18</v>
      </c>
      <c r="E61" s="96">
        <v>0</v>
      </c>
      <c r="F61" s="96">
        <f t="shared" si="0"/>
        <v>456818.18</v>
      </c>
      <c r="G61" s="96">
        <f>'2026 COB breakdown_Kris'!M61</f>
        <v>30924.989999999998</v>
      </c>
      <c r="H61" s="96">
        <f t="shared" si="1"/>
        <v>487743.17</v>
      </c>
      <c r="J61" s="43" t="s">
        <v>215</v>
      </c>
      <c r="K61" s="43" t="s">
        <v>268</v>
      </c>
      <c r="L61" s="107">
        <f t="shared" si="2"/>
        <v>456818.18</v>
      </c>
      <c r="M61" s="201">
        <f>'2026 COB breakdown_new'!Z62</f>
        <v>30924.99</v>
      </c>
      <c r="N61" s="107">
        <f t="shared" si="3"/>
        <v>0</v>
      </c>
      <c r="O61" s="107">
        <f>'2026 COB breakdown_new'!AL62</f>
        <v>0</v>
      </c>
      <c r="P61" s="107">
        <f t="shared" si="4"/>
        <v>487743.17</v>
      </c>
      <c r="Q61" s="100"/>
      <c r="S61" s="100"/>
      <c r="T61" s="101"/>
      <c r="V61" s="101"/>
      <c r="W61" s="101"/>
      <c r="X61" s="101"/>
      <c r="Z61" s="101"/>
      <c r="AA61" s="102"/>
    </row>
    <row r="62" spans="1:37" x14ac:dyDescent="0.25">
      <c r="A62">
        <v>10225</v>
      </c>
      <c r="B62" t="s">
        <v>321</v>
      </c>
      <c r="C62" t="s">
        <v>216</v>
      </c>
      <c r="D62" s="96">
        <v>456818.18</v>
      </c>
      <c r="E62" s="96">
        <v>335000</v>
      </c>
      <c r="F62" s="96">
        <f t="shared" si="0"/>
        <v>791818.17999999993</v>
      </c>
      <c r="G62" s="96">
        <f>'2026 COB breakdown_Kris'!M62</f>
        <v>38949</v>
      </c>
      <c r="H62" s="96">
        <f t="shared" si="1"/>
        <v>830767.17999999993</v>
      </c>
      <c r="J62" s="43" t="s">
        <v>216</v>
      </c>
      <c r="K62" s="43" t="s">
        <v>268</v>
      </c>
      <c r="L62" s="107">
        <f t="shared" si="2"/>
        <v>456818.18</v>
      </c>
      <c r="M62" s="201">
        <f>'2026 COB breakdown_new'!Z63</f>
        <v>22470.58</v>
      </c>
      <c r="N62" s="107">
        <f t="shared" si="3"/>
        <v>335000</v>
      </c>
      <c r="O62" s="107">
        <f>'2026 COB breakdown_new'!AL63</f>
        <v>16478.419999999998</v>
      </c>
      <c r="P62" s="107">
        <f t="shared" si="4"/>
        <v>830767.18</v>
      </c>
      <c r="Q62" s="100"/>
      <c r="S62" s="100"/>
      <c r="T62" s="101"/>
      <c r="V62" s="101"/>
      <c r="W62" s="101"/>
      <c r="X62" s="101"/>
      <c r="Z62" s="101"/>
      <c r="AA62" s="102"/>
    </row>
    <row r="63" spans="1:37" x14ac:dyDescent="0.25">
      <c r="A63">
        <v>10226</v>
      </c>
      <c r="B63" t="s">
        <v>322</v>
      </c>
      <c r="C63" t="s">
        <v>217</v>
      </c>
      <c r="D63" s="96">
        <v>456818.18</v>
      </c>
      <c r="E63" s="96">
        <v>0</v>
      </c>
      <c r="F63" s="96">
        <f t="shared" si="0"/>
        <v>456818.18</v>
      </c>
      <c r="G63" s="96">
        <f>'2026 COB breakdown_Kris'!M63</f>
        <v>20760</v>
      </c>
      <c r="H63" s="96">
        <f t="shared" si="1"/>
        <v>477578.18</v>
      </c>
      <c r="J63" s="43" t="s">
        <v>217</v>
      </c>
      <c r="K63" s="43" t="s">
        <v>268</v>
      </c>
      <c r="L63" s="107">
        <f t="shared" si="2"/>
        <v>456818.18</v>
      </c>
      <c r="M63" s="201">
        <f>'2026 COB breakdown_new'!Z64</f>
        <v>20760</v>
      </c>
      <c r="N63" s="107">
        <f t="shared" si="3"/>
        <v>0</v>
      </c>
      <c r="O63" s="107">
        <f>'2026 COB breakdown_new'!AL64</f>
        <v>0</v>
      </c>
      <c r="P63" s="107">
        <f t="shared" si="4"/>
        <v>477578.18</v>
      </c>
      <c r="Q63" s="100"/>
      <c r="R63" s="100"/>
      <c r="S63" s="100"/>
      <c r="V63" s="101"/>
      <c r="W63" s="101"/>
      <c r="X63" s="101"/>
    </row>
    <row r="64" spans="1:37" x14ac:dyDescent="0.25">
      <c r="A64">
        <v>10227</v>
      </c>
      <c r="B64" t="s">
        <v>323</v>
      </c>
      <c r="C64" t="s">
        <v>218</v>
      </c>
      <c r="D64" s="96">
        <v>456818.18</v>
      </c>
      <c r="E64" s="96">
        <v>0</v>
      </c>
      <c r="F64" s="96">
        <f t="shared" si="0"/>
        <v>456818.18</v>
      </c>
      <c r="G64" s="96">
        <f>'2026 COB breakdown_Kris'!M64</f>
        <v>41694</v>
      </c>
      <c r="H64" s="96">
        <f t="shared" si="1"/>
        <v>498512.18</v>
      </c>
      <c r="J64" s="43" t="s">
        <v>218</v>
      </c>
      <c r="K64" s="43" t="s">
        <v>268</v>
      </c>
      <c r="L64" s="107">
        <f t="shared" si="2"/>
        <v>456818.18</v>
      </c>
      <c r="M64" s="201">
        <f>'2026 COB breakdown_new'!Z65</f>
        <v>41694</v>
      </c>
      <c r="N64" s="107">
        <f t="shared" si="3"/>
        <v>0</v>
      </c>
      <c r="O64" s="107">
        <f>'2026 COB breakdown_new'!AL65</f>
        <v>0</v>
      </c>
      <c r="P64" s="107">
        <f t="shared" si="4"/>
        <v>498512.18</v>
      </c>
      <c r="Q64" s="100"/>
      <c r="S64" s="100"/>
      <c r="T64" s="101"/>
      <c r="V64" s="101"/>
      <c r="W64" s="101"/>
      <c r="X64" s="101"/>
    </row>
    <row r="65" spans="1:27" x14ac:dyDescent="0.25">
      <c r="A65">
        <v>10228</v>
      </c>
      <c r="B65" t="s">
        <v>324</v>
      </c>
      <c r="C65" s="22" t="s">
        <v>219</v>
      </c>
      <c r="D65" s="96">
        <v>456818.18</v>
      </c>
      <c r="E65" s="96">
        <v>533746.79</v>
      </c>
      <c r="F65" s="96">
        <f t="shared" si="0"/>
        <v>990564.97</v>
      </c>
      <c r="G65" s="96">
        <f>'2026 COB breakdown_Kris'!M65</f>
        <v>11750</v>
      </c>
      <c r="H65" s="96">
        <f t="shared" si="1"/>
        <v>1002314.97</v>
      </c>
      <c r="J65" s="43" t="s">
        <v>219</v>
      </c>
      <c r="K65" s="43" t="s">
        <v>268</v>
      </c>
      <c r="L65" s="107">
        <f t="shared" si="2"/>
        <v>456818.18</v>
      </c>
      <c r="M65" s="201">
        <f>'2026 COB breakdown_new'!Z66</f>
        <v>5418.74</v>
      </c>
      <c r="N65" s="107">
        <f t="shared" si="3"/>
        <v>533746.79</v>
      </c>
      <c r="O65" s="107">
        <f>'2026 COB breakdown_new'!AL66</f>
        <v>6331.26</v>
      </c>
      <c r="P65" s="107">
        <f t="shared" si="4"/>
        <v>1002314.97</v>
      </c>
      <c r="Q65" s="100"/>
      <c r="R65" s="100"/>
      <c r="S65" s="100"/>
      <c r="T65" s="101"/>
      <c r="V65" s="101"/>
      <c r="W65" s="101"/>
      <c r="X65" s="101"/>
    </row>
    <row r="66" spans="1:27" x14ac:dyDescent="0.25">
      <c r="A66">
        <v>10229</v>
      </c>
      <c r="B66" t="s">
        <v>325</v>
      </c>
      <c r="C66" t="s">
        <v>220</v>
      </c>
      <c r="D66" s="96">
        <v>456818.18</v>
      </c>
      <c r="E66" s="96">
        <v>201000</v>
      </c>
      <c r="F66" s="96">
        <f t="shared" si="0"/>
        <v>657818.17999999993</v>
      </c>
      <c r="G66" s="96">
        <f>'2026 COB breakdown_Kris'!M66</f>
        <v>7980</v>
      </c>
      <c r="H66" s="96">
        <f t="shared" si="1"/>
        <v>665798.17999999993</v>
      </c>
      <c r="J66" s="43" t="s">
        <v>220</v>
      </c>
      <c r="K66" s="43" t="s">
        <v>268</v>
      </c>
      <c r="L66" s="107">
        <f t="shared" si="2"/>
        <v>456818.18</v>
      </c>
      <c r="M66" s="201">
        <f>'2026 COB breakdown_new'!Z67</f>
        <v>5541.67</v>
      </c>
      <c r="N66" s="107">
        <f t="shared" si="3"/>
        <v>201000</v>
      </c>
      <c r="O66" s="107">
        <f>'2026 COB breakdown_new'!AL67</f>
        <v>2438.33</v>
      </c>
      <c r="P66" s="107">
        <f t="shared" si="4"/>
        <v>665798.17999999993</v>
      </c>
      <c r="Q66" s="100"/>
      <c r="S66" s="100"/>
      <c r="T66" s="101"/>
      <c r="V66" s="101"/>
      <c r="W66" s="101"/>
      <c r="X66" s="101"/>
      <c r="Z66" s="101"/>
      <c r="AA66" s="102"/>
    </row>
    <row r="67" spans="1:27" x14ac:dyDescent="0.25">
      <c r="A67">
        <v>10230</v>
      </c>
      <c r="B67" t="s">
        <v>326</v>
      </c>
      <c r="C67" t="s">
        <v>221</v>
      </c>
      <c r="D67" s="96">
        <v>456818.18</v>
      </c>
      <c r="E67" s="96">
        <v>335000</v>
      </c>
      <c r="F67" s="96">
        <f t="shared" si="0"/>
        <v>791818.17999999993</v>
      </c>
      <c r="G67" s="96">
        <f>'2026 COB breakdown_Kris'!M67</f>
        <v>16878.010000000002</v>
      </c>
      <c r="H67" s="96">
        <f t="shared" si="1"/>
        <v>808696.19</v>
      </c>
      <c r="J67" s="43" t="s">
        <v>221</v>
      </c>
      <c r="K67" s="43" t="s">
        <v>268</v>
      </c>
      <c r="L67" s="107">
        <f t="shared" si="2"/>
        <v>456818.18</v>
      </c>
      <c r="M67" s="201">
        <f>'2026 COB breakdown_new'!Z68</f>
        <v>9737.3099999999977</v>
      </c>
      <c r="N67" s="107">
        <f t="shared" si="3"/>
        <v>335000</v>
      </c>
      <c r="O67" s="107">
        <f>'2026 COB breakdown_new'!AL68</f>
        <v>7140.7</v>
      </c>
      <c r="P67" s="107">
        <f t="shared" si="4"/>
        <v>808696.19</v>
      </c>
      <c r="Q67" s="100"/>
      <c r="R67" s="100"/>
      <c r="S67" s="100"/>
      <c r="T67" s="101"/>
      <c r="V67" s="101"/>
      <c r="W67" s="101"/>
      <c r="X67" s="101"/>
    </row>
    <row r="68" spans="1:27" x14ac:dyDescent="0.25">
      <c r="A68">
        <v>10231</v>
      </c>
      <c r="B68" t="s">
        <v>327</v>
      </c>
      <c r="C68" t="s">
        <v>222</v>
      </c>
      <c r="D68" s="96">
        <v>456818.18</v>
      </c>
      <c r="E68" s="96">
        <v>67000</v>
      </c>
      <c r="F68" s="96">
        <f t="shared" si="0"/>
        <v>523818.18</v>
      </c>
      <c r="G68" s="96">
        <f>'2026 COB breakdown_Kris'!M68</f>
        <v>24000</v>
      </c>
      <c r="H68" s="96">
        <f t="shared" si="1"/>
        <v>547818.17999999993</v>
      </c>
      <c r="J68" s="43" t="s">
        <v>222</v>
      </c>
      <c r="K68" s="43" t="s">
        <v>268</v>
      </c>
      <c r="L68" s="107">
        <f t="shared" si="2"/>
        <v>456818.18</v>
      </c>
      <c r="M68" s="201">
        <f>'2026 COB breakdown_new'!Z69</f>
        <v>20930.23</v>
      </c>
      <c r="N68" s="107">
        <f t="shared" si="3"/>
        <v>67000</v>
      </c>
      <c r="O68" s="107">
        <f>'2026 COB breakdown_new'!AL69</f>
        <v>3069.77</v>
      </c>
      <c r="P68" s="107">
        <f t="shared" si="4"/>
        <v>547818.17999999993</v>
      </c>
      <c r="Q68" s="100"/>
      <c r="S68" s="100"/>
      <c r="V68" s="101"/>
      <c r="W68" s="101"/>
      <c r="X68" s="104"/>
    </row>
    <row r="69" spans="1:27" x14ac:dyDescent="0.25">
      <c r="A69">
        <v>10232</v>
      </c>
      <c r="B69" t="s">
        <v>328</v>
      </c>
      <c r="C69" t="s">
        <v>223</v>
      </c>
      <c r="D69" s="96">
        <v>456818.18</v>
      </c>
      <c r="E69" s="96">
        <v>670000</v>
      </c>
      <c r="F69" s="96">
        <f t="shared" si="0"/>
        <v>1126818.18</v>
      </c>
      <c r="G69" s="96">
        <f>'2026 COB breakdown_Kris'!M69</f>
        <v>21954</v>
      </c>
      <c r="H69" s="96">
        <f t="shared" si="1"/>
        <v>1148772.18</v>
      </c>
      <c r="J69" s="43" t="s">
        <v>223</v>
      </c>
      <c r="K69" s="43" t="s">
        <v>268</v>
      </c>
      <c r="L69" s="107">
        <f t="shared" si="2"/>
        <v>456818.18</v>
      </c>
      <c r="M69" s="201">
        <f>'2026 COB breakdown_new'!Z70</f>
        <v>8900.27</v>
      </c>
      <c r="N69" s="107">
        <f t="shared" si="3"/>
        <v>670000</v>
      </c>
      <c r="O69" s="107">
        <f>'2026 COB breakdown_new'!AL70</f>
        <v>13053.73</v>
      </c>
      <c r="P69" s="107">
        <f t="shared" si="4"/>
        <v>1148772.18</v>
      </c>
      <c r="Q69" s="100"/>
      <c r="S69" s="100"/>
      <c r="T69" s="101"/>
      <c r="V69" s="101"/>
      <c r="W69" s="101"/>
      <c r="X69" s="101"/>
      <c r="Z69" s="101"/>
      <c r="AA69" s="102"/>
    </row>
    <row r="70" spans="1:27" x14ac:dyDescent="0.25">
      <c r="A70">
        <v>10233</v>
      </c>
      <c r="B70" t="s">
        <v>301</v>
      </c>
      <c r="C70" t="s">
        <v>224</v>
      </c>
      <c r="D70" s="96">
        <v>456818.18</v>
      </c>
      <c r="E70" s="96">
        <v>536000</v>
      </c>
      <c r="F70" s="96">
        <f t="shared" ref="F70:F103" si="5">D70+E70</f>
        <v>992818.17999999993</v>
      </c>
      <c r="G70" s="96">
        <f>'2026 COB breakdown_Kris'!M70</f>
        <v>34300</v>
      </c>
      <c r="H70" s="96">
        <f t="shared" ref="H70:H103" si="6">F70+G70</f>
        <v>1027118.1799999999</v>
      </c>
      <c r="J70" s="43" t="s">
        <v>224</v>
      </c>
      <c r="K70" s="43" t="s">
        <v>268</v>
      </c>
      <c r="L70" s="107">
        <f t="shared" ref="L70:L103" si="7">D70</f>
        <v>456818.18</v>
      </c>
      <c r="M70" s="201">
        <f>'2026 COB breakdown_new'!Z71</f>
        <v>15782.21</v>
      </c>
      <c r="N70" s="107">
        <f t="shared" ref="N70:N103" si="8">E70</f>
        <v>536000</v>
      </c>
      <c r="O70" s="107">
        <f>'2026 COB breakdown_new'!AL71</f>
        <v>18517.79</v>
      </c>
      <c r="P70" s="107">
        <f t="shared" ref="P70:P103" si="9">SUM(L70:O70)</f>
        <v>1027118.18</v>
      </c>
      <c r="Q70" s="100"/>
      <c r="S70" s="100"/>
      <c r="T70" s="101"/>
      <c r="V70" s="101"/>
      <c r="W70" s="101"/>
      <c r="X70" s="101"/>
      <c r="Z70" s="101"/>
    </row>
    <row r="71" spans="1:27" x14ac:dyDescent="0.25">
      <c r="A71">
        <v>10234</v>
      </c>
      <c r="B71" t="s">
        <v>329</v>
      </c>
      <c r="C71" t="s">
        <v>225</v>
      </c>
      <c r="D71" s="96">
        <v>456818.18</v>
      </c>
      <c r="E71" s="96">
        <v>335000</v>
      </c>
      <c r="F71" s="96">
        <f t="shared" si="5"/>
        <v>791818.17999999993</v>
      </c>
      <c r="G71" s="96">
        <f>'2026 COB breakdown_Kris'!M71</f>
        <v>32877</v>
      </c>
      <c r="H71" s="96">
        <f t="shared" si="6"/>
        <v>824695.17999999993</v>
      </c>
      <c r="J71" s="43" t="s">
        <v>225</v>
      </c>
      <c r="K71" s="43" t="s">
        <v>268</v>
      </c>
      <c r="L71" s="107">
        <f t="shared" si="7"/>
        <v>456818.18</v>
      </c>
      <c r="M71" s="201">
        <f>'2026 COB breakdown_new'!Z72</f>
        <v>18967.5</v>
      </c>
      <c r="N71" s="107">
        <f t="shared" si="8"/>
        <v>335000</v>
      </c>
      <c r="O71" s="107">
        <f>'2026 COB breakdown_new'!AL72</f>
        <v>13909.5</v>
      </c>
      <c r="P71" s="107">
        <f t="shared" si="9"/>
        <v>824695.17999999993</v>
      </c>
      <c r="Q71" s="100"/>
      <c r="S71" s="100"/>
      <c r="T71" s="101"/>
      <c r="V71" s="101"/>
      <c r="W71" s="101"/>
      <c r="X71" s="101"/>
      <c r="Z71" s="101"/>
      <c r="AA71" s="102"/>
    </row>
    <row r="72" spans="1:27" x14ac:dyDescent="0.25">
      <c r="A72">
        <v>10235</v>
      </c>
      <c r="B72" t="s">
        <v>330</v>
      </c>
      <c r="C72" t="s">
        <v>226</v>
      </c>
      <c r="D72" s="96">
        <v>456818.18</v>
      </c>
      <c r="E72" s="96">
        <v>670000</v>
      </c>
      <c r="F72" s="96">
        <f t="shared" si="5"/>
        <v>1126818.18</v>
      </c>
      <c r="G72" s="96">
        <f>'2026 COB breakdown_Kris'!M72</f>
        <v>28414.799999999996</v>
      </c>
      <c r="H72" s="96">
        <f t="shared" si="6"/>
        <v>1155232.98</v>
      </c>
      <c r="J72" s="43" t="s">
        <v>226</v>
      </c>
      <c r="K72" s="43" t="s">
        <v>268</v>
      </c>
      <c r="L72" s="107">
        <f t="shared" si="7"/>
        <v>456818.18</v>
      </c>
      <c r="M72" s="201">
        <f>'2026 COB breakdown_new'!Z73</f>
        <v>11519.509999999998</v>
      </c>
      <c r="N72" s="107">
        <f t="shared" si="8"/>
        <v>670000</v>
      </c>
      <c r="O72" s="107">
        <f>'2026 COB breakdown_new'!AL73</f>
        <v>16895.29</v>
      </c>
      <c r="P72" s="107">
        <f t="shared" si="9"/>
        <v>1155232.98</v>
      </c>
      <c r="Q72" s="100"/>
      <c r="S72" s="100"/>
      <c r="T72" s="101"/>
      <c r="V72" s="101"/>
      <c r="W72" s="101"/>
      <c r="X72" s="101"/>
      <c r="Z72" s="101"/>
      <c r="AA72" s="102"/>
    </row>
    <row r="73" spans="1:27" x14ac:dyDescent="0.25">
      <c r="A73">
        <v>10236</v>
      </c>
      <c r="B73" t="s">
        <v>331</v>
      </c>
      <c r="C73" t="s">
        <v>227</v>
      </c>
      <c r="D73" s="96">
        <v>456818.18</v>
      </c>
      <c r="E73" s="96">
        <v>172723.32</v>
      </c>
      <c r="F73" s="96">
        <f t="shared" si="5"/>
        <v>629541.5</v>
      </c>
      <c r="G73" s="96">
        <f>'2026 COB breakdown_Kris'!M73</f>
        <v>34575.01</v>
      </c>
      <c r="H73" s="96">
        <f t="shared" si="6"/>
        <v>664116.51</v>
      </c>
      <c r="J73" s="43" t="s">
        <v>227</v>
      </c>
      <c r="K73" s="43" t="s">
        <v>268</v>
      </c>
      <c r="L73" s="107">
        <f t="shared" si="7"/>
        <v>456818.18</v>
      </c>
      <c r="M73" s="201">
        <f>'2026 COB breakdown_new'!Z74</f>
        <v>25088.880000000005</v>
      </c>
      <c r="N73" s="107">
        <f t="shared" si="8"/>
        <v>172723.32</v>
      </c>
      <c r="O73" s="107">
        <f>'2026 COB breakdown_new'!AL74</f>
        <v>9486.1299999999992</v>
      </c>
      <c r="P73" s="107">
        <f t="shared" si="9"/>
        <v>664116.51</v>
      </c>
      <c r="Q73" s="100"/>
      <c r="R73" s="100"/>
      <c r="S73" s="100"/>
      <c r="T73" s="101"/>
      <c r="V73" s="101"/>
      <c r="W73" s="101"/>
      <c r="X73" s="101"/>
    </row>
    <row r="74" spans="1:27" x14ac:dyDescent="0.25">
      <c r="A74">
        <v>10237</v>
      </c>
      <c r="B74" t="s">
        <v>332</v>
      </c>
      <c r="C74" t="s">
        <v>228</v>
      </c>
      <c r="D74" s="96">
        <v>456818.18</v>
      </c>
      <c r="E74" s="96">
        <v>0</v>
      </c>
      <c r="F74" s="96">
        <f t="shared" si="5"/>
        <v>456818.18</v>
      </c>
      <c r="G74" s="96">
        <f>'2026 COB breakdown_Kris'!M74</f>
        <v>17250</v>
      </c>
      <c r="H74" s="96">
        <f t="shared" si="6"/>
        <v>474068.18</v>
      </c>
      <c r="J74" s="43" t="s">
        <v>228</v>
      </c>
      <c r="K74" s="43" t="s">
        <v>268</v>
      </c>
      <c r="L74" s="107">
        <f t="shared" si="7"/>
        <v>456818.18</v>
      </c>
      <c r="M74" s="201">
        <f>'2026 COB breakdown_new'!Z75</f>
        <v>17250</v>
      </c>
      <c r="N74" s="107">
        <f t="shared" si="8"/>
        <v>0</v>
      </c>
      <c r="O74" s="107">
        <f>'2026 COB breakdown_new'!AL75</f>
        <v>0</v>
      </c>
      <c r="P74" s="107">
        <f t="shared" si="9"/>
        <v>474068.18</v>
      </c>
      <c r="Q74" s="100"/>
      <c r="S74" s="100"/>
      <c r="V74" s="101"/>
      <c r="W74" s="101"/>
    </row>
    <row r="75" spans="1:27" x14ac:dyDescent="0.25">
      <c r="A75">
        <v>10238</v>
      </c>
      <c r="B75" t="s">
        <v>301</v>
      </c>
      <c r="C75" t="s">
        <v>229</v>
      </c>
      <c r="D75" s="96">
        <v>456818.18</v>
      </c>
      <c r="E75" s="96">
        <v>67000</v>
      </c>
      <c r="F75" s="96">
        <f t="shared" si="5"/>
        <v>523818.18</v>
      </c>
      <c r="G75" s="96">
        <f>'2026 COB breakdown_Kris'!M75</f>
        <v>37825.99</v>
      </c>
      <c r="H75" s="96">
        <f t="shared" si="6"/>
        <v>561644.17000000004</v>
      </c>
      <c r="J75" s="43" t="s">
        <v>229</v>
      </c>
      <c r="K75" s="43" t="s">
        <v>268</v>
      </c>
      <c r="L75" s="107">
        <f t="shared" si="7"/>
        <v>456818.18</v>
      </c>
      <c r="M75" s="201">
        <f>'2026 COB breakdown_new'!Z76</f>
        <v>32987.78</v>
      </c>
      <c r="N75" s="107">
        <f t="shared" si="8"/>
        <v>67000</v>
      </c>
      <c r="O75" s="107">
        <f>'2026 COB breakdown_new'!AL76</f>
        <v>4838.21</v>
      </c>
      <c r="P75" s="107">
        <f t="shared" si="9"/>
        <v>561644.16999999993</v>
      </c>
      <c r="Q75" s="100"/>
      <c r="S75" s="100"/>
      <c r="T75" s="101"/>
      <c r="U75" s="101"/>
      <c r="V75" s="101"/>
      <c r="W75" s="101"/>
      <c r="X75" s="101"/>
      <c r="Z75" s="101"/>
    </row>
    <row r="76" spans="1:27" x14ac:dyDescent="0.25">
      <c r="A76">
        <v>10239</v>
      </c>
      <c r="B76" t="s">
        <v>333</v>
      </c>
      <c r="C76" s="22" t="s">
        <v>230</v>
      </c>
      <c r="D76" s="96">
        <v>456818.18</v>
      </c>
      <c r="E76" s="96">
        <v>0</v>
      </c>
      <c r="F76" s="96">
        <f t="shared" si="5"/>
        <v>456818.18</v>
      </c>
      <c r="G76" s="96">
        <f>'2026 COB breakdown_Kris'!M76</f>
        <v>15539</v>
      </c>
      <c r="H76" s="96">
        <f t="shared" si="6"/>
        <v>472357.18</v>
      </c>
      <c r="J76" s="43" t="s">
        <v>230</v>
      </c>
      <c r="K76" s="43" t="s">
        <v>268</v>
      </c>
      <c r="L76" s="107">
        <f t="shared" si="7"/>
        <v>456818.18</v>
      </c>
      <c r="M76" s="201">
        <f>'2026 COB breakdown_new'!Z77</f>
        <v>15539</v>
      </c>
      <c r="N76" s="107">
        <f t="shared" si="8"/>
        <v>0</v>
      </c>
      <c r="O76" s="107">
        <f>'2026 COB breakdown_new'!AL77</f>
        <v>0</v>
      </c>
      <c r="P76" s="107">
        <f t="shared" si="9"/>
        <v>472357.18</v>
      </c>
      <c r="Q76" s="100"/>
      <c r="S76" s="100"/>
      <c r="T76" s="101"/>
      <c r="U76" s="101"/>
      <c r="V76" s="101"/>
      <c r="W76" s="101"/>
      <c r="X76" s="101"/>
    </row>
    <row r="77" spans="1:27" x14ac:dyDescent="0.25">
      <c r="A77">
        <v>10240</v>
      </c>
      <c r="B77" t="s">
        <v>334</v>
      </c>
      <c r="C77" t="s">
        <v>231</v>
      </c>
      <c r="D77" s="96">
        <v>456818.18</v>
      </c>
      <c r="E77" s="96">
        <v>669589.29</v>
      </c>
      <c r="F77" s="96">
        <f t="shared" si="5"/>
        <v>1126407.47</v>
      </c>
      <c r="G77" s="96">
        <f>'2026 COB breakdown_Kris'!M77</f>
        <v>44254.99</v>
      </c>
      <c r="H77" s="96">
        <f t="shared" si="6"/>
        <v>1170662.46</v>
      </c>
      <c r="J77" s="43" t="s">
        <v>231</v>
      </c>
      <c r="K77" s="43" t="s">
        <v>268</v>
      </c>
      <c r="L77" s="107">
        <f t="shared" si="7"/>
        <v>456818.18</v>
      </c>
      <c r="M77" s="201">
        <f>'2026 COB breakdown_new'!Z78</f>
        <v>17947.749999999996</v>
      </c>
      <c r="N77" s="107">
        <f t="shared" si="8"/>
        <v>669589.29</v>
      </c>
      <c r="O77" s="107">
        <f>'2026 COB breakdown_new'!AL78</f>
        <v>26307.24</v>
      </c>
      <c r="P77" s="107">
        <f t="shared" si="9"/>
        <v>1170662.46</v>
      </c>
      <c r="Q77" s="100"/>
      <c r="R77" s="100"/>
      <c r="S77" s="100"/>
      <c r="T77" s="101"/>
      <c r="U77" s="101"/>
      <c r="V77" s="101"/>
      <c r="W77" s="101"/>
      <c r="X77" s="101"/>
    </row>
    <row r="78" spans="1:27" x14ac:dyDescent="0.25">
      <c r="A78">
        <v>10241</v>
      </c>
      <c r="B78" t="s">
        <v>335</v>
      </c>
      <c r="C78" t="s">
        <v>232</v>
      </c>
      <c r="D78" s="96">
        <v>456818.18</v>
      </c>
      <c r="E78" s="96">
        <v>0</v>
      </c>
      <c r="F78" s="96">
        <f t="shared" si="5"/>
        <v>456818.18</v>
      </c>
      <c r="G78" s="96">
        <f>'2026 COB breakdown_Kris'!M78</f>
        <v>22104</v>
      </c>
      <c r="H78" s="96">
        <f t="shared" si="6"/>
        <v>478922.18</v>
      </c>
      <c r="J78" s="43" t="s">
        <v>232</v>
      </c>
      <c r="K78" s="43" t="s">
        <v>268</v>
      </c>
      <c r="L78" s="107">
        <f t="shared" si="7"/>
        <v>456818.18</v>
      </c>
      <c r="M78" s="201">
        <f>'2026 COB breakdown_new'!Z79</f>
        <v>22104</v>
      </c>
      <c r="N78" s="107">
        <f t="shared" si="8"/>
        <v>0</v>
      </c>
      <c r="O78" s="107">
        <f>'2026 COB breakdown_new'!AL79</f>
        <v>0</v>
      </c>
      <c r="P78" s="107">
        <f t="shared" si="9"/>
        <v>478922.18</v>
      </c>
      <c r="Q78" s="100"/>
      <c r="S78" s="100"/>
      <c r="V78" s="101"/>
      <c r="W78" s="101"/>
      <c r="X78" s="101"/>
    </row>
    <row r="79" spans="1:27" x14ac:dyDescent="0.25">
      <c r="A79">
        <v>10242</v>
      </c>
      <c r="B79" t="s">
        <v>336</v>
      </c>
      <c r="C79" t="s">
        <v>134</v>
      </c>
      <c r="D79" s="96">
        <v>456818.18</v>
      </c>
      <c r="E79" s="96">
        <v>3350000</v>
      </c>
      <c r="F79" s="96">
        <f t="shared" si="5"/>
        <v>3806818.18</v>
      </c>
      <c r="G79" s="96"/>
      <c r="H79" s="96"/>
      <c r="J79" s="43" t="s">
        <v>134</v>
      </c>
      <c r="K79" s="43" t="s">
        <v>268</v>
      </c>
      <c r="L79" s="107">
        <f t="shared" si="7"/>
        <v>456818.18</v>
      </c>
      <c r="M79" s="201">
        <f>RPA_Kris!D5</f>
        <v>50000</v>
      </c>
      <c r="N79" s="107">
        <f t="shared" si="8"/>
        <v>3350000</v>
      </c>
      <c r="O79" s="107">
        <f>RPA_Kris!D6</f>
        <v>1173317</v>
      </c>
      <c r="P79" s="107">
        <f t="shared" si="9"/>
        <v>5030135.18</v>
      </c>
      <c r="Q79" s="100"/>
      <c r="S79" s="100"/>
      <c r="T79" s="101"/>
      <c r="V79" s="101"/>
      <c r="W79" s="101"/>
      <c r="X79" s="101"/>
      <c r="Z79" s="101"/>
      <c r="AA79" s="102"/>
    </row>
    <row r="80" spans="1:27" x14ac:dyDescent="0.25">
      <c r="A80">
        <v>10243</v>
      </c>
      <c r="B80" t="s">
        <v>337</v>
      </c>
      <c r="C80" t="s">
        <v>233</v>
      </c>
      <c r="D80" s="96">
        <v>456818.18</v>
      </c>
      <c r="E80" s="96">
        <v>67000</v>
      </c>
      <c r="F80" s="96">
        <f t="shared" si="5"/>
        <v>523818.18</v>
      </c>
      <c r="G80" s="96">
        <f>'2026 COB breakdown_Kris'!M80</f>
        <v>19897.2</v>
      </c>
      <c r="H80" s="96">
        <f t="shared" si="6"/>
        <v>543715.38</v>
      </c>
      <c r="J80" s="43" t="s">
        <v>233</v>
      </c>
      <c r="K80" s="43" t="s">
        <v>268</v>
      </c>
      <c r="L80" s="107">
        <f t="shared" si="7"/>
        <v>456818.18</v>
      </c>
      <c r="M80" s="201">
        <f>'2026 COB breakdown_new'!Z81</f>
        <v>17352.21</v>
      </c>
      <c r="N80" s="107">
        <f t="shared" si="8"/>
        <v>67000</v>
      </c>
      <c r="O80" s="107">
        <f>'2026 COB breakdown_new'!AL81</f>
        <v>2544.9899999999998</v>
      </c>
      <c r="P80" s="107">
        <f t="shared" si="9"/>
        <v>543715.38</v>
      </c>
      <c r="Q80" s="100"/>
      <c r="R80" s="100"/>
      <c r="S80" s="100"/>
      <c r="T80" s="101"/>
      <c r="V80" s="101"/>
      <c r="W80" s="101"/>
      <c r="X80" s="101"/>
      <c r="Z80" s="101"/>
      <c r="AA80" s="102"/>
    </row>
    <row r="81" spans="1:27" x14ac:dyDescent="0.25">
      <c r="A81">
        <v>10244</v>
      </c>
      <c r="B81" t="s">
        <v>338</v>
      </c>
      <c r="C81" t="s">
        <v>234</v>
      </c>
      <c r="D81" s="96">
        <v>456818.18</v>
      </c>
      <c r="E81" s="96">
        <v>536000</v>
      </c>
      <c r="F81" s="96">
        <f t="shared" si="5"/>
        <v>992818.17999999993</v>
      </c>
      <c r="G81" s="96">
        <f>'2026 COB breakdown_Kris'!M81</f>
        <v>35027.25</v>
      </c>
      <c r="H81" s="96">
        <f t="shared" si="6"/>
        <v>1027845.4299999999</v>
      </c>
      <c r="J81" s="43" t="s">
        <v>234</v>
      </c>
      <c r="K81" s="43" t="s">
        <v>268</v>
      </c>
      <c r="L81" s="107">
        <f t="shared" si="7"/>
        <v>456818.18</v>
      </c>
      <c r="M81" s="201">
        <f>'2026 COB breakdown_new'!Z82</f>
        <v>16116.830000000002</v>
      </c>
      <c r="N81" s="107">
        <f t="shared" si="8"/>
        <v>536000</v>
      </c>
      <c r="O81" s="107">
        <f>'2026 COB breakdown_new'!AL82</f>
        <v>18910.419999999998</v>
      </c>
      <c r="P81" s="107">
        <f t="shared" si="9"/>
        <v>1027845.43</v>
      </c>
      <c r="Q81" s="100"/>
      <c r="S81" s="100"/>
      <c r="V81" s="101"/>
      <c r="W81" s="101"/>
      <c r="X81" s="101"/>
    </row>
    <row r="82" spans="1:27" x14ac:dyDescent="0.25">
      <c r="A82">
        <v>10245</v>
      </c>
      <c r="B82" t="s">
        <v>339</v>
      </c>
      <c r="C82" t="s">
        <v>235</v>
      </c>
      <c r="D82" s="96">
        <v>456818.18</v>
      </c>
      <c r="E82" s="96">
        <v>949390</v>
      </c>
      <c r="F82" s="96">
        <f t="shared" si="5"/>
        <v>1406208.18</v>
      </c>
      <c r="G82" s="96">
        <f>'2026 COB breakdown_Kris'!M82</f>
        <v>35641.56</v>
      </c>
      <c r="H82" s="96">
        <f t="shared" si="6"/>
        <v>1441849.74</v>
      </c>
      <c r="J82" s="43" t="s">
        <v>235</v>
      </c>
      <c r="K82" s="43" t="s">
        <v>268</v>
      </c>
      <c r="L82" s="107">
        <f t="shared" si="7"/>
        <v>456818.18</v>
      </c>
      <c r="M82" s="201">
        <f>'2026 COB breakdown_new'!Z83</f>
        <v>11578.449999999997</v>
      </c>
      <c r="N82" s="107">
        <f t="shared" si="8"/>
        <v>949390</v>
      </c>
      <c r="O82" s="107">
        <f>'2026 COB breakdown_new'!AL83</f>
        <v>24063.11</v>
      </c>
      <c r="P82" s="107">
        <f t="shared" si="9"/>
        <v>1441849.74</v>
      </c>
      <c r="Q82" s="100"/>
      <c r="S82" s="100"/>
      <c r="V82" s="101"/>
      <c r="W82" s="101"/>
      <c r="X82" s="101"/>
    </row>
    <row r="83" spans="1:27" x14ac:dyDescent="0.25">
      <c r="A83">
        <v>10246</v>
      </c>
      <c r="B83" t="s">
        <v>323</v>
      </c>
      <c r="C83" t="s">
        <v>236</v>
      </c>
      <c r="D83" s="96">
        <v>456818.18</v>
      </c>
      <c r="E83" s="96">
        <v>670000</v>
      </c>
      <c r="F83" s="96">
        <f t="shared" si="5"/>
        <v>1126818.18</v>
      </c>
      <c r="G83" s="96">
        <f>'2026 COB breakdown_Kris'!M83</f>
        <v>15202.8</v>
      </c>
      <c r="H83" s="96">
        <f t="shared" si="6"/>
        <v>1142020.98</v>
      </c>
      <c r="J83" s="43" t="s">
        <v>236</v>
      </c>
      <c r="K83" s="43" t="s">
        <v>268</v>
      </c>
      <c r="L83" s="107">
        <f t="shared" si="7"/>
        <v>456818.18</v>
      </c>
      <c r="M83" s="201">
        <f>'2026 COB breakdown_new'!Z84</f>
        <v>6163.2999999999993</v>
      </c>
      <c r="N83" s="107">
        <f t="shared" si="8"/>
        <v>670000</v>
      </c>
      <c r="O83" s="107">
        <f>'2026 COB breakdown_new'!AL84</f>
        <v>9039.5</v>
      </c>
      <c r="P83" s="107">
        <f t="shared" si="9"/>
        <v>1142020.98</v>
      </c>
      <c r="Q83" s="100"/>
      <c r="S83" s="100"/>
      <c r="V83" s="101"/>
      <c r="W83" s="101"/>
      <c r="X83" s="101"/>
    </row>
    <row r="84" spans="1:27" x14ac:dyDescent="0.25">
      <c r="A84">
        <v>10247</v>
      </c>
      <c r="B84" t="s">
        <v>340</v>
      </c>
      <c r="C84" t="s">
        <v>237</v>
      </c>
      <c r="D84" s="96">
        <v>456818.18</v>
      </c>
      <c r="E84" s="96">
        <v>566360.38</v>
      </c>
      <c r="F84" s="96">
        <f t="shared" si="5"/>
        <v>1023178.56</v>
      </c>
      <c r="G84" s="96">
        <f>'2026 COB breakdown_Kris'!M84</f>
        <v>27910.51</v>
      </c>
      <c r="H84" s="96">
        <f t="shared" si="6"/>
        <v>1051089.07</v>
      </c>
      <c r="J84" s="43" t="s">
        <v>237</v>
      </c>
      <c r="K84" s="43" t="s">
        <v>268</v>
      </c>
      <c r="L84" s="107">
        <f t="shared" si="7"/>
        <v>456818.18</v>
      </c>
      <c r="M84" s="201">
        <f>'2026 COB breakdown_new'!Z85</f>
        <v>12461.199999999999</v>
      </c>
      <c r="N84" s="107">
        <f t="shared" si="8"/>
        <v>566360.38</v>
      </c>
      <c r="O84" s="107">
        <f>'2026 COB breakdown_new'!AL85</f>
        <v>15449.31</v>
      </c>
      <c r="P84" s="107">
        <f t="shared" si="9"/>
        <v>1051089.07</v>
      </c>
      <c r="Q84" s="100"/>
      <c r="S84" s="100"/>
      <c r="T84" s="101"/>
      <c r="V84" s="101"/>
      <c r="W84" s="101"/>
      <c r="X84" s="101"/>
      <c r="Z84" s="101"/>
      <c r="AA84" s="102"/>
    </row>
    <row r="85" spans="1:27" x14ac:dyDescent="0.25">
      <c r="A85">
        <v>10248</v>
      </c>
      <c r="B85" t="s">
        <v>301</v>
      </c>
      <c r="C85" t="s">
        <v>238</v>
      </c>
      <c r="D85" s="96">
        <v>456818.18</v>
      </c>
      <c r="E85" s="96">
        <v>670000</v>
      </c>
      <c r="F85" s="96">
        <f t="shared" si="5"/>
        <v>1126818.18</v>
      </c>
      <c r="G85" s="96">
        <f>'2026 COB breakdown_Kris'!M85</f>
        <v>37800</v>
      </c>
      <c r="H85" s="96">
        <f t="shared" si="6"/>
        <v>1164618.18</v>
      </c>
      <c r="J85" s="43" t="s">
        <v>238</v>
      </c>
      <c r="K85" s="43" t="s">
        <v>268</v>
      </c>
      <c r="L85" s="107">
        <f t="shared" si="7"/>
        <v>456818.18</v>
      </c>
      <c r="M85" s="201">
        <f>'2026 COB breakdown_new'!Z86</f>
        <v>15324.32</v>
      </c>
      <c r="N85" s="107">
        <f t="shared" si="8"/>
        <v>670000</v>
      </c>
      <c r="O85" s="107">
        <f>'2026 COB breakdown_new'!AL86</f>
        <v>22475.68</v>
      </c>
      <c r="P85" s="107">
        <f t="shared" si="9"/>
        <v>1164618.18</v>
      </c>
      <c r="Q85" s="100"/>
      <c r="R85" s="100"/>
      <c r="S85" s="100"/>
      <c r="V85" s="101"/>
      <c r="W85" s="101"/>
      <c r="X85" s="101"/>
    </row>
    <row r="86" spans="1:27" x14ac:dyDescent="0.25">
      <c r="A86">
        <v>10249</v>
      </c>
      <c r="B86" t="s">
        <v>341</v>
      </c>
      <c r="C86" t="s">
        <v>239</v>
      </c>
      <c r="D86" s="96">
        <v>456818.18</v>
      </c>
      <c r="E86" s="96">
        <v>670000</v>
      </c>
      <c r="F86" s="96">
        <f t="shared" si="5"/>
        <v>1126818.18</v>
      </c>
      <c r="G86" s="96">
        <f>'2026 COB breakdown_Kris'!M86</f>
        <v>41822.01</v>
      </c>
      <c r="H86" s="96">
        <f t="shared" si="6"/>
        <v>1168640.19</v>
      </c>
      <c r="J86" s="43" t="s">
        <v>239</v>
      </c>
      <c r="K86" s="43" t="s">
        <v>268</v>
      </c>
      <c r="L86" s="107">
        <f t="shared" si="7"/>
        <v>456818.18</v>
      </c>
      <c r="M86" s="201">
        <f>'2026 COB breakdown_new'!Z87</f>
        <v>16954.870000000003</v>
      </c>
      <c r="N86" s="107">
        <f t="shared" si="8"/>
        <v>670000</v>
      </c>
      <c r="O86" s="107">
        <f>'2026 COB breakdown_new'!AL87</f>
        <v>24867.14</v>
      </c>
      <c r="P86" s="107">
        <f t="shared" si="9"/>
        <v>1168640.19</v>
      </c>
      <c r="Q86" s="100"/>
      <c r="S86" s="100"/>
      <c r="T86" s="101"/>
      <c r="V86" s="101"/>
      <c r="W86" s="101"/>
      <c r="X86" s="101"/>
      <c r="Z86" s="101"/>
      <c r="AA86" s="102"/>
    </row>
    <row r="87" spans="1:27" x14ac:dyDescent="0.25">
      <c r="A87">
        <v>10250</v>
      </c>
      <c r="B87" t="s">
        <v>271</v>
      </c>
      <c r="C87" s="22" t="s">
        <v>240</v>
      </c>
      <c r="D87" s="96">
        <v>456818.18</v>
      </c>
      <c r="E87" s="96">
        <v>543107.36</v>
      </c>
      <c r="F87" s="96">
        <f t="shared" si="5"/>
        <v>999925.54</v>
      </c>
      <c r="G87" s="96">
        <f>'2026 COB breakdown_Kris'!M87</f>
        <v>31076.390000000003</v>
      </c>
      <c r="H87" s="96">
        <f t="shared" si="6"/>
        <v>1031001.93</v>
      </c>
      <c r="J87" s="43" t="s">
        <v>240</v>
      </c>
      <c r="K87" s="43" t="s">
        <v>268</v>
      </c>
      <c r="L87" s="107">
        <f t="shared" si="7"/>
        <v>456818.18</v>
      </c>
      <c r="M87" s="201">
        <f>'2026 COB breakdown_new'!Z88</f>
        <v>14197.32</v>
      </c>
      <c r="N87" s="107">
        <f t="shared" si="8"/>
        <v>543107.36</v>
      </c>
      <c r="O87" s="107">
        <f>'2026 COB breakdown_new'!AL88</f>
        <v>16879.07</v>
      </c>
      <c r="P87" s="107">
        <f t="shared" si="9"/>
        <v>1031001.9299999999</v>
      </c>
      <c r="Q87" s="100"/>
      <c r="S87" s="100"/>
      <c r="V87" s="101"/>
      <c r="W87" s="101"/>
      <c r="X87" s="101"/>
    </row>
    <row r="88" spans="1:27" x14ac:dyDescent="0.25">
      <c r="A88">
        <v>10251</v>
      </c>
      <c r="B88" t="s">
        <v>342</v>
      </c>
      <c r="C88" t="s">
        <v>241</v>
      </c>
      <c r="D88" s="96">
        <v>456818.18</v>
      </c>
      <c r="E88" s="96">
        <v>536000</v>
      </c>
      <c r="F88" s="96">
        <f t="shared" si="5"/>
        <v>992818.17999999993</v>
      </c>
      <c r="G88" s="96">
        <f>'2026 COB breakdown_Kris'!M88</f>
        <v>24420</v>
      </c>
      <c r="H88" s="96">
        <f t="shared" si="6"/>
        <v>1017238.1799999999</v>
      </c>
      <c r="J88" s="43" t="s">
        <v>241</v>
      </c>
      <c r="K88" s="43" t="s">
        <v>268</v>
      </c>
      <c r="L88" s="107">
        <f t="shared" si="7"/>
        <v>456818.18</v>
      </c>
      <c r="M88" s="201">
        <f>'2026 COB breakdown_new'!Z89</f>
        <v>11236.2</v>
      </c>
      <c r="N88" s="107">
        <f t="shared" si="8"/>
        <v>536000</v>
      </c>
      <c r="O88" s="107">
        <f>'2026 COB breakdown_new'!AL89</f>
        <v>13183.8</v>
      </c>
      <c r="P88" s="107">
        <f t="shared" si="9"/>
        <v>1017238.18</v>
      </c>
      <c r="Q88" s="100"/>
      <c r="R88" s="100"/>
      <c r="S88" s="100"/>
      <c r="V88" s="101"/>
      <c r="W88" s="101"/>
      <c r="X88" s="101"/>
    </row>
    <row r="89" spans="1:27" x14ac:dyDescent="0.25">
      <c r="A89">
        <v>10252</v>
      </c>
      <c r="B89" t="s">
        <v>343</v>
      </c>
      <c r="C89" t="s">
        <v>242</v>
      </c>
      <c r="D89" s="96">
        <v>456818.18</v>
      </c>
      <c r="E89" s="96">
        <v>1340000</v>
      </c>
      <c r="F89" s="96">
        <f t="shared" si="5"/>
        <v>1796818.18</v>
      </c>
      <c r="G89" s="96">
        <f>'2026 COB breakdown_Kris'!M89</f>
        <v>18102</v>
      </c>
      <c r="H89" s="96">
        <f t="shared" si="6"/>
        <v>1814920.18</v>
      </c>
      <c r="J89" s="43" t="s">
        <v>242</v>
      </c>
      <c r="K89" s="43" t="s">
        <v>268</v>
      </c>
      <c r="L89" s="107">
        <f t="shared" si="7"/>
        <v>456818.18</v>
      </c>
      <c r="M89" s="201">
        <f>'2026 COB breakdown_new'!Z90</f>
        <v>4602.2000000000007</v>
      </c>
      <c r="N89" s="107">
        <f t="shared" si="8"/>
        <v>1340000</v>
      </c>
      <c r="O89" s="107">
        <f>'2026 COB breakdown_new'!AL90</f>
        <v>13499.8</v>
      </c>
      <c r="P89" s="107">
        <f t="shared" si="9"/>
        <v>1814920.18</v>
      </c>
      <c r="Q89" s="100"/>
      <c r="S89" s="100"/>
      <c r="T89" s="101"/>
      <c r="V89" s="101"/>
      <c r="W89" s="101"/>
      <c r="X89" s="101"/>
      <c r="Z89" s="101"/>
      <c r="AA89" s="102"/>
    </row>
    <row r="90" spans="1:27" x14ac:dyDescent="0.25">
      <c r="A90">
        <v>10253</v>
      </c>
      <c r="B90" t="s">
        <v>344</v>
      </c>
      <c r="C90" t="s">
        <v>243</v>
      </c>
      <c r="D90" s="96">
        <v>456818.18</v>
      </c>
      <c r="E90" s="96">
        <v>0</v>
      </c>
      <c r="F90" s="96">
        <f t="shared" si="5"/>
        <v>456818.18</v>
      </c>
      <c r="G90" s="96">
        <f>'2026 COB breakdown_Kris'!M90</f>
        <v>29471.81</v>
      </c>
      <c r="H90" s="96">
        <f t="shared" si="6"/>
        <v>486289.99</v>
      </c>
      <c r="J90" s="43" t="s">
        <v>243</v>
      </c>
      <c r="K90" s="43" t="s">
        <v>268</v>
      </c>
      <c r="L90" s="107">
        <f t="shared" si="7"/>
        <v>456818.18</v>
      </c>
      <c r="M90" s="201">
        <f>'2026 COB breakdown_new'!Z91</f>
        <v>29471.81</v>
      </c>
      <c r="N90" s="107">
        <f t="shared" si="8"/>
        <v>0</v>
      </c>
      <c r="O90" s="107">
        <f>'2026 COB breakdown_new'!AL91</f>
        <v>0</v>
      </c>
      <c r="P90" s="107">
        <f t="shared" si="9"/>
        <v>486289.99</v>
      </c>
      <c r="Q90" s="100"/>
      <c r="S90" s="100"/>
      <c r="T90" s="101"/>
      <c r="V90" s="101"/>
      <c r="W90" s="101"/>
      <c r="X90" s="101"/>
      <c r="Z90" s="101"/>
      <c r="AA90" s="102"/>
    </row>
    <row r="91" spans="1:27" x14ac:dyDescent="0.25">
      <c r="A91">
        <v>10254</v>
      </c>
      <c r="B91" t="s">
        <v>345</v>
      </c>
      <c r="C91" s="22" t="s">
        <v>244</v>
      </c>
      <c r="D91" s="96">
        <v>456818.18</v>
      </c>
      <c r="E91" s="96">
        <v>642530</v>
      </c>
      <c r="F91" s="96">
        <f t="shared" si="5"/>
        <v>1099348.18</v>
      </c>
      <c r="G91" s="96">
        <f>'2026 COB breakdown_Kris'!M91</f>
        <v>14918.999999999998</v>
      </c>
      <c r="H91" s="96">
        <f t="shared" si="6"/>
        <v>1114267.18</v>
      </c>
      <c r="J91" s="43" t="s">
        <v>244</v>
      </c>
      <c r="K91" s="43" t="s">
        <v>268</v>
      </c>
      <c r="L91" s="107">
        <f t="shared" si="7"/>
        <v>456818.18</v>
      </c>
      <c r="M91" s="201">
        <f>'2026 COB breakdown_new'!Z92</f>
        <v>6199.3700000000008</v>
      </c>
      <c r="N91" s="107">
        <f t="shared" si="8"/>
        <v>642530</v>
      </c>
      <c r="O91" s="107">
        <f>'2026 COB breakdown_new'!AL92</f>
        <v>8719.6299999999992</v>
      </c>
      <c r="P91" s="107">
        <f t="shared" si="9"/>
        <v>1114267.18</v>
      </c>
      <c r="Q91" s="100"/>
      <c r="S91" s="100"/>
      <c r="T91" s="101"/>
      <c r="V91" s="101"/>
      <c r="W91" s="101"/>
      <c r="X91" s="101"/>
      <c r="Z91" s="101"/>
    </row>
    <row r="92" spans="1:27" x14ac:dyDescent="0.25">
      <c r="A92">
        <v>10255</v>
      </c>
      <c r="B92" t="s">
        <v>346</v>
      </c>
      <c r="C92" t="s">
        <v>245</v>
      </c>
      <c r="D92" s="96">
        <v>456818.18</v>
      </c>
      <c r="E92" s="96">
        <v>402000</v>
      </c>
      <c r="F92" s="96">
        <f t="shared" si="5"/>
        <v>858818.17999999993</v>
      </c>
      <c r="G92" s="96">
        <f>'2026 COB breakdown_Kris'!M92</f>
        <v>25350</v>
      </c>
      <c r="H92" s="96">
        <f t="shared" si="6"/>
        <v>884168.17999999993</v>
      </c>
      <c r="J92" s="43" t="s">
        <v>245</v>
      </c>
      <c r="K92" s="43" t="s">
        <v>268</v>
      </c>
      <c r="L92" s="107">
        <f t="shared" si="7"/>
        <v>456818.18</v>
      </c>
      <c r="M92" s="201">
        <f>'2026 COB breakdown_new'!Z93</f>
        <v>13484.04</v>
      </c>
      <c r="N92" s="107">
        <f t="shared" si="8"/>
        <v>402000</v>
      </c>
      <c r="O92" s="107">
        <f>'2026 COB breakdown_new'!AL93</f>
        <v>11865.96</v>
      </c>
      <c r="P92" s="107">
        <f t="shared" si="9"/>
        <v>884168.17999999993</v>
      </c>
      <c r="Q92" s="100"/>
      <c r="S92" s="100"/>
      <c r="T92" s="101"/>
      <c r="V92" s="101"/>
      <c r="W92" s="101"/>
      <c r="X92" s="101"/>
      <c r="Z92" s="101"/>
      <c r="AA92" s="102"/>
    </row>
    <row r="93" spans="1:27" x14ac:dyDescent="0.25">
      <c r="A93">
        <v>10256</v>
      </c>
      <c r="B93" t="s">
        <v>301</v>
      </c>
      <c r="C93" t="s">
        <v>246</v>
      </c>
      <c r="D93" s="96">
        <v>456818.18</v>
      </c>
      <c r="E93" s="96">
        <v>536000</v>
      </c>
      <c r="F93" s="96">
        <f t="shared" si="5"/>
        <v>992818.17999999993</v>
      </c>
      <c r="G93" s="96">
        <f>'2026 COB breakdown_Kris'!M93</f>
        <v>40381</v>
      </c>
      <c r="H93" s="96">
        <f t="shared" si="6"/>
        <v>1033199.1799999999</v>
      </c>
      <c r="J93" s="43" t="s">
        <v>246</v>
      </c>
      <c r="K93" s="43" t="s">
        <v>268</v>
      </c>
      <c r="L93" s="107">
        <f t="shared" si="7"/>
        <v>456818.18</v>
      </c>
      <c r="M93" s="201">
        <f>'2026 COB breakdown_new'!Z94</f>
        <v>18580.21</v>
      </c>
      <c r="N93" s="107">
        <f t="shared" si="8"/>
        <v>536000</v>
      </c>
      <c r="O93" s="107">
        <f>'2026 COB breakdown_new'!AL94</f>
        <v>21800.79</v>
      </c>
      <c r="P93" s="107">
        <f t="shared" si="9"/>
        <v>1033199.18</v>
      </c>
      <c r="Q93" s="100"/>
      <c r="S93" s="100"/>
      <c r="T93" s="101"/>
      <c r="V93" s="101"/>
      <c r="W93" s="101"/>
      <c r="X93" s="101"/>
      <c r="Z93" s="101"/>
    </row>
    <row r="94" spans="1:27" x14ac:dyDescent="0.25">
      <c r="A94">
        <v>10257</v>
      </c>
      <c r="B94" t="s">
        <v>347</v>
      </c>
      <c r="C94" t="s">
        <v>247</v>
      </c>
      <c r="D94" s="96">
        <v>456818.18</v>
      </c>
      <c r="E94" s="96">
        <v>0</v>
      </c>
      <c r="F94" s="96">
        <f t="shared" si="5"/>
        <v>456818.18</v>
      </c>
      <c r="G94" s="96">
        <f>'2026 COB breakdown_Kris'!M94</f>
        <v>26524.99</v>
      </c>
      <c r="H94" s="96">
        <f t="shared" si="6"/>
        <v>483343.17</v>
      </c>
      <c r="J94" s="43" t="s">
        <v>247</v>
      </c>
      <c r="K94" s="43" t="s">
        <v>268</v>
      </c>
      <c r="L94" s="107">
        <f t="shared" si="7"/>
        <v>456818.18</v>
      </c>
      <c r="M94" s="201">
        <f>'2026 COB breakdown_new'!Z95</f>
        <v>26524.99</v>
      </c>
      <c r="N94" s="107">
        <f t="shared" si="8"/>
        <v>0</v>
      </c>
      <c r="O94" s="107">
        <f>'2026 COB breakdown_new'!AL95</f>
        <v>0</v>
      </c>
      <c r="P94" s="107">
        <f t="shared" si="9"/>
        <v>483343.17</v>
      </c>
      <c r="Q94" s="100"/>
      <c r="S94" s="100"/>
      <c r="V94" s="101"/>
      <c r="W94" s="101"/>
      <c r="X94" s="101"/>
    </row>
    <row r="95" spans="1:27" x14ac:dyDescent="0.25">
      <c r="A95">
        <v>10258</v>
      </c>
      <c r="B95" t="s">
        <v>348</v>
      </c>
      <c r="C95" t="s">
        <v>248</v>
      </c>
      <c r="D95" s="96">
        <v>456818.18</v>
      </c>
      <c r="E95" s="96">
        <v>235505</v>
      </c>
      <c r="F95" s="96">
        <f t="shared" si="5"/>
        <v>692323.17999999993</v>
      </c>
      <c r="G95" s="96">
        <f>'2026 COB breakdown_Kris'!M95</f>
        <v>33602</v>
      </c>
      <c r="H95" s="96">
        <f t="shared" si="6"/>
        <v>725925.17999999993</v>
      </c>
      <c r="J95" s="43" t="s">
        <v>248</v>
      </c>
      <c r="K95" s="43" t="s">
        <v>268</v>
      </c>
      <c r="L95" s="107">
        <f t="shared" si="7"/>
        <v>456818.18</v>
      </c>
      <c r="M95" s="201">
        <f>'2026 COB breakdown_new'!Z96</f>
        <v>22171.73</v>
      </c>
      <c r="N95" s="107">
        <f t="shared" si="8"/>
        <v>235505</v>
      </c>
      <c r="O95" s="107">
        <f>'2026 COB breakdown_new'!AL96</f>
        <v>11430.27</v>
      </c>
      <c r="P95" s="107">
        <f t="shared" si="9"/>
        <v>725925.17999999993</v>
      </c>
      <c r="Q95" s="100"/>
      <c r="S95" s="100"/>
      <c r="T95" s="101"/>
      <c r="V95" s="101"/>
      <c r="W95" s="101"/>
      <c r="X95" s="101"/>
      <c r="Z95" s="101"/>
    </row>
    <row r="96" spans="1:27" x14ac:dyDescent="0.25">
      <c r="A96">
        <v>10259</v>
      </c>
      <c r="B96" t="s">
        <v>349</v>
      </c>
      <c r="C96" s="22" t="s">
        <v>249</v>
      </c>
      <c r="D96" s="96">
        <v>456818.18</v>
      </c>
      <c r="E96" s="96">
        <v>268000</v>
      </c>
      <c r="F96" s="96">
        <f t="shared" si="5"/>
        <v>724818.17999999993</v>
      </c>
      <c r="G96" s="96">
        <f>'2026 COB breakdown_Kris'!M96</f>
        <v>15440</v>
      </c>
      <c r="H96" s="96">
        <f t="shared" si="6"/>
        <v>740258.17999999993</v>
      </c>
      <c r="J96" s="43" t="s">
        <v>249</v>
      </c>
      <c r="K96" s="43" t="s">
        <v>268</v>
      </c>
      <c r="L96" s="107">
        <f t="shared" si="7"/>
        <v>456818.18</v>
      </c>
      <c r="M96" s="201">
        <f>'2026 COB breakdown_new'!Z97</f>
        <v>9731.09</v>
      </c>
      <c r="N96" s="107">
        <f t="shared" si="8"/>
        <v>268000</v>
      </c>
      <c r="O96" s="107">
        <f>'2026 COB breakdown_new'!AL97</f>
        <v>5708.91</v>
      </c>
      <c r="P96" s="107">
        <f t="shared" si="9"/>
        <v>740258.18</v>
      </c>
      <c r="Q96" s="100"/>
      <c r="S96" s="100"/>
      <c r="V96" s="101"/>
      <c r="W96" s="101"/>
      <c r="X96" s="101"/>
    </row>
    <row r="97" spans="1:27" x14ac:dyDescent="0.25">
      <c r="A97">
        <v>10260</v>
      </c>
      <c r="B97" t="s">
        <v>350</v>
      </c>
      <c r="C97" t="s">
        <v>250</v>
      </c>
      <c r="D97" s="96">
        <v>456818.18</v>
      </c>
      <c r="E97" s="96">
        <v>0</v>
      </c>
      <c r="F97" s="96">
        <f t="shared" si="5"/>
        <v>456818.18</v>
      </c>
      <c r="G97" s="96">
        <f>'2026 COB breakdown_Kris'!M97</f>
        <v>51270.999999999993</v>
      </c>
      <c r="H97" s="96">
        <f t="shared" si="6"/>
        <v>508089.18</v>
      </c>
      <c r="J97" s="43" t="s">
        <v>250</v>
      </c>
      <c r="K97" s="43" t="s">
        <v>268</v>
      </c>
      <c r="L97" s="107">
        <f t="shared" si="7"/>
        <v>456818.18</v>
      </c>
      <c r="M97" s="201">
        <f>'2026 COB breakdown_new'!Z98</f>
        <v>51271</v>
      </c>
      <c r="N97" s="107">
        <f t="shared" si="8"/>
        <v>0</v>
      </c>
      <c r="O97" s="107">
        <f>'2026 COB breakdown_new'!AL98</f>
        <v>0</v>
      </c>
      <c r="P97" s="107">
        <f t="shared" si="9"/>
        <v>508089.18</v>
      </c>
      <c r="Q97" s="100"/>
      <c r="S97" s="100"/>
      <c r="T97" s="101"/>
      <c r="U97" s="101"/>
      <c r="V97" s="101"/>
      <c r="W97" s="101"/>
      <c r="X97" s="101"/>
    </row>
    <row r="98" spans="1:27" x14ac:dyDescent="0.25">
      <c r="A98">
        <v>10261</v>
      </c>
      <c r="B98" t="s">
        <v>351</v>
      </c>
      <c r="C98" t="s">
        <v>251</v>
      </c>
      <c r="D98" s="96">
        <v>456818.18</v>
      </c>
      <c r="E98" s="96">
        <v>871000</v>
      </c>
      <c r="F98" s="96">
        <f t="shared" si="5"/>
        <v>1327818.18</v>
      </c>
      <c r="G98" s="96">
        <f>'2026 COB breakdown_Kris'!M98</f>
        <v>19356.010000000006</v>
      </c>
      <c r="H98" s="96">
        <f t="shared" si="6"/>
        <v>1347174.19</v>
      </c>
      <c r="J98" s="43" t="s">
        <v>251</v>
      </c>
      <c r="K98" s="43" t="s">
        <v>268</v>
      </c>
      <c r="L98" s="107">
        <f t="shared" si="7"/>
        <v>456818.18</v>
      </c>
      <c r="M98" s="201">
        <f>'2026 COB breakdown_new'!Z99</f>
        <v>6659.1799999999985</v>
      </c>
      <c r="N98" s="107">
        <f t="shared" si="8"/>
        <v>871000</v>
      </c>
      <c r="O98" s="107">
        <f>'2026 COB breakdown_new'!AL99</f>
        <v>12696.83</v>
      </c>
      <c r="P98" s="107">
        <f t="shared" si="9"/>
        <v>1347174.19</v>
      </c>
      <c r="Q98" s="100"/>
      <c r="R98" s="100"/>
      <c r="S98" s="100"/>
      <c r="U98" s="101"/>
      <c r="V98" s="101"/>
      <c r="W98" s="101"/>
      <c r="X98" s="101"/>
    </row>
    <row r="99" spans="1:27" x14ac:dyDescent="0.25">
      <c r="A99">
        <v>10262</v>
      </c>
      <c r="B99" t="s">
        <v>352</v>
      </c>
      <c r="C99" t="s">
        <v>252</v>
      </c>
      <c r="D99" s="96">
        <v>456818.18</v>
      </c>
      <c r="E99" s="96">
        <v>67000</v>
      </c>
      <c r="F99" s="96">
        <f t="shared" si="5"/>
        <v>523818.18</v>
      </c>
      <c r="G99" s="96">
        <f>'2026 COB breakdown_Kris'!M99</f>
        <v>10152</v>
      </c>
      <c r="H99" s="96">
        <f t="shared" si="6"/>
        <v>533970.17999999993</v>
      </c>
      <c r="J99" s="43" t="s">
        <v>252</v>
      </c>
      <c r="K99" s="43" t="s">
        <v>268</v>
      </c>
      <c r="L99" s="107">
        <f t="shared" si="7"/>
        <v>456818.18</v>
      </c>
      <c r="M99" s="201">
        <f>'2026 COB breakdown_new'!Z100</f>
        <v>8853.49</v>
      </c>
      <c r="N99" s="107">
        <f t="shared" si="8"/>
        <v>67000</v>
      </c>
      <c r="O99" s="107">
        <f>'2026 COB breakdown_new'!AL100</f>
        <v>1298.51</v>
      </c>
      <c r="P99" s="107">
        <f t="shared" si="9"/>
        <v>533970.17999999993</v>
      </c>
      <c r="Q99" s="100"/>
      <c r="S99" s="100"/>
      <c r="T99" s="101"/>
      <c r="V99" s="101"/>
      <c r="W99" s="101"/>
      <c r="X99" s="101"/>
      <c r="Z99" s="101"/>
      <c r="AA99" s="102"/>
    </row>
    <row r="100" spans="1:27" x14ac:dyDescent="0.25">
      <c r="A100">
        <v>10263</v>
      </c>
      <c r="B100" t="s">
        <v>301</v>
      </c>
      <c r="C100" t="s">
        <v>253</v>
      </c>
      <c r="D100" s="96">
        <v>456818.18</v>
      </c>
      <c r="E100" s="96">
        <v>73700</v>
      </c>
      <c r="F100" s="96">
        <f t="shared" si="5"/>
        <v>530518.17999999993</v>
      </c>
      <c r="G100" s="96">
        <f>'2026 COB breakdown_Kris'!M100</f>
        <v>24852</v>
      </c>
      <c r="H100" s="96">
        <f t="shared" si="6"/>
        <v>555370.17999999993</v>
      </c>
      <c r="J100" s="43" t="s">
        <v>253</v>
      </c>
      <c r="K100" s="43" t="s">
        <v>268</v>
      </c>
      <c r="L100" s="107">
        <f t="shared" si="7"/>
        <v>456818.18</v>
      </c>
      <c r="M100" s="201">
        <f>'2026 COB breakdown_new'!Z101</f>
        <v>21399.54</v>
      </c>
      <c r="N100" s="107">
        <f t="shared" si="8"/>
        <v>73700</v>
      </c>
      <c r="O100" s="107">
        <f>'2026 COB breakdown_new'!AL101</f>
        <v>3452.46</v>
      </c>
      <c r="P100" s="107">
        <f t="shared" si="9"/>
        <v>555370.17999999993</v>
      </c>
      <c r="Q100" s="100"/>
      <c r="S100" s="100"/>
      <c r="V100" s="101"/>
      <c r="W100" s="101"/>
      <c r="X100" s="101"/>
    </row>
    <row r="101" spans="1:27" x14ac:dyDescent="0.25">
      <c r="A101">
        <v>10264</v>
      </c>
      <c r="B101" t="s">
        <v>353</v>
      </c>
      <c r="C101" t="s">
        <v>254</v>
      </c>
      <c r="D101" s="96">
        <v>456818.18</v>
      </c>
      <c r="E101" s="96">
        <v>1340000</v>
      </c>
      <c r="F101" s="96">
        <f t="shared" si="5"/>
        <v>1796818.18</v>
      </c>
      <c r="G101" s="96">
        <f>'2026 COB breakdown_Kris'!M101</f>
        <v>13426.199999999999</v>
      </c>
      <c r="H101" s="96">
        <f t="shared" si="6"/>
        <v>1810244.38</v>
      </c>
      <c r="J101" s="43" t="s">
        <v>254</v>
      </c>
      <c r="K101" s="43" t="s">
        <v>268</v>
      </c>
      <c r="L101" s="107">
        <f t="shared" si="7"/>
        <v>456818.18</v>
      </c>
      <c r="M101" s="201">
        <f>'2026 COB breakdown_new'!Z102</f>
        <v>3413.4400000000005</v>
      </c>
      <c r="N101" s="107">
        <f t="shared" si="8"/>
        <v>1340000</v>
      </c>
      <c r="O101" s="107">
        <f>'2026 COB breakdown_new'!AL102</f>
        <v>10012.76</v>
      </c>
      <c r="P101" s="107">
        <f t="shared" si="9"/>
        <v>1810244.3800000001</v>
      </c>
      <c r="Q101" s="100"/>
      <c r="S101" s="100"/>
      <c r="V101" s="101"/>
      <c r="W101" s="101"/>
    </row>
    <row r="102" spans="1:27" x14ac:dyDescent="0.25">
      <c r="A102">
        <v>10265</v>
      </c>
      <c r="B102" t="s">
        <v>354</v>
      </c>
      <c r="C102" t="s">
        <v>255</v>
      </c>
      <c r="D102" s="96">
        <v>456818.18</v>
      </c>
      <c r="E102" s="96">
        <v>194300</v>
      </c>
      <c r="F102" s="96">
        <f t="shared" si="5"/>
        <v>651118.17999999993</v>
      </c>
      <c r="G102" s="96">
        <f>'2026 COB breakdown_Kris'!M102</f>
        <v>39489.99</v>
      </c>
      <c r="H102" s="96">
        <f t="shared" si="6"/>
        <v>690608.16999999993</v>
      </c>
      <c r="J102" s="43" t="s">
        <v>255</v>
      </c>
      <c r="K102" s="43" t="s">
        <v>268</v>
      </c>
      <c r="L102" s="107">
        <f t="shared" si="7"/>
        <v>456818.18</v>
      </c>
      <c r="M102" s="201">
        <f>'2026 COB breakdown_new'!Z103</f>
        <v>27705.789999999997</v>
      </c>
      <c r="N102" s="107">
        <f t="shared" si="8"/>
        <v>194300</v>
      </c>
      <c r="O102" s="107">
        <f>'2026 COB breakdown_new'!AL103</f>
        <v>11784.2</v>
      </c>
      <c r="P102" s="107">
        <f t="shared" si="9"/>
        <v>690608.16999999993</v>
      </c>
      <c r="Q102" s="100"/>
      <c r="S102" s="100"/>
      <c r="T102" s="101"/>
      <c r="V102" s="101"/>
      <c r="W102" s="101"/>
      <c r="X102" s="101"/>
      <c r="Z102" s="101"/>
      <c r="AA102" s="102"/>
    </row>
    <row r="103" spans="1:27" x14ac:dyDescent="0.25">
      <c r="A103">
        <v>10266</v>
      </c>
      <c r="B103" t="s">
        <v>355</v>
      </c>
      <c r="C103" t="s">
        <v>256</v>
      </c>
      <c r="D103" s="96">
        <v>456818.18</v>
      </c>
      <c r="E103" s="96">
        <v>670000</v>
      </c>
      <c r="F103" s="96">
        <f t="shared" si="5"/>
        <v>1126818.18</v>
      </c>
      <c r="G103" s="96">
        <f>'2026 COB breakdown_Kris'!M103</f>
        <v>52826.02</v>
      </c>
      <c r="H103" s="96">
        <f t="shared" si="6"/>
        <v>1179644.2</v>
      </c>
      <c r="J103" s="43" t="s">
        <v>256</v>
      </c>
      <c r="K103" s="43" t="s">
        <v>268</v>
      </c>
      <c r="L103" s="107">
        <f t="shared" si="7"/>
        <v>456818.18</v>
      </c>
      <c r="M103" s="201">
        <f>'2026 COB breakdown_new'!Z104</f>
        <v>21415.949999999997</v>
      </c>
      <c r="N103" s="107">
        <f t="shared" si="8"/>
        <v>670000</v>
      </c>
      <c r="O103" s="107">
        <f>'2026 COB breakdown_new'!AL104</f>
        <v>31410.07</v>
      </c>
      <c r="P103" s="107">
        <f t="shared" si="9"/>
        <v>1179644.2</v>
      </c>
      <c r="Q103" s="100"/>
      <c r="R103" s="100"/>
      <c r="S103" s="100"/>
      <c r="T103" s="101"/>
      <c r="V103" s="101"/>
      <c r="W103" s="101"/>
      <c r="X103" s="101"/>
      <c r="Z103" s="101"/>
      <c r="AA103" s="102"/>
    </row>
    <row r="104" spans="1:27" s="49" customFormat="1" x14ac:dyDescent="0.25">
      <c r="A104" s="28" t="s">
        <v>117</v>
      </c>
      <c r="B104" s="28"/>
      <c r="C104" s="28"/>
      <c r="D104" s="97">
        <f>SUM(D5:D103)</f>
        <v>45224999.819999978</v>
      </c>
      <c r="E104" s="97">
        <f t="shared" ref="E104:H104" si="10">SUM(E5:E103)</f>
        <v>46929075.990000002</v>
      </c>
      <c r="F104" s="97">
        <f t="shared" si="10"/>
        <v>92154075.810000151</v>
      </c>
      <c r="G104" s="97">
        <f t="shared" si="10"/>
        <v>2586033.6900000004</v>
      </c>
      <c r="H104" s="97">
        <f t="shared" si="10"/>
        <v>82578086.780000061</v>
      </c>
      <c r="J104" s="280" t="s">
        <v>156</v>
      </c>
      <c r="K104" s="280"/>
      <c r="L104" s="202">
        <f>SUM(L4:L103)</f>
        <v>45224999.819999978</v>
      </c>
      <c r="M104" s="202">
        <f>SUM(M4:M103)</f>
        <v>16701605.999999994</v>
      </c>
      <c r="N104" s="202">
        <f t="shared" ref="N104:P104" si="11">SUM(N4:N103)</f>
        <v>46929075.990000002</v>
      </c>
      <c r="O104" s="202">
        <f t="shared" si="11"/>
        <v>17330921.009999998</v>
      </c>
      <c r="P104" s="202">
        <f t="shared" si="11"/>
        <v>126186602.8200002</v>
      </c>
      <c r="Q104" s="52"/>
      <c r="R104" s="52"/>
      <c r="S104" s="52"/>
    </row>
    <row r="110" spans="1:27" ht="12" x14ac:dyDescent="0.2">
      <c r="C110" s="101"/>
    </row>
  </sheetData>
  <protectedRanges>
    <protectedRange sqref="R80" name="Range1"/>
    <protectedRange sqref="R26 R33 R35 R49 R56 R85 R88 R103 S5:S103 R65 R63 R98 R23:R24 R13:R14 R77 R73 R67" name="Range1_1"/>
  </protectedRanges>
  <mergeCells count="6">
    <mergeCell ref="P2:P3"/>
    <mergeCell ref="J104:K104"/>
    <mergeCell ref="J2:J3"/>
    <mergeCell ref="K2:K3"/>
    <mergeCell ref="L2:M2"/>
    <mergeCell ref="N2:O2"/>
  </mergeCells>
  <pageMargins left="0.7" right="0.7" top="0.75" bottom="0.75" header="0.3" footer="0.3"/>
  <pageSetup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269CF-CAC3-466D-BFB5-8BA7671FB803}">
  <dimension ref="A1:AL112"/>
  <sheetViews>
    <sheetView zoomScale="80" zoomScaleNormal="80" workbookViewId="0">
      <pane xSplit="1" ySplit="5" topLeftCell="V6" activePane="bottomRight" state="frozen"/>
      <selection pane="topRight" activeCell="S7" sqref="S7:S79"/>
      <selection pane="bottomLeft" activeCell="S7" sqref="S7:S79"/>
      <selection pane="bottomRight" activeCell="S7" sqref="S7:S79"/>
    </sheetView>
  </sheetViews>
  <sheetFormatPr defaultColWidth="8.7109375" defaultRowHeight="12" x14ac:dyDescent="0.2"/>
  <cols>
    <col min="1" max="1" width="16.85546875" style="22" bestFit="1" customWidth="1"/>
    <col min="2" max="2" width="9.85546875" style="22" bestFit="1" customWidth="1"/>
    <col min="3" max="3" width="8.7109375" style="22"/>
    <col min="4" max="4" width="8.85546875" style="22" customWidth="1"/>
    <col min="5" max="5" width="9.85546875" style="22" customWidth="1"/>
    <col min="6" max="6" width="9.42578125" style="22" bestFit="1" customWidth="1"/>
    <col min="7" max="7" width="9.7109375" style="22" customWidth="1"/>
    <col min="8" max="8" width="10.5703125" style="22" bestFit="1" customWidth="1"/>
    <col min="9" max="9" width="9.85546875" style="22" customWidth="1"/>
    <col min="10" max="10" width="9.5703125" style="22" customWidth="1"/>
    <col min="11" max="11" width="11" style="22" customWidth="1"/>
    <col min="12" max="12" width="9.85546875" style="22" bestFit="1" customWidth="1"/>
    <col min="13" max="13" width="11.42578125" style="22" bestFit="1" customWidth="1"/>
    <col min="14" max="14" width="8" style="22" bestFit="1" customWidth="1"/>
    <col min="15" max="15" width="10" style="22" bestFit="1" customWidth="1"/>
    <col min="16" max="16" width="13.28515625" style="22" bestFit="1" customWidth="1"/>
    <col min="17" max="20" width="8.85546875" style="22" bestFit="1" customWidth="1"/>
    <col min="21" max="21" width="9.42578125" style="22" bestFit="1" customWidth="1"/>
    <col min="22" max="23" width="8.85546875" style="22" bestFit="1" customWidth="1"/>
    <col min="24" max="25" width="9.42578125" style="22" bestFit="1" customWidth="1"/>
    <col min="26" max="26" width="10.5703125" style="22" bestFit="1" customWidth="1"/>
    <col min="27" max="27" width="9.5703125" style="22" customWidth="1"/>
    <col min="28" max="32" width="8.85546875" style="22" bestFit="1" customWidth="1"/>
    <col min="33" max="33" width="9.5703125" style="22" customWidth="1"/>
    <col min="34" max="36" width="8.85546875" style="22" bestFit="1" customWidth="1"/>
    <col min="37" max="37" width="9.85546875" style="22" customWidth="1"/>
    <col min="38" max="38" width="10" style="22" customWidth="1"/>
    <col min="39" max="16384" width="8.7109375" style="22"/>
  </cols>
  <sheetData>
    <row r="1" spans="1:38" ht="15" x14ac:dyDescent="0.25">
      <c r="A1" s="282" t="s">
        <v>356</v>
      </c>
      <c r="B1" s="282"/>
      <c r="C1" s="282"/>
      <c r="D1" s="282"/>
      <c r="E1" s="282"/>
      <c r="F1" s="282"/>
      <c r="G1" s="282"/>
      <c r="H1" s="282"/>
      <c r="I1" s="282"/>
      <c r="J1" s="282"/>
      <c r="K1" s="282"/>
      <c r="L1" s="282"/>
      <c r="M1" s="282"/>
    </row>
    <row r="2" spans="1:38" ht="15" x14ac:dyDescent="0.25">
      <c r="O2" s="283" t="s">
        <v>357</v>
      </c>
      <c r="P2" s="283"/>
      <c r="Q2" s="283"/>
      <c r="R2" s="283"/>
      <c r="S2" s="283"/>
      <c r="T2" s="283"/>
      <c r="U2" s="283"/>
      <c r="V2" s="283"/>
      <c r="W2" s="283"/>
      <c r="X2" s="283"/>
      <c r="Y2" s="283"/>
      <c r="Z2" s="283"/>
      <c r="AA2" s="284" t="s">
        <v>358</v>
      </c>
      <c r="AB2" s="284"/>
      <c r="AC2" s="284"/>
      <c r="AD2" s="284"/>
      <c r="AE2" s="284"/>
      <c r="AF2" s="284"/>
      <c r="AG2" s="284"/>
      <c r="AH2" s="284"/>
      <c r="AI2" s="284"/>
      <c r="AJ2" s="284"/>
      <c r="AK2" s="284"/>
      <c r="AL2" s="284"/>
    </row>
    <row r="3" spans="1:38" x14ac:dyDescent="0.2">
      <c r="A3" s="22">
        <v>1</v>
      </c>
      <c r="B3" s="22">
        <v>2</v>
      </c>
      <c r="C3" s="22">
        <v>3</v>
      </c>
      <c r="D3" s="22">
        <v>4</v>
      </c>
      <c r="E3" s="22">
        <v>5</v>
      </c>
      <c r="F3" s="22">
        <v>6</v>
      </c>
      <c r="G3" s="22">
        <v>7</v>
      </c>
      <c r="H3" s="22">
        <v>8</v>
      </c>
      <c r="I3" s="22">
        <v>9</v>
      </c>
      <c r="J3" s="22">
        <v>10</v>
      </c>
      <c r="K3" s="22">
        <v>11</v>
      </c>
      <c r="L3" s="22">
        <v>12</v>
      </c>
      <c r="M3" s="22">
        <v>13</v>
      </c>
      <c r="N3" s="22">
        <v>14</v>
      </c>
      <c r="O3" s="22">
        <v>15</v>
      </c>
      <c r="P3" s="22">
        <v>16</v>
      </c>
      <c r="Q3" s="22">
        <v>17</v>
      </c>
      <c r="R3" s="22">
        <v>18</v>
      </c>
      <c r="S3" s="22">
        <v>19</v>
      </c>
      <c r="T3" s="22">
        <v>20</v>
      </c>
      <c r="U3" s="22">
        <v>21</v>
      </c>
      <c r="V3" s="22">
        <v>22</v>
      </c>
      <c r="W3" s="22">
        <v>23</v>
      </c>
      <c r="X3" s="22">
        <v>24</v>
      </c>
      <c r="Y3" s="22">
        <v>25</v>
      </c>
      <c r="Z3" s="22">
        <v>26</v>
      </c>
      <c r="AA3" s="22">
        <v>27</v>
      </c>
      <c r="AB3" s="22">
        <v>28</v>
      </c>
      <c r="AC3" s="22">
        <v>29</v>
      </c>
      <c r="AD3" s="22">
        <v>30</v>
      </c>
      <c r="AE3" s="22">
        <v>31</v>
      </c>
      <c r="AF3" s="22">
        <v>32</v>
      </c>
      <c r="AG3" s="22">
        <v>33</v>
      </c>
      <c r="AH3" s="22">
        <v>34</v>
      </c>
      <c r="AI3" s="22">
        <v>35</v>
      </c>
      <c r="AJ3" s="22">
        <v>36</v>
      </c>
      <c r="AK3" s="22">
        <v>37</v>
      </c>
      <c r="AL3" s="22">
        <v>38</v>
      </c>
    </row>
    <row r="4" spans="1:38" x14ac:dyDescent="0.2">
      <c r="A4" s="49" t="s">
        <v>359</v>
      </c>
      <c r="O4" s="45">
        <f>breakdown!R11</f>
        <v>0.37080515046070039</v>
      </c>
      <c r="P4" s="45">
        <f>breakdown!R13</f>
        <v>4.8823161434100948E-3</v>
      </c>
      <c r="Q4" s="45">
        <f>breakdown!R15</f>
        <v>3.4752088464896851E-2</v>
      </c>
      <c r="S4" s="45">
        <f>breakdown!R16</f>
        <v>5.0360186886655979E-2</v>
      </c>
      <c r="T4" s="45">
        <f>breakdown!R18</f>
        <v>2.2163467177542324E-2</v>
      </c>
      <c r="U4" s="45">
        <f>breakdown!R19</f>
        <v>0.28537574991420245</v>
      </c>
      <c r="V4" s="45">
        <f>breakdown!R20</f>
        <v>1.6777497578119232E-2</v>
      </c>
      <c r="W4" s="45">
        <f>breakdown!R22</f>
        <v>1.5744125581577197E-2</v>
      </c>
      <c r="X4" s="45">
        <f>breakdown!R23</f>
        <v>0.10276376779485041</v>
      </c>
      <c r="Y4" s="45">
        <f>breakdown!R25</f>
        <v>9.6375649998045113E-2</v>
      </c>
      <c r="AA4" s="45">
        <f>breakdown!I11</f>
        <v>0.3708051882536898</v>
      </c>
      <c r="AB4" s="45">
        <f>breakdown!I13</f>
        <v>4.8824343304732978E-3</v>
      </c>
      <c r="AC4" s="45">
        <f>breakdown!I15</f>
        <v>3.4751890700454022E-2</v>
      </c>
      <c r="AE4" s="45">
        <f>breakdown!I16</f>
        <v>5.0359981412211423E-2</v>
      </c>
      <c r="AF4" s="45">
        <f>breakdown!I18</f>
        <v>2.2163530675084201E-2</v>
      </c>
      <c r="AG4" s="45">
        <f>breakdown!I19</f>
        <v>0.2853759317443007</v>
      </c>
      <c r="AH4" s="45">
        <f>breakdown!I20</f>
        <v>1.6777677070664996E-2</v>
      </c>
      <c r="AI4" s="45">
        <f>breakdown!I22</f>
        <v>1.5743888322556743E-2</v>
      </c>
      <c r="AJ4" s="45">
        <f>breakdown!I23</f>
        <v>0.10276399160200363</v>
      </c>
      <c r="AK4" s="45">
        <f>breakdown!I25</f>
        <v>9.637548588856118E-2</v>
      </c>
    </row>
    <row r="5" spans="1:38" ht="60" x14ac:dyDescent="0.2">
      <c r="A5" s="39" t="s">
        <v>122</v>
      </c>
      <c r="B5" s="40" t="s">
        <v>144</v>
      </c>
      <c r="C5" s="40" t="s">
        <v>145</v>
      </c>
      <c r="D5" s="40" t="s">
        <v>146</v>
      </c>
      <c r="E5" s="40" t="s">
        <v>147</v>
      </c>
      <c r="F5" s="40" t="s">
        <v>148</v>
      </c>
      <c r="G5" s="40" t="s">
        <v>149</v>
      </c>
      <c r="H5" s="40" t="s">
        <v>150</v>
      </c>
      <c r="I5" s="40" t="s">
        <v>151</v>
      </c>
      <c r="J5" s="40" t="s">
        <v>152</v>
      </c>
      <c r="K5" s="40" t="s">
        <v>153</v>
      </c>
      <c r="L5" s="40" t="s">
        <v>154</v>
      </c>
      <c r="M5" s="41" t="s">
        <v>360</v>
      </c>
      <c r="N5" s="42" t="s">
        <v>361</v>
      </c>
      <c r="O5" s="40" t="s">
        <v>144</v>
      </c>
      <c r="P5" s="40" t="s">
        <v>145</v>
      </c>
      <c r="Q5" s="40" t="s">
        <v>146</v>
      </c>
      <c r="R5" s="40" t="s">
        <v>147</v>
      </c>
      <c r="S5" s="40" t="s">
        <v>148</v>
      </c>
      <c r="T5" s="40" t="s">
        <v>149</v>
      </c>
      <c r="U5" s="40" t="s">
        <v>150</v>
      </c>
      <c r="V5" s="40" t="s">
        <v>151</v>
      </c>
      <c r="W5" s="40" t="s">
        <v>152</v>
      </c>
      <c r="X5" s="40" t="s">
        <v>153</v>
      </c>
      <c r="Y5" s="40" t="s">
        <v>154</v>
      </c>
      <c r="Z5" s="41" t="s">
        <v>360</v>
      </c>
      <c r="AA5" s="40" t="s">
        <v>144</v>
      </c>
      <c r="AB5" s="40" t="s">
        <v>145</v>
      </c>
      <c r="AC5" s="40" t="s">
        <v>146</v>
      </c>
      <c r="AD5" s="40" t="s">
        <v>147</v>
      </c>
      <c r="AE5" s="40" t="s">
        <v>148</v>
      </c>
      <c r="AF5" s="40" t="s">
        <v>149</v>
      </c>
      <c r="AG5" s="40" t="s">
        <v>150</v>
      </c>
      <c r="AH5" s="40" t="s">
        <v>151</v>
      </c>
      <c r="AI5" s="40" t="s">
        <v>152</v>
      </c>
      <c r="AJ5" s="40" t="s">
        <v>153</v>
      </c>
      <c r="AK5" s="40" t="s">
        <v>154</v>
      </c>
      <c r="AL5" s="41" t="s">
        <v>360</v>
      </c>
    </row>
    <row r="6" spans="1:38" x14ac:dyDescent="0.2">
      <c r="A6" s="43" t="s">
        <v>157</v>
      </c>
      <c r="B6" s="44">
        <f>O6+AA6</f>
        <v>5712.63</v>
      </c>
      <c r="C6" s="44">
        <f t="shared" ref="C6:C69" si="0">P6+AB6</f>
        <v>75.22</v>
      </c>
      <c r="D6" s="44">
        <f t="shared" ref="D6:D69" si="1">Q6+AC6</f>
        <v>535.39</v>
      </c>
      <c r="E6" s="44">
        <f t="shared" ref="E6:E69" si="2">R6+AD6</f>
        <v>0</v>
      </c>
      <c r="F6" s="44">
        <f t="shared" ref="F6:F69" si="3">S6+AE6</f>
        <v>775.85</v>
      </c>
      <c r="G6" s="44">
        <f t="shared" ref="G6:G69" si="4">T6+AF6</f>
        <v>341.45000000000005</v>
      </c>
      <c r="H6" s="44">
        <f t="shared" ref="H6:H69" si="5">U6+AG6</f>
        <v>4396.5</v>
      </c>
      <c r="I6" s="44">
        <f t="shared" ref="I6:I69" si="6">V6+AH6</f>
        <v>258.48</v>
      </c>
      <c r="J6" s="44">
        <f t="shared" ref="J6:J69" si="7">W6+AI6</f>
        <v>242.54999999999998</v>
      </c>
      <c r="K6" s="44">
        <f t="shared" ref="K6:K69" si="8">X6+AJ6</f>
        <v>1583.18</v>
      </c>
      <c r="L6" s="44">
        <f t="shared" ref="L6:L69" si="9">Y6+AK6</f>
        <v>1484.7499999999982</v>
      </c>
      <c r="M6" s="44">
        <f>ROUND('2026 COB breakdown_Kris'!M5,2)</f>
        <v>15406</v>
      </c>
      <c r="N6" s="45">
        <f>'OP8 part 1 analysis'!G22</f>
        <v>0.53987730061349692</v>
      </c>
      <c r="O6" s="257">
        <f>ROUND($Z6*O$4,2)</f>
        <v>2628.51</v>
      </c>
      <c r="P6" s="46">
        <f t="shared" ref="P6:X21" si="10">ROUND($Z6*P$4,2)</f>
        <v>34.61</v>
      </c>
      <c r="Q6" s="46">
        <f t="shared" si="10"/>
        <v>246.35</v>
      </c>
      <c r="R6" s="46">
        <f t="shared" si="10"/>
        <v>0</v>
      </c>
      <c r="S6" s="46">
        <f t="shared" si="10"/>
        <v>356.99</v>
      </c>
      <c r="T6" s="46">
        <f t="shared" si="10"/>
        <v>157.11000000000001</v>
      </c>
      <c r="U6" s="46">
        <f t="shared" si="10"/>
        <v>2022.93</v>
      </c>
      <c r="V6" s="46">
        <f t="shared" si="10"/>
        <v>118.93</v>
      </c>
      <c r="W6" s="46">
        <f t="shared" si="10"/>
        <v>111.6</v>
      </c>
      <c r="X6" s="46">
        <f t="shared" si="10"/>
        <v>728.46</v>
      </c>
      <c r="Y6" s="46">
        <f>Z6-SUM(O6:X6)</f>
        <v>683.15999999999894</v>
      </c>
      <c r="Z6" s="46">
        <f>M6-AL6</f>
        <v>7088.65</v>
      </c>
      <c r="AA6" s="257">
        <f>ROUND($AL6*AA$4,2)</f>
        <v>3084.12</v>
      </c>
      <c r="AB6" s="46">
        <f t="shared" ref="AB6:AJ19" si="11">ROUND($AL6*AB$4,2)</f>
        <v>40.61</v>
      </c>
      <c r="AC6" s="46">
        <f t="shared" si="11"/>
        <v>289.04000000000002</v>
      </c>
      <c r="AD6" s="46">
        <f t="shared" si="11"/>
        <v>0</v>
      </c>
      <c r="AE6" s="46">
        <f t="shared" si="11"/>
        <v>418.86</v>
      </c>
      <c r="AF6" s="46">
        <f t="shared" si="11"/>
        <v>184.34</v>
      </c>
      <c r="AG6" s="46">
        <f t="shared" si="11"/>
        <v>2373.5700000000002</v>
      </c>
      <c r="AH6" s="46">
        <f t="shared" si="11"/>
        <v>139.55000000000001</v>
      </c>
      <c r="AI6" s="46">
        <f t="shared" si="11"/>
        <v>130.94999999999999</v>
      </c>
      <c r="AJ6" s="46">
        <f t="shared" si="11"/>
        <v>854.72</v>
      </c>
      <c r="AK6" s="46">
        <f>AL6-SUM(AA6:AJ6)</f>
        <v>801.58999999999924</v>
      </c>
      <c r="AL6" s="46">
        <f>ROUND(M6*N6,2)</f>
        <v>8317.35</v>
      </c>
    </row>
    <row r="7" spans="1:38" x14ac:dyDescent="0.2">
      <c r="A7" s="43" t="s">
        <v>161</v>
      </c>
      <c r="B7" s="44">
        <f t="shared" ref="B7:B70" si="12">O7+AA7</f>
        <v>9484.68</v>
      </c>
      <c r="C7" s="44">
        <f t="shared" si="0"/>
        <v>124.88</v>
      </c>
      <c r="D7" s="44">
        <f t="shared" si="1"/>
        <v>888.91000000000008</v>
      </c>
      <c r="E7" s="44">
        <f t="shared" si="2"/>
        <v>0</v>
      </c>
      <c r="F7" s="44">
        <f t="shared" si="3"/>
        <v>1288.1400000000001</v>
      </c>
      <c r="G7" s="44">
        <f t="shared" si="4"/>
        <v>566.91</v>
      </c>
      <c r="H7" s="44">
        <f t="shared" si="5"/>
        <v>7299.51</v>
      </c>
      <c r="I7" s="44">
        <f t="shared" si="6"/>
        <v>429.14</v>
      </c>
      <c r="J7" s="44">
        <f t="shared" si="7"/>
        <v>402.71</v>
      </c>
      <c r="K7" s="44">
        <f t="shared" si="8"/>
        <v>2628.55</v>
      </c>
      <c r="L7" s="44">
        <f t="shared" si="9"/>
        <v>2465.1699999999964</v>
      </c>
      <c r="M7" s="44">
        <f>ROUND('2026 COB breakdown_Kris'!M6,2)</f>
        <v>25578.6</v>
      </c>
      <c r="N7" s="45">
        <f>'OP8 part 1 analysis'!G23</f>
        <v>0.12790697674418605</v>
      </c>
      <c r="O7" s="257">
        <f t="shared" ref="O7:X38" si="13">ROUND($Z7*O$4,2)</f>
        <v>8271.52</v>
      </c>
      <c r="P7" s="46">
        <f t="shared" si="10"/>
        <v>108.91</v>
      </c>
      <c r="Q7" s="46">
        <f t="shared" si="10"/>
        <v>775.21</v>
      </c>
      <c r="R7" s="46">
        <f t="shared" si="10"/>
        <v>0</v>
      </c>
      <c r="S7" s="46">
        <f t="shared" si="10"/>
        <v>1123.3800000000001</v>
      </c>
      <c r="T7" s="46">
        <f t="shared" si="10"/>
        <v>494.4</v>
      </c>
      <c r="U7" s="46">
        <f t="shared" si="10"/>
        <v>6365.85</v>
      </c>
      <c r="V7" s="46">
        <f t="shared" si="10"/>
        <v>374.25</v>
      </c>
      <c r="W7" s="46">
        <f t="shared" si="10"/>
        <v>351.2</v>
      </c>
      <c r="X7" s="46">
        <f t="shared" si="10"/>
        <v>2292.34</v>
      </c>
      <c r="Y7" s="46">
        <f t="shared" ref="Y7:Y70" si="14">Z7-SUM(O7:X7)</f>
        <v>2149.8599999999969</v>
      </c>
      <c r="Z7" s="46">
        <f t="shared" ref="Z7:Z70" si="15">M7-AL7</f>
        <v>22306.92</v>
      </c>
      <c r="AA7" s="257">
        <f t="shared" ref="AA7:AA70" si="16">ROUND($AL7*AA$4,2)</f>
        <v>1213.1600000000001</v>
      </c>
      <c r="AB7" s="46">
        <f t="shared" si="11"/>
        <v>15.97</v>
      </c>
      <c r="AC7" s="46">
        <f t="shared" si="11"/>
        <v>113.7</v>
      </c>
      <c r="AD7" s="46">
        <f t="shared" si="11"/>
        <v>0</v>
      </c>
      <c r="AE7" s="46">
        <f t="shared" si="11"/>
        <v>164.76</v>
      </c>
      <c r="AF7" s="46">
        <f t="shared" si="11"/>
        <v>72.510000000000005</v>
      </c>
      <c r="AG7" s="46">
        <f t="shared" si="11"/>
        <v>933.66</v>
      </c>
      <c r="AH7" s="46">
        <f t="shared" si="11"/>
        <v>54.89</v>
      </c>
      <c r="AI7" s="46">
        <f t="shared" si="11"/>
        <v>51.51</v>
      </c>
      <c r="AJ7" s="46">
        <f t="shared" si="11"/>
        <v>336.21</v>
      </c>
      <c r="AK7" s="46">
        <f t="shared" ref="AK7:AK71" si="17">AL7-SUM(AA7:AJ7)</f>
        <v>315.30999999999949</v>
      </c>
      <c r="AL7" s="46">
        <f t="shared" ref="AL7:AL70" si="18">ROUND(M7*N7,2)</f>
        <v>3271.68</v>
      </c>
    </row>
    <row r="8" spans="1:38" x14ac:dyDescent="0.2">
      <c r="A8" s="43" t="s">
        <v>162</v>
      </c>
      <c r="B8" s="44">
        <f t="shared" si="12"/>
        <v>5578.76</v>
      </c>
      <c r="C8" s="44">
        <f t="shared" si="0"/>
        <v>73.460000000000008</v>
      </c>
      <c r="D8" s="44">
        <f t="shared" si="1"/>
        <v>522.84</v>
      </c>
      <c r="E8" s="44">
        <f t="shared" si="2"/>
        <v>0</v>
      </c>
      <c r="F8" s="44">
        <f t="shared" si="3"/>
        <v>757.67</v>
      </c>
      <c r="G8" s="44">
        <f t="shared" si="4"/>
        <v>333.45</v>
      </c>
      <c r="H8" s="44">
        <f t="shared" si="5"/>
        <v>4293.4800000000005</v>
      </c>
      <c r="I8" s="44">
        <f t="shared" si="6"/>
        <v>252.42</v>
      </c>
      <c r="J8" s="44">
        <f t="shared" si="7"/>
        <v>236.87</v>
      </c>
      <c r="K8" s="44">
        <f t="shared" si="8"/>
        <v>1546.08</v>
      </c>
      <c r="L8" s="44">
        <f t="shared" si="9"/>
        <v>1449.9699999999989</v>
      </c>
      <c r="M8" s="44">
        <f>ROUND('2026 COB breakdown_Kris'!M7,2)</f>
        <v>15045</v>
      </c>
      <c r="N8" s="45">
        <f>'OP8 part 1 analysis'!G24</f>
        <v>0.26829268292682923</v>
      </c>
      <c r="O8" s="257">
        <f t="shared" si="13"/>
        <v>4082.02</v>
      </c>
      <c r="P8" s="46">
        <f t="shared" si="10"/>
        <v>53.75</v>
      </c>
      <c r="Q8" s="46">
        <f t="shared" si="10"/>
        <v>382.57</v>
      </c>
      <c r="R8" s="46">
        <f t="shared" si="10"/>
        <v>0</v>
      </c>
      <c r="S8" s="46">
        <f t="shared" si="10"/>
        <v>554.39</v>
      </c>
      <c r="T8" s="46">
        <f t="shared" si="10"/>
        <v>243.99</v>
      </c>
      <c r="U8" s="46">
        <f t="shared" si="10"/>
        <v>3141.57</v>
      </c>
      <c r="V8" s="46">
        <f t="shared" si="10"/>
        <v>184.7</v>
      </c>
      <c r="W8" s="46">
        <f t="shared" si="10"/>
        <v>173.32</v>
      </c>
      <c r="X8" s="46">
        <f t="shared" si="10"/>
        <v>1131.28</v>
      </c>
      <c r="Y8" s="46">
        <f t="shared" si="14"/>
        <v>1060.9499999999989</v>
      </c>
      <c r="Z8" s="46">
        <f t="shared" si="15"/>
        <v>11008.54</v>
      </c>
      <c r="AA8" s="257">
        <f t="shared" si="16"/>
        <v>1496.74</v>
      </c>
      <c r="AB8" s="46">
        <f t="shared" si="11"/>
        <v>19.71</v>
      </c>
      <c r="AC8" s="46">
        <f t="shared" si="11"/>
        <v>140.27000000000001</v>
      </c>
      <c r="AD8" s="46">
        <f t="shared" si="11"/>
        <v>0</v>
      </c>
      <c r="AE8" s="46">
        <f t="shared" si="11"/>
        <v>203.28</v>
      </c>
      <c r="AF8" s="46">
        <f t="shared" si="11"/>
        <v>89.46</v>
      </c>
      <c r="AG8" s="46">
        <f t="shared" si="11"/>
        <v>1151.9100000000001</v>
      </c>
      <c r="AH8" s="46">
        <f t="shared" si="11"/>
        <v>67.72</v>
      </c>
      <c r="AI8" s="46">
        <f t="shared" si="11"/>
        <v>63.55</v>
      </c>
      <c r="AJ8" s="46">
        <f t="shared" si="11"/>
        <v>414.8</v>
      </c>
      <c r="AK8" s="46">
        <f t="shared" si="17"/>
        <v>389.02</v>
      </c>
      <c r="AL8" s="46">
        <f t="shared" si="18"/>
        <v>4036.46</v>
      </c>
    </row>
    <row r="9" spans="1:38" x14ac:dyDescent="0.2">
      <c r="A9" s="43" t="s">
        <v>163</v>
      </c>
      <c r="B9" s="44">
        <f t="shared" si="12"/>
        <v>22449.29</v>
      </c>
      <c r="C9" s="44">
        <f t="shared" si="0"/>
        <v>295.59000000000003</v>
      </c>
      <c r="D9" s="44">
        <f t="shared" si="1"/>
        <v>2103.96</v>
      </c>
      <c r="E9" s="44">
        <f t="shared" si="2"/>
        <v>0</v>
      </c>
      <c r="F9" s="44">
        <f t="shared" si="3"/>
        <v>3048.8999999999996</v>
      </c>
      <c r="G9" s="44">
        <f t="shared" si="4"/>
        <v>1341.8200000000002</v>
      </c>
      <c r="H9" s="44">
        <f t="shared" si="5"/>
        <v>17277.23</v>
      </c>
      <c r="I9" s="44">
        <f t="shared" si="6"/>
        <v>1015.75</v>
      </c>
      <c r="J9" s="44">
        <f t="shared" si="7"/>
        <v>953.17000000000007</v>
      </c>
      <c r="K9" s="44">
        <f t="shared" si="8"/>
        <v>6221.53</v>
      </c>
      <c r="L9" s="44">
        <f t="shared" si="9"/>
        <v>5834.760000000002</v>
      </c>
      <c r="M9" s="44">
        <f>ROUND('2026 COB breakdown_Kris'!M8,2)</f>
        <v>60542</v>
      </c>
      <c r="N9" s="45">
        <f>'OP8 part 1 analysis'!G25</f>
        <v>0.65067536096879364</v>
      </c>
      <c r="O9" s="257">
        <f t="shared" si="13"/>
        <v>7842.09</v>
      </c>
      <c r="P9" s="46">
        <f t="shared" si="10"/>
        <v>103.26</v>
      </c>
      <c r="Q9" s="46">
        <f t="shared" si="10"/>
        <v>734.97</v>
      </c>
      <c r="R9" s="46">
        <f t="shared" si="10"/>
        <v>0</v>
      </c>
      <c r="S9" s="46">
        <f t="shared" si="10"/>
        <v>1065.06</v>
      </c>
      <c r="T9" s="46">
        <f t="shared" si="10"/>
        <v>468.73</v>
      </c>
      <c r="U9" s="46">
        <f t="shared" si="10"/>
        <v>6035.36</v>
      </c>
      <c r="V9" s="46">
        <f t="shared" si="10"/>
        <v>354.82</v>
      </c>
      <c r="W9" s="46">
        <f t="shared" si="10"/>
        <v>332.97</v>
      </c>
      <c r="X9" s="46">
        <f t="shared" si="10"/>
        <v>2173.33</v>
      </c>
      <c r="Y9" s="46">
        <f t="shared" si="14"/>
        <v>2038.2200000000012</v>
      </c>
      <c r="Z9" s="46">
        <f t="shared" si="15"/>
        <v>21148.809999999998</v>
      </c>
      <c r="AA9" s="257">
        <f t="shared" si="16"/>
        <v>14607.2</v>
      </c>
      <c r="AB9" s="46">
        <f t="shared" si="11"/>
        <v>192.33</v>
      </c>
      <c r="AC9" s="46">
        <f t="shared" si="11"/>
        <v>1368.99</v>
      </c>
      <c r="AD9" s="46">
        <f t="shared" si="11"/>
        <v>0</v>
      </c>
      <c r="AE9" s="46">
        <f t="shared" si="11"/>
        <v>1983.84</v>
      </c>
      <c r="AF9" s="46">
        <f t="shared" si="11"/>
        <v>873.09</v>
      </c>
      <c r="AG9" s="46">
        <f t="shared" si="11"/>
        <v>11241.87</v>
      </c>
      <c r="AH9" s="46">
        <f t="shared" si="11"/>
        <v>660.93</v>
      </c>
      <c r="AI9" s="46">
        <f t="shared" si="11"/>
        <v>620.20000000000005</v>
      </c>
      <c r="AJ9" s="46">
        <f t="shared" si="11"/>
        <v>4048.2</v>
      </c>
      <c r="AK9" s="46">
        <f t="shared" si="17"/>
        <v>3796.5400000000009</v>
      </c>
      <c r="AL9" s="46">
        <f t="shared" si="18"/>
        <v>39393.19</v>
      </c>
    </row>
    <row r="10" spans="1:38" x14ac:dyDescent="0.2">
      <c r="A10" s="43" t="s">
        <v>164</v>
      </c>
      <c r="B10" s="44">
        <f t="shared" si="12"/>
        <v>10704.04</v>
      </c>
      <c r="C10" s="44">
        <f t="shared" si="0"/>
        <v>140.94</v>
      </c>
      <c r="D10" s="44">
        <f t="shared" si="1"/>
        <v>1003.19</v>
      </c>
      <c r="E10" s="44">
        <f t="shared" si="2"/>
        <v>0</v>
      </c>
      <c r="F10" s="44">
        <f t="shared" si="3"/>
        <v>1453.75</v>
      </c>
      <c r="G10" s="44">
        <f t="shared" si="4"/>
        <v>639.80000000000007</v>
      </c>
      <c r="H10" s="44">
        <f t="shared" si="5"/>
        <v>8237.9500000000007</v>
      </c>
      <c r="I10" s="44">
        <f t="shared" si="6"/>
        <v>484.32000000000005</v>
      </c>
      <c r="J10" s="44">
        <f t="shared" si="7"/>
        <v>454.49</v>
      </c>
      <c r="K10" s="44">
        <f t="shared" si="8"/>
        <v>2966.48</v>
      </c>
      <c r="L10" s="44">
        <f t="shared" si="9"/>
        <v>2782.0499999999975</v>
      </c>
      <c r="M10" s="44">
        <f>ROUND('2026 COB breakdown_Kris'!M9,2)</f>
        <v>28867.01</v>
      </c>
      <c r="N10" s="45">
        <f>'OP8 part 1 analysis'!G26</f>
        <v>7.4016914624359526E-2</v>
      </c>
      <c r="O10" s="257">
        <f t="shared" si="13"/>
        <v>9911.76</v>
      </c>
      <c r="P10" s="46">
        <f t="shared" si="10"/>
        <v>130.51</v>
      </c>
      <c r="Q10" s="46">
        <f t="shared" si="10"/>
        <v>928.94</v>
      </c>
      <c r="R10" s="46">
        <f t="shared" si="10"/>
        <v>0</v>
      </c>
      <c r="S10" s="46">
        <f t="shared" si="10"/>
        <v>1346.15</v>
      </c>
      <c r="T10" s="46">
        <f t="shared" si="10"/>
        <v>592.44000000000005</v>
      </c>
      <c r="U10" s="46">
        <f t="shared" si="10"/>
        <v>7628.2</v>
      </c>
      <c r="V10" s="46">
        <f t="shared" si="10"/>
        <v>448.47</v>
      </c>
      <c r="W10" s="46">
        <f t="shared" si="10"/>
        <v>420.85</v>
      </c>
      <c r="X10" s="46">
        <f t="shared" si="10"/>
        <v>2746.91</v>
      </c>
      <c r="Y10" s="46">
        <f t="shared" si="14"/>
        <v>2576.1299999999974</v>
      </c>
      <c r="Z10" s="46">
        <f t="shared" si="15"/>
        <v>26730.359999999997</v>
      </c>
      <c r="AA10" s="257">
        <f t="shared" si="16"/>
        <v>792.28</v>
      </c>
      <c r="AB10" s="46">
        <f t="shared" si="11"/>
        <v>10.43</v>
      </c>
      <c r="AC10" s="46">
        <f t="shared" si="11"/>
        <v>74.25</v>
      </c>
      <c r="AD10" s="46">
        <f t="shared" si="11"/>
        <v>0</v>
      </c>
      <c r="AE10" s="46">
        <f t="shared" si="11"/>
        <v>107.6</v>
      </c>
      <c r="AF10" s="46">
        <f t="shared" si="11"/>
        <v>47.36</v>
      </c>
      <c r="AG10" s="46">
        <f t="shared" si="11"/>
        <v>609.75</v>
      </c>
      <c r="AH10" s="46">
        <f t="shared" si="11"/>
        <v>35.85</v>
      </c>
      <c r="AI10" s="46">
        <f t="shared" si="11"/>
        <v>33.64</v>
      </c>
      <c r="AJ10" s="46">
        <f t="shared" si="11"/>
        <v>219.57</v>
      </c>
      <c r="AK10" s="46">
        <f t="shared" si="17"/>
        <v>205.9200000000003</v>
      </c>
      <c r="AL10" s="46">
        <f t="shared" si="18"/>
        <v>2136.65</v>
      </c>
    </row>
    <row r="11" spans="1:38" x14ac:dyDescent="0.2">
      <c r="A11" s="43" t="s">
        <v>165</v>
      </c>
      <c r="B11" s="44">
        <f t="shared" si="12"/>
        <v>15832.37</v>
      </c>
      <c r="C11" s="44">
        <f t="shared" si="0"/>
        <v>208.47000000000003</v>
      </c>
      <c r="D11" s="44">
        <f t="shared" si="1"/>
        <v>1483.8200000000002</v>
      </c>
      <c r="E11" s="44">
        <f t="shared" si="2"/>
        <v>0</v>
      </c>
      <c r="F11" s="44">
        <f t="shared" si="3"/>
        <v>2150.2399999999998</v>
      </c>
      <c r="G11" s="44">
        <f t="shared" si="4"/>
        <v>946.32</v>
      </c>
      <c r="H11" s="44">
        <f t="shared" si="5"/>
        <v>12184.77</v>
      </c>
      <c r="I11" s="44">
        <f t="shared" si="6"/>
        <v>716.36</v>
      </c>
      <c r="J11" s="44">
        <f t="shared" si="7"/>
        <v>672.23</v>
      </c>
      <c r="K11" s="44">
        <f t="shared" si="8"/>
        <v>4387.74</v>
      </c>
      <c r="L11" s="44">
        <f t="shared" si="9"/>
        <v>4114.9599999999991</v>
      </c>
      <c r="M11" s="44">
        <f>ROUND('2026 COB breakdown_Kris'!M10,2)</f>
        <v>42697.279999999999</v>
      </c>
      <c r="N11" s="45">
        <f>'OP8 part 1 analysis'!G27</f>
        <v>0.58421110987914404</v>
      </c>
      <c r="O11" s="257">
        <f t="shared" si="13"/>
        <v>6582.92</v>
      </c>
      <c r="P11" s="46">
        <f t="shared" si="10"/>
        <v>86.68</v>
      </c>
      <c r="Q11" s="46">
        <f t="shared" si="10"/>
        <v>616.96</v>
      </c>
      <c r="R11" s="46">
        <f t="shared" si="10"/>
        <v>0</v>
      </c>
      <c r="S11" s="46">
        <f t="shared" si="10"/>
        <v>894.05</v>
      </c>
      <c r="T11" s="46">
        <f t="shared" si="10"/>
        <v>393.47</v>
      </c>
      <c r="U11" s="46">
        <f t="shared" si="10"/>
        <v>5066.29</v>
      </c>
      <c r="V11" s="46">
        <f t="shared" si="10"/>
        <v>297.85000000000002</v>
      </c>
      <c r="W11" s="46">
        <f t="shared" si="10"/>
        <v>279.51</v>
      </c>
      <c r="X11" s="46">
        <f t="shared" si="10"/>
        <v>1824.37</v>
      </c>
      <c r="Y11" s="46">
        <f t="shared" si="14"/>
        <v>1710.9500000000007</v>
      </c>
      <c r="Z11" s="46">
        <f t="shared" si="15"/>
        <v>17753.05</v>
      </c>
      <c r="AA11" s="257">
        <f t="shared" si="16"/>
        <v>9249.4500000000007</v>
      </c>
      <c r="AB11" s="46">
        <f t="shared" si="11"/>
        <v>121.79</v>
      </c>
      <c r="AC11" s="46">
        <f t="shared" si="11"/>
        <v>866.86</v>
      </c>
      <c r="AD11" s="46">
        <f t="shared" si="11"/>
        <v>0</v>
      </c>
      <c r="AE11" s="46">
        <f t="shared" si="11"/>
        <v>1256.19</v>
      </c>
      <c r="AF11" s="46">
        <f t="shared" si="11"/>
        <v>552.85</v>
      </c>
      <c r="AG11" s="46">
        <f t="shared" si="11"/>
        <v>7118.48</v>
      </c>
      <c r="AH11" s="46">
        <f t="shared" si="11"/>
        <v>418.51</v>
      </c>
      <c r="AI11" s="46">
        <f t="shared" si="11"/>
        <v>392.72</v>
      </c>
      <c r="AJ11" s="46">
        <f t="shared" si="11"/>
        <v>2563.37</v>
      </c>
      <c r="AK11" s="46">
        <f t="shared" si="17"/>
        <v>2404.0099999999984</v>
      </c>
      <c r="AL11" s="46">
        <f t="shared" si="18"/>
        <v>24944.23</v>
      </c>
    </row>
    <row r="12" spans="1:38" x14ac:dyDescent="0.2">
      <c r="A12" s="43" t="s">
        <v>166</v>
      </c>
      <c r="B12" s="44">
        <f t="shared" si="12"/>
        <v>7782.46</v>
      </c>
      <c r="C12" s="44">
        <f t="shared" si="0"/>
        <v>102.47</v>
      </c>
      <c r="D12" s="44">
        <f t="shared" si="1"/>
        <v>729.37</v>
      </c>
      <c r="E12" s="44">
        <f t="shared" si="2"/>
        <v>0</v>
      </c>
      <c r="F12" s="44">
        <f t="shared" si="3"/>
        <v>1056.96</v>
      </c>
      <c r="G12" s="44">
        <f t="shared" si="4"/>
        <v>465.17</v>
      </c>
      <c r="H12" s="44">
        <f t="shared" si="5"/>
        <v>5989.4699999999993</v>
      </c>
      <c r="I12" s="44">
        <f t="shared" si="6"/>
        <v>352.12</v>
      </c>
      <c r="J12" s="44">
        <f t="shared" si="7"/>
        <v>330.43</v>
      </c>
      <c r="K12" s="44">
        <f t="shared" si="8"/>
        <v>2156.8000000000002</v>
      </c>
      <c r="L12" s="44">
        <f t="shared" si="9"/>
        <v>2022.7500000000009</v>
      </c>
      <c r="M12" s="44">
        <f>ROUND('2026 COB breakdown_Kris'!M11,2)</f>
        <v>20988</v>
      </c>
      <c r="N12" s="45">
        <f>'OP8 part 1 analysis'!G28</f>
        <v>0.22680412371134018</v>
      </c>
      <c r="O12" s="257">
        <f t="shared" si="13"/>
        <v>6017.37</v>
      </c>
      <c r="P12" s="46">
        <f t="shared" si="10"/>
        <v>79.23</v>
      </c>
      <c r="Q12" s="46">
        <f t="shared" si="10"/>
        <v>563.95000000000005</v>
      </c>
      <c r="R12" s="46">
        <f t="shared" si="10"/>
        <v>0</v>
      </c>
      <c r="S12" s="46">
        <f t="shared" si="10"/>
        <v>817.24</v>
      </c>
      <c r="T12" s="46">
        <f t="shared" si="10"/>
        <v>359.67</v>
      </c>
      <c r="U12" s="46">
        <f t="shared" si="10"/>
        <v>4631.03</v>
      </c>
      <c r="V12" s="46">
        <f t="shared" si="10"/>
        <v>272.26</v>
      </c>
      <c r="W12" s="46">
        <f t="shared" si="10"/>
        <v>255.49</v>
      </c>
      <c r="X12" s="46">
        <f t="shared" si="10"/>
        <v>1667.63</v>
      </c>
      <c r="Y12" s="46">
        <f t="shared" si="14"/>
        <v>1563.9700000000012</v>
      </c>
      <c r="Z12" s="46">
        <f t="shared" si="15"/>
        <v>16227.84</v>
      </c>
      <c r="AA12" s="257">
        <f t="shared" si="16"/>
        <v>1765.09</v>
      </c>
      <c r="AB12" s="46">
        <f t="shared" si="11"/>
        <v>23.24</v>
      </c>
      <c r="AC12" s="46">
        <f t="shared" si="11"/>
        <v>165.42</v>
      </c>
      <c r="AD12" s="46">
        <f t="shared" si="11"/>
        <v>0</v>
      </c>
      <c r="AE12" s="46">
        <f t="shared" si="11"/>
        <v>239.72</v>
      </c>
      <c r="AF12" s="46">
        <f t="shared" si="11"/>
        <v>105.5</v>
      </c>
      <c r="AG12" s="46">
        <f t="shared" si="11"/>
        <v>1358.44</v>
      </c>
      <c r="AH12" s="46">
        <f t="shared" si="11"/>
        <v>79.86</v>
      </c>
      <c r="AI12" s="46">
        <f t="shared" si="11"/>
        <v>74.94</v>
      </c>
      <c r="AJ12" s="46">
        <f t="shared" si="11"/>
        <v>489.17</v>
      </c>
      <c r="AK12" s="46">
        <f t="shared" si="17"/>
        <v>458.77999999999975</v>
      </c>
      <c r="AL12" s="46">
        <f t="shared" si="18"/>
        <v>4760.16</v>
      </c>
    </row>
    <row r="13" spans="1:38" x14ac:dyDescent="0.2">
      <c r="A13" s="43" t="s">
        <v>167</v>
      </c>
      <c r="B13" s="44">
        <f t="shared" si="12"/>
        <v>8671.7199999999993</v>
      </c>
      <c r="C13" s="44">
        <f t="shared" si="0"/>
        <v>114.18</v>
      </c>
      <c r="D13" s="44">
        <f t="shared" si="1"/>
        <v>812.72</v>
      </c>
      <c r="E13" s="44">
        <f t="shared" si="2"/>
        <v>0</v>
      </c>
      <c r="F13" s="44">
        <f t="shared" si="3"/>
        <v>1177.73</v>
      </c>
      <c r="G13" s="44">
        <f t="shared" si="4"/>
        <v>518.32000000000005</v>
      </c>
      <c r="H13" s="44">
        <f t="shared" si="5"/>
        <v>6673.85</v>
      </c>
      <c r="I13" s="44">
        <f t="shared" si="6"/>
        <v>392.36</v>
      </c>
      <c r="J13" s="44">
        <f t="shared" si="7"/>
        <v>368.2</v>
      </c>
      <c r="K13" s="44">
        <f t="shared" si="8"/>
        <v>2403.25</v>
      </c>
      <c r="L13" s="44">
        <f t="shared" si="9"/>
        <v>2253.8700000000026</v>
      </c>
      <c r="M13" s="44">
        <f>ROUND('2026 COB breakdown_Kris'!M12,2)</f>
        <v>23386.2</v>
      </c>
      <c r="N13" s="45">
        <f>'OP8 part 1 analysis'!G29</f>
        <v>0</v>
      </c>
      <c r="O13" s="257">
        <f t="shared" si="13"/>
        <v>8671.7199999999993</v>
      </c>
      <c r="P13" s="46">
        <f t="shared" si="10"/>
        <v>114.18</v>
      </c>
      <c r="Q13" s="46">
        <f t="shared" si="10"/>
        <v>812.72</v>
      </c>
      <c r="R13" s="46">
        <f t="shared" si="10"/>
        <v>0</v>
      </c>
      <c r="S13" s="46">
        <f t="shared" si="10"/>
        <v>1177.73</v>
      </c>
      <c r="T13" s="46">
        <f t="shared" si="10"/>
        <v>518.32000000000005</v>
      </c>
      <c r="U13" s="46">
        <f t="shared" si="10"/>
        <v>6673.85</v>
      </c>
      <c r="V13" s="46">
        <f t="shared" si="10"/>
        <v>392.36</v>
      </c>
      <c r="W13" s="46">
        <f t="shared" si="10"/>
        <v>368.2</v>
      </c>
      <c r="X13" s="46">
        <f t="shared" si="10"/>
        <v>2403.25</v>
      </c>
      <c r="Y13" s="46">
        <f t="shared" si="14"/>
        <v>2253.8700000000026</v>
      </c>
      <c r="Z13" s="46">
        <f t="shared" si="15"/>
        <v>23386.2</v>
      </c>
      <c r="AA13" s="257">
        <f t="shared" si="16"/>
        <v>0</v>
      </c>
      <c r="AB13" s="46">
        <f t="shared" si="11"/>
        <v>0</v>
      </c>
      <c r="AC13" s="46">
        <f t="shared" si="11"/>
        <v>0</v>
      </c>
      <c r="AD13" s="46">
        <f t="shared" si="11"/>
        <v>0</v>
      </c>
      <c r="AE13" s="46">
        <f t="shared" si="11"/>
        <v>0</v>
      </c>
      <c r="AF13" s="46">
        <f t="shared" si="11"/>
        <v>0</v>
      </c>
      <c r="AG13" s="46">
        <f t="shared" si="11"/>
        <v>0</v>
      </c>
      <c r="AH13" s="46">
        <f t="shared" si="11"/>
        <v>0</v>
      </c>
      <c r="AI13" s="46">
        <f t="shared" si="11"/>
        <v>0</v>
      </c>
      <c r="AJ13" s="46">
        <f t="shared" si="11"/>
        <v>0</v>
      </c>
      <c r="AK13" s="46">
        <f t="shared" si="17"/>
        <v>0</v>
      </c>
      <c r="AL13" s="46">
        <f t="shared" si="18"/>
        <v>0</v>
      </c>
    </row>
    <row r="14" spans="1:38" x14ac:dyDescent="0.2">
      <c r="A14" s="43" t="s">
        <v>168</v>
      </c>
      <c r="B14" s="44">
        <f t="shared" si="12"/>
        <v>15622.029999999999</v>
      </c>
      <c r="C14" s="44">
        <f t="shared" si="0"/>
        <v>205.69</v>
      </c>
      <c r="D14" s="44">
        <f t="shared" si="1"/>
        <v>1464.1</v>
      </c>
      <c r="E14" s="44">
        <f t="shared" si="2"/>
        <v>0</v>
      </c>
      <c r="F14" s="44">
        <f t="shared" si="3"/>
        <v>2121.67</v>
      </c>
      <c r="G14" s="44">
        <f t="shared" si="4"/>
        <v>933.75</v>
      </c>
      <c r="H14" s="44">
        <f t="shared" si="5"/>
        <v>12022.89</v>
      </c>
      <c r="I14" s="44">
        <f t="shared" si="6"/>
        <v>706.84</v>
      </c>
      <c r="J14" s="44">
        <f t="shared" si="7"/>
        <v>663.3</v>
      </c>
      <c r="K14" s="44">
        <f t="shared" si="8"/>
        <v>4329.4399999999996</v>
      </c>
      <c r="L14" s="44">
        <f t="shared" si="9"/>
        <v>4060.3099999999977</v>
      </c>
      <c r="M14" s="44">
        <f>ROUND('2026 COB breakdown_Kris'!M13,2)</f>
        <v>42130.02</v>
      </c>
      <c r="N14" s="45">
        <f>'OP8 part 1 analysis'!G30</f>
        <v>0.53987730061349692</v>
      </c>
      <c r="O14" s="257">
        <f t="shared" si="13"/>
        <v>7188.05</v>
      </c>
      <c r="P14" s="46">
        <f t="shared" si="10"/>
        <v>94.64</v>
      </c>
      <c r="Q14" s="46">
        <f t="shared" si="10"/>
        <v>673.67</v>
      </c>
      <c r="R14" s="46">
        <f t="shared" si="10"/>
        <v>0</v>
      </c>
      <c r="S14" s="46">
        <f t="shared" si="10"/>
        <v>976.23</v>
      </c>
      <c r="T14" s="46">
        <f t="shared" si="10"/>
        <v>429.64</v>
      </c>
      <c r="U14" s="46">
        <f t="shared" si="10"/>
        <v>5532</v>
      </c>
      <c r="V14" s="46">
        <f t="shared" si="10"/>
        <v>325.23</v>
      </c>
      <c r="W14" s="46">
        <f t="shared" si="10"/>
        <v>305.2</v>
      </c>
      <c r="X14" s="46">
        <f t="shared" si="10"/>
        <v>1992.07</v>
      </c>
      <c r="Y14" s="46">
        <f t="shared" si="14"/>
        <v>1868.2499999999964</v>
      </c>
      <c r="Z14" s="46">
        <f t="shared" si="15"/>
        <v>19384.979999999996</v>
      </c>
      <c r="AA14" s="257">
        <f t="shared" si="16"/>
        <v>8433.98</v>
      </c>
      <c r="AB14" s="46">
        <f t="shared" si="11"/>
        <v>111.05</v>
      </c>
      <c r="AC14" s="46">
        <f t="shared" si="11"/>
        <v>790.43</v>
      </c>
      <c r="AD14" s="46">
        <f t="shared" si="11"/>
        <v>0</v>
      </c>
      <c r="AE14" s="46">
        <f t="shared" si="11"/>
        <v>1145.44</v>
      </c>
      <c r="AF14" s="46">
        <f t="shared" si="11"/>
        <v>504.11</v>
      </c>
      <c r="AG14" s="46">
        <f t="shared" si="11"/>
        <v>6490.89</v>
      </c>
      <c r="AH14" s="46">
        <f t="shared" si="11"/>
        <v>381.61</v>
      </c>
      <c r="AI14" s="46">
        <f t="shared" si="11"/>
        <v>358.1</v>
      </c>
      <c r="AJ14" s="46">
        <f t="shared" si="11"/>
        <v>2337.37</v>
      </c>
      <c r="AK14" s="46">
        <f t="shared" si="17"/>
        <v>2192.0600000000013</v>
      </c>
      <c r="AL14" s="46">
        <f t="shared" si="18"/>
        <v>22745.040000000001</v>
      </c>
    </row>
    <row r="15" spans="1:38" x14ac:dyDescent="0.2">
      <c r="A15" s="43" t="s">
        <v>169</v>
      </c>
      <c r="B15" s="44">
        <f t="shared" si="12"/>
        <v>8343.1200000000008</v>
      </c>
      <c r="C15" s="44">
        <f t="shared" si="0"/>
        <v>109.86</v>
      </c>
      <c r="D15" s="44">
        <f t="shared" si="1"/>
        <v>781.92</v>
      </c>
      <c r="E15" s="44">
        <f t="shared" si="2"/>
        <v>0</v>
      </c>
      <c r="F15" s="44">
        <f t="shared" si="3"/>
        <v>1133.0999999999999</v>
      </c>
      <c r="G15" s="44">
        <f t="shared" si="4"/>
        <v>498.68</v>
      </c>
      <c r="H15" s="44">
        <f t="shared" si="5"/>
        <v>6420.96</v>
      </c>
      <c r="I15" s="44">
        <f t="shared" si="6"/>
        <v>377.49</v>
      </c>
      <c r="J15" s="44">
        <f t="shared" si="7"/>
        <v>354.24</v>
      </c>
      <c r="K15" s="44">
        <f t="shared" si="8"/>
        <v>2312.19</v>
      </c>
      <c r="L15" s="44">
        <f t="shared" si="9"/>
        <v>2168.4399999999951</v>
      </c>
      <c r="M15" s="44">
        <f>ROUND('2026 COB breakdown_Kris'!M14,2)</f>
        <v>22500</v>
      </c>
      <c r="N15" s="45">
        <f>'OP8 part 1 analysis'!G31</f>
        <v>0.48024948024948022</v>
      </c>
      <c r="O15" s="257">
        <f t="shared" si="13"/>
        <v>4336.34</v>
      </c>
      <c r="P15" s="46">
        <f t="shared" si="10"/>
        <v>57.1</v>
      </c>
      <c r="Q15" s="46">
        <f t="shared" si="10"/>
        <v>406.4</v>
      </c>
      <c r="R15" s="46">
        <f t="shared" si="10"/>
        <v>0</v>
      </c>
      <c r="S15" s="46">
        <f t="shared" si="10"/>
        <v>588.92999999999995</v>
      </c>
      <c r="T15" s="46">
        <f t="shared" si="10"/>
        <v>259.19</v>
      </c>
      <c r="U15" s="46">
        <f t="shared" si="10"/>
        <v>3337.3</v>
      </c>
      <c r="V15" s="46">
        <f t="shared" si="10"/>
        <v>196.2</v>
      </c>
      <c r="W15" s="46">
        <f t="shared" si="10"/>
        <v>184.12</v>
      </c>
      <c r="X15" s="46">
        <f t="shared" si="10"/>
        <v>1201.76</v>
      </c>
      <c r="Y15" s="46">
        <f t="shared" si="14"/>
        <v>1127.0499999999975</v>
      </c>
      <c r="Z15" s="46">
        <f t="shared" si="15"/>
        <v>11694.39</v>
      </c>
      <c r="AA15" s="257">
        <f t="shared" si="16"/>
        <v>4006.78</v>
      </c>
      <c r="AB15" s="46">
        <f t="shared" si="11"/>
        <v>52.76</v>
      </c>
      <c r="AC15" s="46">
        <f t="shared" si="11"/>
        <v>375.52</v>
      </c>
      <c r="AD15" s="46">
        <f t="shared" si="11"/>
        <v>0</v>
      </c>
      <c r="AE15" s="46">
        <f t="shared" si="11"/>
        <v>544.16999999999996</v>
      </c>
      <c r="AF15" s="46">
        <f t="shared" si="11"/>
        <v>239.49</v>
      </c>
      <c r="AG15" s="46">
        <f t="shared" si="11"/>
        <v>3083.66</v>
      </c>
      <c r="AH15" s="46">
        <f t="shared" si="11"/>
        <v>181.29</v>
      </c>
      <c r="AI15" s="46">
        <f t="shared" si="11"/>
        <v>170.12</v>
      </c>
      <c r="AJ15" s="46">
        <f t="shared" si="11"/>
        <v>1110.43</v>
      </c>
      <c r="AK15" s="46">
        <f t="shared" si="17"/>
        <v>1041.3899999999976</v>
      </c>
      <c r="AL15" s="46">
        <f t="shared" si="18"/>
        <v>10805.61</v>
      </c>
    </row>
    <row r="16" spans="1:38" x14ac:dyDescent="0.2">
      <c r="A16" s="43" t="s">
        <v>170</v>
      </c>
      <c r="B16" s="44">
        <f t="shared" si="12"/>
        <v>5433.26</v>
      </c>
      <c r="C16" s="44">
        <f t="shared" si="0"/>
        <v>71.540000000000006</v>
      </c>
      <c r="D16" s="44">
        <f t="shared" si="1"/>
        <v>509.21</v>
      </c>
      <c r="E16" s="44">
        <f t="shared" si="2"/>
        <v>0</v>
      </c>
      <c r="F16" s="44">
        <f t="shared" si="3"/>
        <v>737.91</v>
      </c>
      <c r="G16" s="44">
        <f t="shared" si="4"/>
        <v>324.75</v>
      </c>
      <c r="H16" s="44">
        <f t="shared" si="5"/>
        <v>4181.5</v>
      </c>
      <c r="I16" s="44">
        <f t="shared" si="6"/>
        <v>245.83</v>
      </c>
      <c r="J16" s="44">
        <f t="shared" si="7"/>
        <v>230.69</v>
      </c>
      <c r="K16" s="44">
        <f t="shared" si="8"/>
        <v>1505.76</v>
      </c>
      <c r="L16" s="44">
        <f t="shared" si="9"/>
        <v>1412.1499999999996</v>
      </c>
      <c r="M16" s="44">
        <f>ROUND('2026 COB breakdown_Kris'!M15,2)</f>
        <v>14652.6</v>
      </c>
      <c r="N16" s="45">
        <f>'OP8 part 1 analysis'!G32</f>
        <v>0</v>
      </c>
      <c r="O16" s="257">
        <f t="shared" si="13"/>
        <v>5433.26</v>
      </c>
      <c r="P16" s="46">
        <f t="shared" si="10"/>
        <v>71.540000000000006</v>
      </c>
      <c r="Q16" s="46">
        <f t="shared" si="10"/>
        <v>509.21</v>
      </c>
      <c r="R16" s="46">
        <f t="shared" si="10"/>
        <v>0</v>
      </c>
      <c r="S16" s="46">
        <f t="shared" si="10"/>
        <v>737.91</v>
      </c>
      <c r="T16" s="46">
        <f t="shared" si="10"/>
        <v>324.75</v>
      </c>
      <c r="U16" s="46">
        <f t="shared" si="10"/>
        <v>4181.5</v>
      </c>
      <c r="V16" s="46">
        <f t="shared" si="10"/>
        <v>245.83</v>
      </c>
      <c r="W16" s="46">
        <f t="shared" si="10"/>
        <v>230.69</v>
      </c>
      <c r="X16" s="46">
        <f t="shared" si="10"/>
        <v>1505.76</v>
      </c>
      <c r="Y16" s="46">
        <f t="shared" si="14"/>
        <v>1412.1499999999996</v>
      </c>
      <c r="Z16" s="46">
        <f t="shared" si="15"/>
        <v>14652.6</v>
      </c>
      <c r="AA16" s="257">
        <f t="shared" si="16"/>
        <v>0</v>
      </c>
      <c r="AB16" s="46">
        <f t="shared" si="11"/>
        <v>0</v>
      </c>
      <c r="AC16" s="46">
        <f t="shared" si="11"/>
        <v>0</v>
      </c>
      <c r="AD16" s="46">
        <f t="shared" si="11"/>
        <v>0</v>
      </c>
      <c r="AE16" s="46">
        <f t="shared" si="11"/>
        <v>0</v>
      </c>
      <c r="AF16" s="46">
        <f t="shared" si="11"/>
        <v>0</v>
      </c>
      <c r="AG16" s="46">
        <f t="shared" si="11"/>
        <v>0</v>
      </c>
      <c r="AH16" s="46">
        <f t="shared" si="11"/>
        <v>0</v>
      </c>
      <c r="AI16" s="46">
        <f t="shared" si="11"/>
        <v>0</v>
      </c>
      <c r="AJ16" s="46">
        <f t="shared" si="11"/>
        <v>0</v>
      </c>
      <c r="AK16" s="46">
        <f t="shared" si="17"/>
        <v>0</v>
      </c>
      <c r="AL16" s="46">
        <f t="shared" si="18"/>
        <v>0</v>
      </c>
    </row>
    <row r="17" spans="1:38" x14ac:dyDescent="0.2">
      <c r="A17" s="43" t="s">
        <v>171</v>
      </c>
      <c r="B17" s="44">
        <f t="shared" si="12"/>
        <v>12514.67</v>
      </c>
      <c r="C17" s="44">
        <f t="shared" si="0"/>
        <v>164.78</v>
      </c>
      <c r="D17" s="44">
        <f t="shared" si="1"/>
        <v>1172.8800000000001</v>
      </c>
      <c r="E17" s="44">
        <f t="shared" si="2"/>
        <v>0</v>
      </c>
      <c r="F17" s="44">
        <f t="shared" si="3"/>
        <v>1699.66</v>
      </c>
      <c r="G17" s="44">
        <f t="shared" si="4"/>
        <v>748.02</v>
      </c>
      <c r="H17" s="44">
        <f t="shared" si="5"/>
        <v>9631.43</v>
      </c>
      <c r="I17" s="44">
        <f t="shared" si="6"/>
        <v>566.24</v>
      </c>
      <c r="J17" s="44">
        <f t="shared" si="7"/>
        <v>531.36</v>
      </c>
      <c r="K17" s="44">
        <f t="shared" si="8"/>
        <v>3468.28</v>
      </c>
      <c r="L17" s="44">
        <f t="shared" si="9"/>
        <v>3252.6799999999967</v>
      </c>
      <c r="M17" s="44">
        <f>ROUND('2026 COB breakdown_Kris'!M16,2)</f>
        <v>33750</v>
      </c>
      <c r="N17" s="45">
        <f>'OP8 part 1 analysis'!G33</f>
        <v>0</v>
      </c>
      <c r="O17" s="257">
        <f t="shared" si="13"/>
        <v>12514.67</v>
      </c>
      <c r="P17" s="46">
        <f t="shared" si="10"/>
        <v>164.78</v>
      </c>
      <c r="Q17" s="46">
        <f t="shared" si="10"/>
        <v>1172.8800000000001</v>
      </c>
      <c r="R17" s="46">
        <f t="shared" si="10"/>
        <v>0</v>
      </c>
      <c r="S17" s="46">
        <f t="shared" si="10"/>
        <v>1699.66</v>
      </c>
      <c r="T17" s="46">
        <f t="shared" si="10"/>
        <v>748.02</v>
      </c>
      <c r="U17" s="46">
        <f t="shared" si="10"/>
        <v>9631.43</v>
      </c>
      <c r="V17" s="46">
        <f t="shared" si="10"/>
        <v>566.24</v>
      </c>
      <c r="W17" s="46">
        <f t="shared" si="10"/>
        <v>531.36</v>
      </c>
      <c r="X17" s="46">
        <f t="shared" si="10"/>
        <v>3468.28</v>
      </c>
      <c r="Y17" s="46">
        <f t="shared" si="14"/>
        <v>3252.6799999999967</v>
      </c>
      <c r="Z17" s="46">
        <f t="shared" si="15"/>
        <v>33750</v>
      </c>
      <c r="AA17" s="257">
        <f t="shared" si="16"/>
        <v>0</v>
      </c>
      <c r="AB17" s="46">
        <f t="shared" si="11"/>
        <v>0</v>
      </c>
      <c r="AC17" s="46">
        <f t="shared" si="11"/>
        <v>0</v>
      </c>
      <c r="AD17" s="46">
        <f t="shared" si="11"/>
        <v>0</v>
      </c>
      <c r="AE17" s="46">
        <f t="shared" si="11"/>
        <v>0</v>
      </c>
      <c r="AF17" s="46">
        <f t="shared" si="11"/>
        <v>0</v>
      </c>
      <c r="AG17" s="46">
        <f t="shared" si="11"/>
        <v>0</v>
      </c>
      <c r="AH17" s="46">
        <f t="shared" si="11"/>
        <v>0</v>
      </c>
      <c r="AI17" s="46">
        <f t="shared" si="11"/>
        <v>0</v>
      </c>
      <c r="AJ17" s="46">
        <f t="shared" si="11"/>
        <v>0</v>
      </c>
      <c r="AK17" s="46">
        <f t="shared" si="17"/>
        <v>0</v>
      </c>
      <c r="AL17" s="46">
        <f t="shared" si="18"/>
        <v>0</v>
      </c>
    </row>
    <row r="18" spans="1:38" x14ac:dyDescent="0.2">
      <c r="A18" s="43" t="s">
        <v>126</v>
      </c>
      <c r="B18" s="44">
        <f t="shared" si="12"/>
        <v>0</v>
      </c>
      <c r="C18" s="44">
        <f t="shared" si="0"/>
        <v>0</v>
      </c>
      <c r="D18" s="44">
        <f t="shared" si="1"/>
        <v>0</v>
      </c>
      <c r="E18" s="44">
        <f t="shared" si="2"/>
        <v>0</v>
      </c>
      <c r="F18" s="44">
        <f t="shared" si="3"/>
        <v>0</v>
      </c>
      <c r="G18" s="44">
        <f t="shared" si="4"/>
        <v>0</v>
      </c>
      <c r="H18" s="44">
        <f t="shared" si="5"/>
        <v>0</v>
      </c>
      <c r="I18" s="44">
        <f t="shared" si="6"/>
        <v>0</v>
      </c>
      <c r="J18" s="44">
        <f t="shared" si="7"/>
        <v>0</v>
      </c>
      <c r="K18" s="44">
        <f t="shared" si="8"/>
        <v>0</v>
      </c>
      <c r="L18" s="44">
        <f t="shared" si="9"/>
        <v>0</v>
      </c>
      <c r="M18" s="44">
        <f>ROUND('2026 COB breakdown_Kris'!M17,2)</f>
        <v>0</v>
      </c>
      <c r="N18" s="45">
        <f>'OP8 part 1 analysis'!G34</f>
        <v>0.85436893203883502</v>
      </c>
      <c r="O18" s="257">
        <f t="shared" si="13"/>
        <v>0</v>
      </c>
      <c r="P18" s="46">
        <f t="shared" si="10"/>
        <v>0</v>
      </c>
      <c r="Q18" s="46">
        <f t="shared" si="10"/>
        <v>0</v>
      </c>
      <c r="R18" s="46">
        <f t="shared" si="10"/>
        <v>0</v>
      </c>
      <c r="S18" s="46">
        <f t="shared" si="10"/>
        <v>0</v>
      </c>
      <c r="T18" s="46">
        <f t="shared" si="10"/>
        <v>0</v>
      </c>
      <c r="U18" s="46">
        <f t="shared" si="10"/>
        <v>0</v>
      </c>
      <c r="V18" s="46">
        <f t="shared" si="10"/>
        <v>0</v>
      </c>
      <c r="W18" s="46">
        <f t="shared" si="10"/>
        <v>0</v>
      </c>
      <c r="X18" s="46">
        <f t="shared" si="10"/>
        <v>0</v>
      </c>
      <c r="Y18" s="46">
        <f t="shared" si="14"/>
        <v>0</v>
      </c>
      <c r="Z18" s="46">
        <f t="shared" si="15"/>
        <v>0</v>
      </c>
      <c r="AA18" s="257">
        <f t="shared" si="16"/>
        <v>0</v>
      </c>
      <c r="AB18" s="46">
        <f t="shared" si="11"/>
        <v>0</v>
      </c>
      <c r="AC18" s="46">
        <f t="shared" si="11"/>
        <v>0</v>
      </c>
      <c r="AD18" s="46">
        <f t="shared" si="11"/>
        <v>0</v>
      </c>
      <c r="AE18" s="46">
        <f t="shared" si="11"/>
        <v>0</v>
      </c>
      <c r="AF18" s="46">
        <f t="shared" si="11"/>
        <v>0</v>
      </c>
      <c r="AG18" s="46">
        <f t="shared" si="11"/>
        <v>0</v>
      </c>
      <c r="AH18" s="46">
        <f t="shared" si="11"/>
        <v>0</v>
      </c>
      <c r="AI18" s="46">
        <f t="shared" si="11"/>
        <v>0</v>
      </c>
      <c r="AJ18" s="46">
        <f t="shared" si="11"/>
        <v>0</v>
      </c>
      <c r="AK18" s="46">
        <f t="shared" si="17"/>
        <v>0</v>
      </c>
      <c r="AL18" s="46">
        <f t="shared" si="18"/>
        <v>0</v>
      </c>
    </row>
    <row r="19" spans="1:38" x14ac:dyDescent="0.2">
      <c r="A19" s="43" t="s">
        <v>172</v>
      </c>
      <c r="B19" s="44">
        <f t="shared" si="12"/>
        <v>12580.68</v>
      </c>
      <c r="C19" s="44">
        <f t="shared" si="0"/>
        <v>165.64999999999998</v>
      </c>
      <c r="D19" s="44">
        <f t="shared" si="1"/>
        <v>1179.07</v>
      </c>
      <c r="E19" s="44">
        <f t="shared" si="2"/>
        <v>0</v>
      </c>
      <c r="F19" s="44">
        <f t="shared" si="3"/>
        <v>1708.6200000000001</v>
      </c>
      <c r="G19" s="44">
        <f t="shared" si="4"/>
        <v>751.97</v>
      </c>
      <c r="H19" s="44">
        <f t="shared" si="5"/>
        <v>9682.23</v>
      </c>
      <c r="I19" s="44">
        <f t="shared" si="6"/>
        <v>569.23</v>
      </c>
      <c r="J19" s="44">
        <f t="shared" si="7"/>
        <v>534.16</v>
      </c>
      <c r="K19" s="44">
        <f t="shared" si="8"/>
        <v>3486.5699999999997</v>
      </c>
      <c r="L19" s="44">
        <f t="shared" si="9"/>
        <v>3269.8300000000054</v>
      </c>
      <c r="M19" s="44">
        <f>ROUND('2026 COB breakdown_Kris'!M18,2)</f>
        <v>33928.01</v>
      </c>
      <c r="N19" s="45">
        <f>'OP8 part 1 analysis'!G35</f>
        <v>0.66832397070867267</v>
      </c>
      <c r="O19" s="257">
        <f t="shared" si="13"/>
        <v>4172.71</v>
      </c>
      <c r="P19" s="46">
        <f t="shared" si="10"/>
        <v>54.94</v>
      </c>
      <c r="Q19" s="46">
        <f t="shared" si="10"/>
        <v>391.07</v>
      </c>
      <c r="R19" s="46">
        <f t="shared" si="10"/>
        <v>0</v>
      </c>
      <c r="S19" s="46">
        <f t="shared" si="10"/>
        <v>566.71</v>
      </c>
      <c r="T19" s="46">
        <f t="shared" si="10"/>
        <v>249.41</v>
      </c>
      <c r="U19" s="46">
        <f t="shared" si="10"/>
        <v>3211.36</v>
      </c>
      <c r="V19" s="46">
        <f t="shared" si="10"/>
        <v>188.8</v>
      </c>
      <c r="W19" s="46">
        <f t="shared" si="10"/>
        <v>177.17</v>
      </c>
      <c r="X19" s="46">
        <f t="shared" si="10"/>
        <v>1156.4100000000001</v>
      </c>
      <c r="Y19" s="46">
        <f t="shared" si="14"/>
        <v>1084.5300000000025</v>
      </c>
      <c r="Z19" s="46">
        <f t="shared" si="15"/>
        <v>11253.11</v>
      </c>
      <c r="AA19" s="257">
        <f t="shared" si="16"/>
        <v>8407.9699999999993</v>
      </c>
      <c r="AB19" s="46">
        <f t="shared" si="11"/>
        <v>110.71</v>
      </c>
      <c r="AC19" s="46">
        <f t="shared" si="11"/>
        <v>788</v>
      </c>
      <c r="AD19" s="46">
        <f t="shared" si="11"/>
        <v>0</v>
      </c>
      <c r="AE19" s="46">
        <f t="shared" ref="AB19:AJ47" si="19">ROUND($AL19*AE$4,2)</f>
        <v>1141.9100000000001</v>
      </c>
      <c r="AF19" s="46">
        <f t="shared" si="19"/>
        <v>502.56</v>
      </c>
      <c r="AG19" s="46">
        <f t="shared" si="19"/>
        <v>6470.87</v>
      </c>
      <c r="AH19" s="46">
        <f t="shared" si="19"/>
        <v>380.43</v>
      </c>
      <c r="AI19" s="46">
        <f t="shared" si="19"/>
        <v>356.99</v>
      </c>
      <c r="AJ19" s="46">
        <f t="shared" si="19"/>
        <v>2330.16</v>
      </c>
      <c r="AK19" s="46">
        <f t="shared" si="17"/>
        <v>2185.3000000000029</v>
      </c>
      <c r="AL19" s="46">
        <f t="shared" si="18"/>
        <v>22674.9</v>
      </c>
    </row>
    <row r="20" spans="1:38" x14ac:dyDescent="0.2">
      <c r="A20" s="43" t="s">
        <v>173</v>
      </c>
      <c r="B20" s="44">
        <f t="shared" si="12"/>
        <v>13042.509999999998</v>
      </c>
      <c r="C20" s="44">
        <f t="shared" si="0"/>
        <v>171.73000000000002</v>
      </c>
      <c r="D20" s="44">
        <f t="shared" si="1"/>
        <v>1222.3499999999999</v>
      </c>
      <c r="E20" s="44">
        <f t="shared" si="2"/>
        <v>0</v>
      </c>
      <c r="F20" s="44">
        <f t="shared" si="3"/>
        <v>1771.3400000000001</v>
      </c>
      <c r="G20" s="44">
        <f t="shared" si="4"/>
        <v>779.56</v>
      </c>
      <c r="H20" s="44">
        <f t="shared" si="5"/>
        <v>10037.67</v>
      </c>
      <c r="I20" s="44">
        <f t="shared" si="6"/>
        <v>590.13</v>
      </c>
      <c r="J20" s="44">
        <f t="shared" si="7"/>
        <v>553.77</v>
      </c>
      <c r="K20" s="44">
        <f t="shared" si="8"/>
        <v>3614.56</v>
      </c>
      <c r="L20" s="44">
        <f t="shared" si="9"/>
        <v>3389.8800000000028</v>
      </c>
      <c r="M20" s="44">
        <f>ROUND('2026 COB breakdown_Kris'!M19,2)</f>
        <v>35173.5</v>
      </c>
      <c r="N20" s="45">
        <f>'OP8 part 1 analysis'!G36</f>
        <v>0.36974789915966383</v>
      </c>
      <c r="O20" s="257">
        <f t="shared" si="13"/>
        <v>8220.07</v>
      </c>
      <c r="P20" s="46">
        <f t="shared" si="10"/>
        <v>108.23</v>
      </c>
      <c r="Q20" s="46">
        <f t="shared" si="10"/>
        <v>770.39</v>
      </c>
      <c r="R20" s="46">
        <f t="shared" si="10"/>
        <v>0</v>
      </c>
      <c r="S20" s="46">
        <f t="shared" si="10"/>
        <v>1116.3900000000001</v>
      </c>
      <c r="T20" s="46">
        <f t="shared" si="10"/>
        <v>491.32</v>
      </c>
      <c r="U20" s="46">
        <f t="shared" si="10"/>
        <v>6326.26</v>
      </c>
      <c r="V20" s="46">
        <f t="shared" si="10"/>
        <v>371.93</v>
      </c>
      <c r="W20" s="46">
        <f t="shared" si="10"/>
        <v>349.02</v>
      </c>
      <c r="X20" s="46">
        <f t="shared" si="10"/>
        <v>2278.08</v>
      </c>
      <c r="Y20" s="46">
        <f t="shared" si="14"/>
        <v>2136.4800000000032</v>
      </c>
      <c r="Z20" s="46">
        <f t="shared" si="15"/>
        <v>22168.17</v>
      </c>
      <c r="AA20" s="257">
        <f t="shared" si="16"/>
        <v>4822.4399999999996</v>
      </c>
      <c r="AB20" s="46">
        <f t="shared" si="19"/>
        <v>63.5</v>
      </c>
      <c r="AC20" s="46">
        <f t="shared" si="19"/>
        <v>451.96</v>
      </c>
      <c r="AD20" s="46">
        <f t="shared" si="19"/>
        <v>0</v>
      </c>
      <c r="AE20" s="46">
        <f t="shared" si="19"/>
        <v>654.95000000000005</v>
      </c>
      <c r="AF20" s="46">
        <f t="shared" si="19"/>
        <v>288.24</v>
      </c>
      <c r="AG20" s="46">
        <f t="shared" si="19"/>
        <v>3711.41</v>
      </c>
      <c r="AH20" s="46">
        <f t="shared" si="19"/>
        <v>218.2</v>
      </c>
      <c r="AI20" s="46">
        <f t="shared" si="19"/>
        <v>204.75</v>
      </c>
      <c r="AJ20" s="46">
        <f t="shared" si="19"/>
        <v>1336.48</v>
      </c>
      <c r="AK20" s="46">
        <f t="shared" si="17"/>
        <v>1253.3999999999996</v>
      </c>
      <c r="AL20" s="46">
        <f t="shared" si="18"/>
        <v>13005.33</v>
      </c>
    </row>
    <row r="21" spans="1:38" x14ac:dyDescent="0.2">
      <c r="A21" s="43" t="s">
        <v>174</v>
      </c>
      <c r="B21" s="44">
        <f t="shared" si="12"/>
        <v>8546.3100000000013</v>
      </c>
      <c r="C21" s="44">
        <f t="shared" si="0"/>
        <v>112.53</v>
      </c>
      <c r="D21" s="44">
        <f t="shared" si="1"/>
        <v>800.97</v>
      </c>
      <c r="E21" s="44">
        <f t="shared" si="2"/>
        <v>0</v>
      </c>
      <c r="F21" s="44">
        <f t="shared" si="3"/>
        <v>1160.7</v>
      </c>
      <c r="G21" s="44">
        <f t="shared" si="4"/>
        <v>510.83</v>
      </c>
      <c r="H21" s="44">
        <f t="shared" si="5"/>
        <v>6577.34</v>
      </c>
      <c r="I21" s="44">
        <f t="shared" si="6"/>
        <v>386.69</v>
      </c>
      <c r="J21" s="44">
        <f t="shared" si="7"/>
        <v>362.87</v>
      </c>
      <c r="K21" s="44">
        <f t="shared" si="8"/>
        <v>2368.5</v>
      </c>
      <c r="L21" s="44">
        <f t="shared" si="9"/>
        <v>2221.2599999999984</v>
      </c>
      <c r="M21" s="44">
        <f>ROUND('2026 COB breakdown_Kris'!M20,2)</f>
        <v>23048</v>
      </c>
      <c r="N21" s="45">
        <f>'OP8 part 1 analysis'!G37</f>
        <v>0.5821727019498607</v>
      </c>
      <c r="O21" s="257">
        <f t="shared" si="13"/>
        <v>3570.88</v>
      </c>
      <c r="P21" s="46">
        <f t="shared" si="10"/>
        <v>47.02</v>
      </c>
      <c r="Q21" s="46">
        <f t="shared" si="10"/>
        <v>334.67</v>
      </c>
      <c r="R21" s="46">
        <f t="shared" si="10"/>
        <v>0</v>
      </c>
      <c r="S21" s="46">
        <f t="shared" si="10"/>
        <v>484.97</v>
      </c>
      <c r="T21" s="46">
        <f t="shared" si="10"/>
        <v>213.44</v>
      </c>
      <c r="U21" s="46">
        <f t="shared" si="10"/>
        <v>2748.19</v>
      </c>
      <c r="V21" s="46">
        <f t="shared" si="10"/>
        <v>161.57</v>
      </c>
      <c r="W21" s="46">
        <f t="shared" si="10"/>
        <v>151.62</v>
      </c>
      <c r="X21" s="46">
        <f t="shared" si="10"/>
        <v>989.62</v>
      </c>
      <c r="Y21" s="46">
        <f t="shared" si="14"/>
        <v>928.10000000000036</v>
      </c>
      <c r="Z21" s="46">
        <f t="shared" si="15"/>
        <v>9630.08</v>
      </c>
      <c r="AA21" s="257">
        <f t="shared" si="16"/>
        <v>4975.43</v>
      </c>
      <c r="AB21" s="46">
        <f t="shared" si="19"/>
        <v>65.510000000000005</v>
      </c>
      <c r="AC21" s="46">
        <f t="shared" si="19"/>
        <v>466.3</v>
      </c>
      <c r="AD21" s="46">
        <f t="shared" si="19"/>
        <v>0</v>
      </c>
      <c r="AE21" s="46">
        <f t="shared" si="19"/>
        <v>675.73</v>
      </c>
      <c r="AF21" s="46">
        <f t="shared" si="19"/>
        <v>297.39</v>
      </c>
      <c r="AG21" s="46">
        <f t="shared" si="19"/>
        <v>3829.15</v>
      </c>
      <c r="AH21" s="46">
        <f t="shared" si="19"/>
        <v>225.12</v>
      </c>
      <c r="AI21" s="46">
        <f t="shared" si="19"/>
        <v>211.25</v>
      </c>
      <c r="AJ21" s="46">
        <f t="shared" si="19"/>
        <v>1378.88</v>
      </c>
      <c r="AK21" s="46">
        <f t="shared" si="17"/>
        <v>1293.159999999998</v>
      </c>
      <c r="AL21" s="46">
        <f t="shared" si="18"/>
        <v>13417.92</v>
      </c>
    </row>
    <row r="22" spans="1:38" x14ac:dyDescent="0.2">
      <c r="A22" s="43" t="s">
        <v>175</v>
      </c>
      <c r="B22" s="44">
        <f t="shared" si="12"/>
        <v>9080.09</v>
      </c>
      <c r="C22" s="44">
        <f t="shared" si="0"/>
        <v>119.55</v>
      </c>
      <c r="D22" s="44">
        <f t="shared" si="1"/>
        <v>850.99</v>
      </c>
      <c r="E22" s="44">
        <f t="shared" si="2"/>
        <v>0</v>
      </c>
      <c r="F22" s="44">
        <f t="shared" si="3"/>
        <v>1233.2</v>
      </c>
      <c r="G22" s="44">
        <f t="shared" si="4"/>
        <v>542.72</v>
      </c>
      <c r="H22" s="44">
        <f t="shared" si="5"/>
        <v>6988.1399999999994</v>
      </c>
      <c r="I22" s="44">
        <f t="shared" si="6"/>
        <v>410.84</v>
      </c>
      <c r="J22" s="44">
        <f t="shared" si="7"/>
        <v>385.54</v>
      </c>
      <c r="K22" s="44">
        <f t="shared" si="8"/>
        <v>2516.4299999999998</v>
      </c>
      <c r="L22" s="44">
        <f t="shared" si="9"/>
        <v>2360</v>
      </c>
      <c r="M22" s="44">
        <f>ROUND('2026 COB breakdown_Kris'!M21,2)</f>
        <v>24487.5</v>
      </c>
      <c r="N22" s="45">
        <f>'OP8 part 1 analysis'!G38</f>
        <v>0.11671306082243199</v>
      </c>
      <c r="O22" s="258">
        <f t="shared" si="13"/>
        <v>8020.33</v>
      </c>
      <c r="P22" s="46">
        <f t="shared" si="13"/>
        <v>105.6</v>
      </c>
      <c r="Q22" s="46">
        <f t="shared" si="13"/>
        <v>751.67</v>
      </c>
      <c r="R22" s="46">
        <f t="shared" si="13"/>
        <v>0</v>
      </c>
      <c r="S22" s="46">
        <f t="shared" si="13"/>
        <v>1089.27</v>
      </c>
      <c r="T22" s="46">
        <f t="shared" si="13"/>
        <v>479.38</v>
      </c>
      <c r="U22" s="46">
        <f t="shared" si="13"/>
        <v>6172.53</v>
      </c>
      <c r="V22" s="46">
        <f t="shared" si="13"/>
        <v>362.89</v>
      </c>
      <c r="W22" s="46">
        <f t="shared" si="13"/>
        <v>340.54</v>
      </c>
      <c r="X22" s="46">
        <f t="shared" si="13"/>
        <v>2222.73</v>
      </c>
      <c r="Y22" s="46">
        <f t="shared" si="14"/>
        <v>2084.5499999999993</v>
      </c>
      <c r="Z22" s="46">
        <f t="shared" si="15"/>
        <v>21629.489999999998</v>
      </c>
      <c r="AA22" s="258">
        <f t="shared" si="16"/>
        <v>1059.76</v>
      </c>
      <c r="AB22" s="46">
        <f t="shared" si="19"/>
        <v>13.95</v>
      </c>
      <c r="AC22" s="46">
        <f t="shared" si="19"/>
        <v>99.32</v>
      </c>
      <c r="AD22" s="46">
        <f t="shared" si="19"/>
        <v>0</v>
      </c>
      <c r="AE22" s="46">
        <f t="shared" si="19"/>
        <v>143.93</v>
      </c>
      <c r="AF22" s="46">
        <f t="shared" si="19"/>
        <v>63.34</v>
      </c>
      <c r="AG22" s="46">
        <f t="shared" si="19"/>
        <v>815.61</v>
      </c>
      <c r="AH22" s="46">
        <f t="shared" si="19"/>
        <v>47.95</v>
      </c>
      <c r="AI22" s="46">
        <f t="shared" si="19"/>
        <v>45</v>
      </c>
      <c r="AJ22" s="46">
        <f t="shared" si="19"/>
        <v>293.7</v>
      </c>
      <c r="AK22" s="46">
        <f t="shared" si="17"/>
        <v>275.45000000000073</v>
      </c>
      <c r="AL22" s="46">
        <f t="shared" si="18"/>
        <v>2858.01</v>
      </c>
    </row>
    <row r="23" spans="1:38" x14ac:dyDescent="0.2">
      <c r="A23" s="43" t="s">
        <v>177</v>
      </c>
      <c r="B23" s="44">
        <f t="shared" si="12"/>
        <v>7394.23</v>
      </c>
      <c r="C23" s="44">
        <f t="shared" si="0"/>
        <v>97.36</v>
      </c>
      <c r="D23" s="44">
        <f t="shared" si="1"/>
        <v>692.99</v>
      </c>
      <c r="E23" s="44">
        <f t="shared" si="2"/>
        <v>0</v>
      </c>
      <c r="F23" s="44">
        <f t="shared" si="3"/>
        <v>1004.23</v>
      </c>
      <c r="G23" s="44">
        <f t="shared" si="4"/>
        <v>441.96</v>
      </c>
      <c r="H23" s="44">
        <f t="shared" si="5"/>
        <v>5690.68</v>
      </c>
      <c r="I23" s="44">
        <f t="shared" si="6"/>
        <v>334.56</v>
      </c>
      <c r="J23" s="44">
        <f t="shared" si="7"/>
        <v>313.95</v>
      </c>
      <c r="K23" s="44">
        <f t="shared" si="8"/>
        <v>2049.21</v>
      </c>
      <c r="L23" s="44">
        <f t="shared" si="9"/>
        <v>1921.83</v>
      </c>
      <c r="M23" s="44">
        <f>ROUND('2026 COB breakdown_Kris'!M22,2)</f>
        <v>19941</v>
      </c>
      <c r="N23" s="45">
        <f>'OP8 part 1 analysis'!G39</f>
        <v>0.50657894736842102</v>
      </c>
      <c r="O23" s="258">
        <f t="shared" si="13"/>
        <v>3648.47</v>
      </c>
      <c r="P23" s="46">
        <f t="shared" si="13"/>
        <v>48.04</v>
      </c>
      <c r="Q23" s="46">
        <f t="shared" si="13"/>
        <v>341.94</v>
      </c>
      <c r="R23" s="46">
        <f t="shared" si="13"/>
        <v>0</v>
      </c>
      <c r="S23" s="46">
        <f t="shared" si="13"/>
        <v>495.51</v>
      </c>
      <c r="T23" s="46">
        <f t="shared" si="13"/>
        <v>218.07</v>
      </c>
      <c r="U23" s="46">
        <f t="shared" si="13"/>
        <v>2807.9</v>
      </c>
      <c r="V23" s="46">
        <f t="shared" si="13"/>
        <v>165.08</v>
      </c>
      <c r="W23" s="46">
        <f t="shared" si="13"/>
        <v>154.91</v>
      </c>
      <c r="X23" s="46">
        <f t="shared" si="13"/>
        <v>1011.12</v>
      </c>
      <c r="Y23" s="46">
        <f t="shared" si="14"/>
        <v>948.26999999999862</v>
      </c>
      <c r="Z23" s="46">
        <f t="shared" si="15"/>
        <v>9839.31</v>
      </c>
      <c r="AA23" s="258">
        <f t="shared" si="16"/>
        <v>3745.76</v>
      </c>
      <c r="AB23" s="46">
        <f t="shared" si="19"/>
        <v>49.32</v>
      </c>
      <c r="AC23" s="46">
        <f t="shared" si="19"/>
        <v>351.05</v>
      </c>
      <c r="AD23" s="46">
        <f t="shared" si="19"/>
        <v>0</v>
      </c>
      <c r="AE23" s="46">
        <f t="shared" si="19"/>
        <v>508.72</v>
      </c>
      <c r="AF23" s="46">
        <f t="shared" si="19"/>
        <v>223.89</v>
      </c>
      <c r="AG23" s="46">
        <f t="shared" si="19"/>
        <v>2882.78</v>
      </c>
      <c r="AH23" s="46">
        <f t="shared" si="19"/>
        <v>169.48</v>
      </c>
      <c r="AI23" s="46">
        <f t="shared" si="19"/>
        <v>159.04</v>
      </c>
      <c r="AJ23" s="46">
        <f t="shared" si="19"/>
        <v>1038.0899999999999</v>
      </c>
      <c r="AK23" s="46">
        <f t="shared" si="17"/>
        <v>973.56000000000131</v>
      </c>
      <c r="AL23" s="46">
        <f t="shared" si="18"/>
        <v>10101.69</v>
      </c>
    </row>
    <row r="24" spans="1:38" x14ac:dyDescent="0.2">
      <c r="A24" s="43" t="s">
        <v>178</v>
      </c>
      <c r="B24" s="44">
        <f t="shared" si="12"/>
        <v>11601.16</v>
      </c>
      <c r="C24" s="44">
        <f t="shared" si="0"/>
        <v>152.76</v>
      </c>
      <c r="D24" s="44">
        <f t="shared" si="1"/>
        <v>1087.27</v>
      </c>
      <c r="E24" s="44">
        <f t="shared" si="2"/>
        <v>0</v>
      </c>
      <c r="F24" s="44">
        <f t="shared" si="3"/>
        <v>1575.58</v>
      </c>
      <c r="G24" s="44">
        <f t="shared" si="4"/>
        <v>693.42000000000007</v>
      </c>
      <c r="H24" s="44">
        <f t="shared" si="5"/>
        <v>8928.380000000001</v>
      </c>
      <c r="I24" s="44">
        <f t="shared" si="6"/>
        <v>524.91</v>
      </c>
      <c r="J24" s="44">
        <f t="shared" si="7"/>
        <v>492.57000000000005</v>
      </c>
      <c r="K24" s="44">
        <f t="shared" si="8"/>
        <v>3215.1099999999997</v>
      </c>
      <c r="L24" s="44">
        <f t="shared" si="9"/>
        <v>3015.2400000000016</v>
      </c>
      <c r="M24" s="44">
        <f>ROUND('2026 COB breakdown_Kris'!M23,2)</f>
        <v>31286.400000000001</v>
      </c>
      <c r="N24" s="45">
        <f>'OP8 part 1 analysis'!G40</f>
        <v>0.56584898664811978</v>
      </c>
      <c r="O24" s="258">
        <f t="shared" si="13"/>
        <v>5036.6499999999996</v>
      </c>
      <c r="P24" s="46">
        <f t="shared" si="13"/>
        <v>66.319999999999993</v>
      </c>
      <c r="Q24" s="46">
        <f t="shared" si="13"/>
        <v>472.04</v>
      </c>
      <c r="R24" s="46">
        <f t="shared" si="13"/>
        <v>0</v>
      </c>
      <c r="S24" s="46">
        <f t="shared" si="13"/>
        <v>684.04</v>
      </c>
      <c r="T24" s="46">
        <f t="shared" si="13"/>
        <v>301.05</v>
      </c>
      <c r="U24" s="46">
        <f t="shared" si="13"/>
        <v>3876.26</v>
      </c>
      <c r="V24" s="46">
        <f t="shared" si="13"/>
        <v>227.89</v>
      </c>
      <c r="W24" s="46">
        <f t="shared" si="13"/>
        <v>213.85</v>
      </c>
      <c r="X24" s="46">
        <f t="shared" si="13"/>
        <v>1395.84</v>
      </c>
      <c r="Y24" s="46">
        <f t="shared" si="14"/>
        <v>1309.08</v>
      </c>
      <c r="Z24" s="46">
        <f t="shared" si="15"/>
        <v>13583.02</v>
      </c>
      <c r="AA24" s="258">
        <f t="shared" si="16"/>
        <v>6564.51</v>
      </c>
      <c r="AB24" s="46">
        <f t="shared" si="19"/>
        <v>86.44</v>
      </c>
      <c r="AC24" s="46">
        <f t="shared" si="19"/>
        <v>615.23</v>
      </c>
      <c r="AD24" s="46">
        <f t="shared" si="19"/>
        <v>0</v>
      </c>
      <c r="AE24" s="46">
        <f t="shared" si="19"/>
        <v>891.54</v>
      </c>
      <c r="AF24" s="46">
        <f t="shared" si="19"/>
        <v>392.37</v>
      </c>
      <c r="AG24" s="46">
        <f t="shared" si="19"/>
        <v>5052.12</v>
      </c>
      <c r="AH24" s="46">
        <f t="shared" si="19"/>
        <v>297.02</v>
      </c>
      <c r="AI24" s="46">
        <f t="shared" si="19"/>
        <v>278.72000000000003</v>
      </c>
      <c r="AJ24" s="46">
        <f t="shared" si="19"/>
        <v>1819.27</v>
      </c>
      <c r="AK24" s="46">
        <f t="shared" si="17"/>
        <v>1706.1600000000017</v>
      </c>
      <c r="AL24" s="46">
        <f t="shared" si="18"/>
        <v>17703.38</v>
      </c>
    </row>
    <row r="25" spans="1:38" x14ac:dyDescent="0.2">
      <c r="A25" s="43" t="s">
        <v>179</v>
      </c>
      <c r="B25" s="44">
        <f t="shared" si="12"/>
        <v>17975.53</v>
      </c>
      <c r="C25" s="44">
        <f t="shared" si="0"/>
        <v>236.68</v>
      </c>
      <c r="D25" s="44">
        <f t="shared" si="1"/>
        <v>1684.6699999999998</v>
      </c>
      <c r="E25" s="44">
        <f t="shared" si="2"/>
        <v>0</v>
      </c>
      <c r="F25" s="44">
        <f t="shared" si="3"/>
        <v>2441.3000000000002</v>
      </c>
      <c r="G25" s="44">
        <f t="shared" si="4"/>
        <v>1074.42</v>
      </c>
      <c r="H25" s="44">
        <f t="shared" si="5"/>
        <v>13834.17</v>
      </c>
      <c r="I25" s="44">
        <f t="shared" si="6"/>
        <v>813.32999999999993</v>
      </c>
      <c r="J25" s="44">
        <f t="shared" si="7"/>
        <v>763.21999999999991</v>
      </c>
      <c r="K25" s="44">
        <f t="shared" si="8"/>
        <v>4981.6899999999996</v>
      </c>
      <c r="L25" s="44">
        <f t="shared" si="9"/>
        <v>4671.989999999998</v>
      </c>
      <c r="M25" s="44">
        <f>ROUND('2026 COB breakdown_Kris'!M24,2)</f>
        <v>48477</v>
      </c>
      <c r="N25" s="45">
        <f>'OP8 part 1 analysis'!G41</f>
        <v>0.74576271186440679</v>
      </c>
      <c r="O25" s="258">
        <f t="shared" si="13"/>
        <v>4570.05</v>
      </c>
      <c r="P25" s="46">
        <f t="shared" si="13"/>
        <v>60.17</v>
      </c>
      <c r="Q25" s="46">
        <f t="shared" si="13"/>
        <v>428.31</v>
      </c>
      <c r="R25" s="46">
        <f t="shared" si="13"/>
        <v>0</v>
      </c>
      <c r="S25" s="46">
        <f t="shared" si="13"/>
        <v>620.66999999999996</v>
      </c>
      <c r="T25" s="46">
        <f t="shared" si="13"/>
        <v>273.16000000000003</v>
      </c>
      <c r="U25" s="46">
        <f t="shared" si="13"/>
        <v>3517.16</v>
      </c>
      <c r="V25" s="46">
        <f t="shared" si="13"/>
        <v>206.78</v>
      </c>
      <c r="W25" s="46">
        <f t="shared" si="13"/>
        <v>194.04</v>
      </c>
      <c r="X25" s="46">
        <f t="shared" si="13"/>
        <v>1266.53</v>
      </c>
      <c r="Y25" s="46">
        <f t="shared" si="14"/>
        <v>1187.7900000000009</v>
      </c>
      <c r="Z25" s="46">
        <f t="shared" si="15"/>
        <v>12324.660000000003</v>
      </c>
      <c r="AA25" s="258">
        <f t="shared" si="16"/>
        <v>13405.48</v>
      </c>
      <c r="AB25" s="46">
        <f t="shared" si="19"/>
        <v>176.51</v>
      </c>
      <c r="AC25" s="46">
        <f t="shared" si="19"/>
        <v>1256.3599999999999</v>
      </c>
      <c r="AD25" s="46">
        <f t="shared" si="19"/>
        <v>0</v>
      </c>
      <c r="AE25" s="46">
        <f t="shared" si="19"/>
        <v>1820.63</v>
      </c>
      <c r="AF25" s="46">
        <f t="shared" si="19"/>
        <v>801.26</v>
      </c>
      <c r="AG25" s="46">
        <f t="shared" si="19"/>
        <v>10317.01</v>
      </c>
      <c r="AH25" s="46">
        <f t="shared" si="19"/>
        <v>606.54999999999995</v>
      </c>
      <c r="AI25" s="46">
        <f t="shared" si="19"/>
        <v>569.17999999999995</v>
      </c>
      <c r="AJ25" s="46">
        <f t="shared" si="19"/>
        <v>3715.16</v>
      </c>
      <c r="AK25" s="46">
        <f t="shared" si="17"/>
        <v>3484.1999999999971</v>
      </c>
      <c r="AL25" s="46">
        <f t="shared" si="18"/>
        <v>36152.339999999997</v>
      </c>
    </row>
    <row r="26" spans="1:38" x14ac:dyDescent="0.2">
      <c r="A26" s="43" t="s">
        <v>180</v>
      </c>
      <c r="B26" s="44">
        <f t="shared" si="12"/>
        <v>9911.25</v>
      </c>
      <c r="C26" s="44">
        <f t="shared" si="0"/>
        <v>130.5</v>
      </c>
      <c r="D26" s="44">
        <f t="shared" si="1"/>
        <v>928.8900000000001</v>
      </c>
      <c r="E26" s="44">
        <f t="shared" si="2"/>
        <v>0</v>
      </c>
      <c r="F26" s="44">
        <f t="shared" si="3"/>
        <v>1346.0700000000002</v>
      </c>
      <c r="G26" s="44">
        <f t="shared" si="4"/>
        <v>592.41000000000008</v>
      </c>
      <c r="H26" s="44">
        <f t="shared" si="5"/>
        <v>7627.8099999999995</v>
      </c>
      <c r="I26" s="44">
        <f t="shared" si="6"/>
        <v>448.45</v>
      </c>
      <c r="J26" s="44">
        <f t="shared" si="7"/>
        <v>420.82</v>
      </c>
      <c r="K26" s="44">
        <f t="shared" si="8"/>
        <v>2746.7799999999997</v>
      </c>
      <c r="L26" s="44">
        <f t="shared" si="9"/>
        <v>2576.0199999999986</v>
      </c>
      <c r="M26" s="44">
        <f>ROUND('2026 COB breakdown_Kris'!M25,2)</f>
        <v>26729</v>
      </c>
      <c r="N26" s="45">
        <f>'OP8 part 1 analysis'!G42</f>
        <v>0.54228169766375689</v>
      </c>
      <c r="O26" s="258">
        <f t="shared" si="13"/>
        <v>4536.5600000000004</v>
      </c>
      <c r="P26" s="46">
        <f t="shared" si="13"/>
        <v>59.73</v>
      </c>
      <c r="Q26" s="46">
        <f t="shared" si="13"/>
        <v>425.17</v>
      </c>
      <c r="R26" s="46">
        <f t="shared" si="13"/>
        <v>0</v>
      </c>
      <c r="S26" s="46">
        <f t="shared" si="13"/>
        <v>616.12</v>
      </c>
      <c r="T26" s="46">
        <f t="shared" si="13"/>
        <v>271.16000000000003</v>
      </c>
      <c r="U26" s="46">
        <f t="shared" si="13"/>
        <v>3491.39</v>
      </c>
      <c r="V26" s="46">
        <f t="shared" si="13"/>
        <v>205.26</v>
      </c>
      <c r="W26" s="46">
        <f t="shared" si="13"/>
        <v>192.62</v>
      </c>
      <c r="X26" s="46">
        <f t="shared" si="13"/>
        <v>1257.25</v>
      </c>
      <c r="Y26" s="46">
        <f t="shared" si="14"/>
        <v>1179.0900000000001</v>
      </c>
      <c r="Z26" s="46">
        <f t="shared" si="15"/>
        <v>12234.35</v>
      </c>
      <c r="AA26" s="258">
        <f t="shared" si="16"/>
        <v>5374.69</v>
      </c>
      <c r="AB26" s="46">
        <f t="shared" si="19"/>
        <v>70.77</v>
      </c>
      <c r="AC26" s="46">
        <f t="shared" si="19"/>
        <v>503.72</v>
      </c>
      <c r="AD26" s="46">
        <f t="shared" si="19"/>
        <v>0</v>
      </c>
      <c r="AE26" s="46">
        <f t="shared" si="19"/>
        <v>729.95</v>
      </c>
      <c r="AF26" s="46">
        <f t="shared" si="19"/>
        <v>321.25</v>
      </c>
      <c r="AG26" s="46">
        <f t="shared" si="19"/>
        <v>4136.42</v>
      </c>
      <c r="AH26" s="46">
        <f t="shared" si="19"/>
        <v>243.19</v>
      </c>
      <c r="AI26" s="46">
        <f t="shared" si="19"/>
        <v>228.2</v>
      </c>
      <c r="AJ26" s="46">
        <f t="shared" si="19"/>
        <v>1489.53</v>
      </c>
      <c r="AK26" s="46">
        <f t="shared" si="17"/>
        <v>1396.9299999999985</v>
      </c>
      <c r="AL26" s="46">
        <f t="shared" si="18"/>
        <v>14494.65</v>
      </c>
    </row>
    <row r="27" spans="1:38" x14ac:dyDescent="0.2">
      <c r="A27" s="43" t="s">
        <v>181</v>
      </c>
      <c r="B27" s="44">
        <f t="shared" si="12"/>
        <v>4394.42</v>
      </c>
      <c r="C27" s="44">
        <f t="shared" si="0"/>
        <v>57.86</v>
      </c>
      <c r="D27" s="44">
        <f t="shared" si="1"/>
        <v>411.85</v>
      </c>
      <c r="E27" s="44">
        <f t="shared" si="2"/>
        <v>0</v>
      </c>
      <c r="F27" s="44">
        <f t="shared" si="3"/>
        <v>596.80999999999995</v>
      </c>
      <c r="G27" s="44">
        <f t="shared" si="4"/>
        <v>262.66000000000003</v>
      </c>
      <c r="H27" s="44">
        <f t="shared" si="5"/>
        <v>3381.99</v>
      </c>
      <c r="I27" s="44">
        <f t="shared" si="6"/>
        <v>198.83</v>
      </c>
      <c r="J27" s="44">
        <f t="shared" si="7"/>
        <v>186.59</v>
      </c>
      <c r="K27" s="44">
        <f t="shared" si="8"/>
        <v>1217.8600000000001</v>
      </c>
      <c r="L27" s="44">
        <f t="shared" si="9"/>
        <v>1142.1300000000001</v>
      </c>
      <c r="M27" s="44">
        <f>ROUND('2026 COB breakdown_Kris'!M26,2)</f>
        <v>11851</v>
      </c>
      <c r="N27" s="45">
        <f>'OP8 part 1 analysis'!G43</f>
        <v>0.41765665036105282</v>
      </c>
      <c r="O27" s="258">
        <f t="shared" si="13"/>
        <v>2559.06</v>
      </c>
      <c r="P27" s="46">
        <f t="shared" si="13"/>
        <v>33.69</v>
      </c>
      <c r="Q27" s="46">
        <f t="shared" si="13"/>
        <v>239.84</v>
      </c>
      <c r="R27" s="46">
        <f t="shared" si="13"/>
        <v>0</v>
      </c>
      <c r="S27" s="46">
        <f t="shared" si="13"/>
        <v>347.55</v>
      </c>
      <c r="T27" s="46">
        <f t="shared" si="13"/>
        <v>152.96</v>
      </c>
      <c r="U27" s="46">
        <f t="shared" si="13"/>
        <v>1969.48</v>
      </c>
      <c r="V27" s="46">
        <f t="shared" si="13"/>
        <v>115.79</v>
      </c>
      <c r="W27" s="46">
        <f t="shared" si="13"/>
        <v>108.66</v>
      </c>
      <c r="X27" s="46">
        <f t="shared" si="13"/>
        <v>709.21</v>
      </c>
      <c r="Y27" s="46">
        <f t="shared" si="14"/>
        <v>665.11000000000058</v>
      </c>
      <c r="Z27" s="46">
        <f t="shared" si="15"/>
        <v>6901.35</v>
      </c>
      <c r="AA27" s="258">
        <f t="shared" si="16"/>
        <v>1835.36</v>
      </c>
      <c r="AB27" s="46">
        <f t="shared" si="19"/>
        <v>24.17</v>
      </c>
      <c r="AC27" s="46">
        <f t="shared" si="19"/>
        <v>172.01</v>
      </c>
      <c r="AD27" s="46">
        <f t="shared" si="19"/>
        <v>0</v>
      </c>
      <c r="AE27" s="46">
        <f t="shared" si="19"/>
        <v>249.26</v>
      </c>
      <c r="AF27" s="46">
        <f t="shared" si="19"/>
        <v>109.7</v>
      </c>
      <c r="AG27" s="46">
        <f t="shared" si="19"/>
        <v>1412.51</v>
      </c>
      <c r="AH27" s="46">
        <f t="shared" si="19"/>
        <v>83.04</v>
      </c>
      <c r="AI27" s="46">
        <f t="shared" si="19"/>
        <v>77.930000000000007</v>
      </c>
      <c r="AJ27" s="46">
        <f t="shared" si="19"/>
        <v>508.65</v>
      </c>
      <c r="AK27" s="46">
        <f t="shared" si="17"/>
        <v>477.01999999999953</v>
      </c>
      <c r="AL27" s="46">
        <f t="shared" si="18"/>
        <v>4949.6499999999996</v>
      </c>
    </row>
    <row r="28" spans="1:38" x14ac:dyDescent="0.2">
      <c r="A28" s="43" t="s">
        <v>182</v>
      </c>
      <c r="B28" s="44">
        <f t="shared" si="12"/>
        <v>8585.630000000001</v>
      </c>
      <c r="C28" s="44">
        <f t="shared" si="0"/>
        <v>113.05000000000001</v>
      </c>
      <c r="D28" s="44">
        <f t="shared" si="1"/>
        <v>804.64</v>
      </c>
      <c r="E28" s="44">
        <f t="shared" si="2"/>
        <v>0</v>
      </c>
      <c r="F28" s="44">
        <f t="shared" si="3"/>
        <v>1166.04</v>
      </c>
      <c r="G28" s="44">
        <f t="shared" si="4"/>
        <v>513.16999999999996</v>
      </c>
      <c r="H28" s="44">
        <f t="shared" si="5"/>
        <v>6607.59</v>
      </c>
      <c r="I28" s="44">
        <f t="shared" si="6"/>
        <v>388.47</v>
      </c>
      <c r="J28" s="44">
        <f t="shared" si="7"/>
        <v>364.54</v>
      </c>
      <c r="K28" s="44">
        <f t="shared" si="8"/>
        <v>2379.4</v>
      </c>
      <c r="L28" s="44">
        <f t="shared" si="9"/>
        <v>2231.4699999999957</v>
      </c>
      <c r="M28" s="44">
        <f>ROUND('2026 COB breakdown_Kris'!M27,2)</f>
        <v>23154</v>
      </c>
      <c r="N28" s="45">
        <f>'OP8 part 1 analysis'!G44</f>
        <v>0.44033680680210163</v>
      </c>
      <c r="O28" s="258">
        <f t="shared" si="13"/>
        <v>4805.0600000000004</v>
      </c>
      <c r="P28" s="46">
        <f t="shared" si="13"/>
        <v>63.27</v>
      </c>
      <c r="Q28" s="46">
        <f t="shared" si="13"/>
        <v>450.33</v>
      </c>
      <c r="R28" s="46">
        <f t="shared" si="13"/>
        <v>0</v>
      </c>
      <c r="S28" s="46">
        <f t="shared" si="13"/>
        <v>652.59</v>
      </c>
      <c r="T28" s="46">
        <f t="shared" si="13"/>
        <v>287.2</v>
      </c>
      <c r="U28" s="46">
        <f t="shared" si="13"/>
        <v>3698.02</v>
      </c>
      <c r="V28" s="46">
        <f t="shared" si="13"/>
        <v>217.41</v>
      </c>
      <c r="W28" s="46">
        <f t="shared" si="13"/>
        <v>204.02</v>
      </c>
      <c r="X28" s="46">
        <f t="shared" si="13"/>
        <v>1331.66</v>
      </c>
      <c r="Y28" s="46">
        <f t="shared" si="14"/>
        <v>1248.8799999999992</v>
      </c>
      <c r="Z28" s="46">
        <f t="shared" si="15"/>
        <v>12958.44</v>
      </c>
      <c r="AA28" s="258">
        <f t="shared" si="16"/>
        <v>3780.57</v>
      </c>
      <c r="AB28" s="46">
        <f t="shared" si="19"/>
        <v>49.78</v>
      </c>
      <c r="AC28" s="46">
        <f t="shared" si="19"/>
        <v>354.31</v>
      </c>
      <c r="AD28" s="46">
        <f t="shared" si="19"/>
        <v>0</v>
      </c>
      <c r="AE28" s="46">
        <f t="shared" si="19"/>
        <v>513.45000000000005</v>
      </c>
      <c r="AF28" s="46">
        <f t="shared" si="19"/>
        <v>225.97</v>
      </c>
      <c r="AG28" s="46">
        <f t="shared" si="19"/>
        <v>2909.57</v>
      </c>
      <c r="AH28" s="46">
        <f t="shared" si="19"/>
        <v>171.06</v>
      </c>
      <c r="AI28" s="46">
        <f t="shared" si="19"/>
        <v>160.52000000000001</v>
      </c>
      <c r="AJ28" s="46">
        <f t="shared" si="19"/>
        <v>1047.74</v>
      </c>
      <c r="AK28" s="46">
        <f t="shared" si="17"/>
        <v>982.58999999999651</v>
      </c>
      <c r="AL28" s="46">
        <f t="shared" si="18"/>
        <v>10195.56</v>
      </c>
    </row>
    <row r="29" spans="1:38" x14ac:dyDescent="0.2">
      <c r="A29" s="43" t="s">
        <v>183</v>
      </c>
      <c r="B29" s="44">
        <f t="shared" si="12"/>
        <v>10928.3</v>
      </c>
      <c r="C29" s="44">
        <f t="shared" si="0"/>
        <v>143.9</v>
      </c>
      <c r="D29" s="44">
        <f t="shared" si="1"/>
        <v>1024.21</v>
      </c>
      <c r="E29" s="44">
        <f t="shared" si="2"/>
        <v>0</v>
      </c>
      <c r="F29" s="44">
        <f t="shared" si="3"/>
        <v>1484.2</v>
      </c>
      <c r="G29" s="44">
        <f t="shared" si="4"/>
        <v>653.20000000000005</v>
      </c>
      <c r="H29" s="44">
        <f t="shared" si="5"/>
        <v>8410.5400000000009</v>
      </c>
      <c r="I29" s="44">
        <f t="shared" si="6"/>
        <v>494.46000000000004</v>
      </c>
      <c r="J29" s="44">
        <f t="shared" si="7"/>
        <v>464</v>
      </c>
      <c r="K29" s="44">
        <f t="shared" si="8"/>
        <v>3028.6400000000003</v>
      </c>
      <c r="L29" s="44">
        <f t="shared" si="9"/>
        <v>2840.3600000000024</v>
      </c>
      <c r="M29" s="44">
        <f>ROUND('2026 COB breakdown_Kris'!M28,2)</f>
        <v>29471.81</v>
      </c>
      <c r="N29" s="45">
        <f>'OP8 part 1 analysis'!G45</f>
        <v>0.64142257703856642</v>
      </c>
      <c r="O29" s="258">
        <f t="shared" si="13"/>
        <v>3918.64</v>
      </c>
      <c r="P29" s="46">
        <f t="shared" si="13"/>
        <v>51.6</v>
      </c>
      <c r="Q29" s="46">
        <f t="shared" si="13"/>
        <v>367.26</v>
      </c>
      <c r="R29" s="46">
        <f t="shared" si="13"/>
        <v>0</v>
      </c>
      <c r="S29" s="46">
        <f t="shared" si="13"/>
        <v>532.20000000000005</v>
      </c>
      <c r="T29" s="46">
        <f t="shared" si="13"/>
        <v>234.22</v>
      </c>
      <c r="U29" s="46">
        <f t="shared" si="13"/>
        <v>3015.83</v>
      </c>
      <c r="V29" s="46">
        <f t="shared" si="13"/>
        <v>177.3</v>
      </c>
      <c r="W29" s="46">
        <f t="shared" si="13"/>
        <v>166.38</v>
      </c>
      <c r="X29" s="46">
        <f t="shared" si="13"/>
        <v>1086</v>
      </c>
      <c r="Y29" s="46">
        <f t="shared" si="14"/>
        <v>1018.5000000000018</v>
      </c>
      <c r="Z29" s="46">
        <f t="shared" si="15"/>
        <v>10567.93</v>
      </c>
      <c r="AA29" s="258">
        <f t="shared" si="16"/>
        <v>7009.66</v>
      </c>
      <c r="AB29" s="46">
        <f t="shared" si="19"/>
        <v>92.3</v>
      </c>
      <c r="AC29" s="46">
        <f t="shared" si="19"/>
        <v>656.95</v>
      </c>
      <c r="AD29" s="46">
        <f t="shared" si="19"/>
        <v>0</v>
      </c>
      <c r="AE29" s="46">
        <f t="shared" si="19"/>
        <v>952</v>
      </c>
      <c r="AF29" s="46">
        <f t="shared" si="19"/>
        <v>418.98</v>
      </c>
      <c r="AG29" s="46">
        <f t="shared" si="19"/>
        <v>5394.71</v>
      </c>
      <c r="AH29" s="46">
        <f t="shared" si="19"/>
        <v>317.16000000000003</v>
      </c>
      <c r="AI29" s="46">
        <f t="shared" si="19"/>
        <v>297.62</v>
      </c>
      <c r="AJ29" s="46">
        <f t="shared" si="19"/>
        <v>1942.64</v>
      </c>
      <c r="AK29" s="46">
        <f t="shared" si="17"/>
        <v>1821.8600000000006</v>
      </c>
      <c r="AL29" s="46">
        <f t="shared" si="18"/>
        <v>18903.88</v>
      </c>
    </row>
    <row r="30" spans="1:38" x14ac:dyDescent="0.2">
      <c r="A30" s="43" t="s">
        <v>184</v>
      </c>
      <c r="B30" s="44">
        <f t="shared" si="12"/>
        <v>12258.82</v>
      </c>
      <c r="C30" s="44">
        <f t="shared" si="0"/>
        <v>161.41</v>
      </c>
      <c r="D30" s="44">
        <f t="shared" si="1"/>
        <v>1148.9000000000001</v>
      </c>
      <c r="E30" s="44">
        <f t="shared" si="2"/>
        <v>0</v>
      </c>
      <c r="F30" s="44">
        <f t="shared" si="3"/>
        <v>1664.9</v>
      </c>
      <c r="G30" s="44">
        <f t="shared" si="4"/>
        <v>732.72</v>
      </c>
      <c r="H30" s="44">
        <f t="shared" si="5"/>
        <v>9434.5300000000007</v>
      </c>
      <c r="I30" s="44">
        <f t="shared" si="6"/>
        <v>554.66999999999996</v>
      </c>
      <c r="J30" s="44">
        <f t="shared" si="7"/>
        <v>520.5</v>
      </c>
      <c r="K30" s="44">
        <f t="shared" si="8"/>
        <v>3397.37</v>
      </c>
      <c r="L30" s="44">
        <f t="shared" si="9"/>
        <v>3186.1800000000003</v>
      </c>
      <c r="M30" s="44">
        <f>ROUND('2026 COB breakdown_Kris'!M29,2)</f>
        <v>33060</v>
      </c>
      <c r="N30" s="45">
        <f>'OP8 part 1 analysis'!G46</f>
        <v>0.653469875443212</v>
      </c>
      <c r="O30" s="258">
        <f t="shared" si="13"/>
        <v>4248.05</v>
      </c>
      <c r="P30" s="46">
        <f t="shared" si="13"/>
        <v>55.93</v>
      </c>
      <c r="Q30" s="46">
        <f t="shared" si="13"/>
        <v>398.13</v>
      </c>
      <c r="R30" s="46">
        <f t="shared" si="13"/>
        <v>0</v>
      </c>
      <c r="S30" s="46">
        <f t="shared" si="13"/>
        <v>576.94000000000005</v>
      </c>
      <c r="T30" s="46">
        <f t="shared" si="13"/>
        <v>253.91</v>
      </c>
      <c r="U30" s="46">
        <f t="shared" si="13"/>
        <v>3269.35</v>
      </c>
      <c r="V30" s="46">
        <f t="shared" si="13"/>
        <v>192.21</v>
      </c>
      <c r="W30" s="46">
        <f t="shared" si="13"/>
        <v>180.37</v>
      </c>
      <c r="X30" s="46">
        <f t="shared" si="13"/>
        <v>1177.29</v>
      </c>
      <c r="Y30" s="46">
        <f t="shared" si="14"/>
        <v>1104.1100000000006</v>
      </c>
      <c r="Z30" s="46">
        <f t="shared" si="15"/>
        <v>11456.29</v>
      </c>
      <c r="AA30" s="258">
        <f t="shared" si="16"/>
        <v>8010.77</v>
      </c>
      <c r="AB30" s="46">
        <f t="shared" si="19"/>
        <v>105.48</v>
      </c>
      <c r="AC30" s="46">
        <f t="shared" si="19"/>
        <v>750.77</v>
      </c>
      <c r="AD30" s="46">
        <f t="shared" si="19"/>
        <v>0</v>
      </c>
      <c r="AE30" s="46">
        <f t="shared" si="19"/>
        <v>1087.96</v>
      </c>
      <c r="AF30" s="46">
        <f t="shared" si="19"/>
        <v>478.81</v>
      </c>
      <c r="AG30" s="46">
        <f t="shared" si="19"/>
        <v>6165.18</v>
      </c>
      <c r="AH30" s="46">
        <f t="shared" si="19"/>
        <v>362.46</v>
      </c>
      <c r="AI30" s="46">
        <f t="shared" si="19"/>
        <v>340.13</v>
      </c>
      <c r="AJ30" s="46">
        <f t="shared" si="19"/>
        <v>2220.08</v>
      </c>
      <c r="AK30" s="46">
        <f t="shared" si="17"/>
        <v>2082.0699999999997</v>
      </c>
      <c r="AL30" s="46">
        <f t="shared" si="18"/>
        <v>21603.71</v>
      </c>
    </row>
    <row r="31" spans="1:38" x14ac:dyDescent="0.2">
      <c r="A31" s="43" t="s">
        <v>185</v>
      </c>
      <c r="B31" s="44">
        <f t="shared" si="12"/>
        <v>14627.89</v>
      </c>
      <c r="C31" s="44">
        <f t="shared" si="0"/>
        <v>192.61</v>
      </c>
      <c r="D31" s="44">
        <f t="shared" si="1"/>
        <v>1370.93</v>
      </c>
      <c r="E31" s="44">
        <f t="shared" si="2"/>
        <v>0</v>
      </c>
      <c r="F31" s="44">
        <f t="shared" si="3"/>
        <v>1986.65</v>
      </c>
      <c r="G31" s="44">
        <f t="shared" si="4"/>
        <v>874.33</v>
      </c>
      <c r="H31" s="44">
        <f t="shared" si="5"/>
        <v>11257.779999999999</v>
      </c>
      <c r="I31" s="44">
        <f t="shared" si="6"/>
        <v>661.84999999999991</v>
      </c>
      <c r="J31" s="44">
        <f t="shared" si="7"/>
        <v>621.08999999999992</v>
      </c>
      <c r="K31" s="44">
        <f t="shared" si="8"/>
        <v>4053.9300000000003</v>
      </c>
      <c r="L31" s="44">
        <f t="shared" si="9"/>
        <v>3801.9300000000021</v>
      </c>
      <c r="M31" s="44">
        <f>ROUND('2026 COB breakdown_Kris'!M30,2)</f>
        <v>39448.99</v>
      </c>
      <c r="N31" s="45">
        <f>'OP8 part 1 analysis'!G47</f>
        <v>0.26829268292682923</v>
      </c>
      <c r="O31" s="258">
        <f t="shared" si="13"/>
        <v>10703.33</v>
      </c>
      <c r="P31" s="46">
        <f t="shared" si="13"/>
        <v>140.93</v>
      </c>
      <c r="Q31" s="46">
        <f t="shared" si="13"/>
        <v>1003.12</v>
      </c>
      <c r="R31" s="46">
        <f t="shared" si="13"/>
        <v>0</v>
      </c>
      <c r="S31" s="46">
        <f t="shared" si="13"/>
        <v>1453.65</v>
      </c>
      <c r="T31" s="46">
        <f t="shared" si="13"/>
        <v>639.75</v>
      </c>
      <c r="U31" s="46">
        <f t="shared" si="13"/>
        <v>8237.4</v>
      </c>
      <c r="V31" s="46">
        <f t="shared" si="13"/>
        <v>484.28</v>
      </c>
      <c r="W31" s="46">
        <f t="shared" si="13"/>
        <v>454.46</v>
      </c>
      <c r="X31" s="46">
        <f t="shared" si="13"/>
        <v>2966.29</v>
      </c>
      <c r="Y31" s="46">
        <f t="shared" si="14"/>
        <v>2781.9000000000015</v>
      </c>
      <c r="Z31" s="46">
        <f t="shared" si="15"/>
        <v>28865.11</v>
      </c>
      <c r="AA31" s="258">
        <f t="shared" si="16"/>
        <v>3924.56</v>
      </c>
      <c r="AB31" s="46">
        <f t="shared" si="19"/>
        <v>51.68</v>
      </c>
      <c r="AC31" s="46">
        <f t="shared" si="19"/>
        <v>367.81</v>
      </c>
      <c r="AD31" s="46">
        <f t="shared" si="19"/>
        <v>0</v>
      </c>
      <c r="AE31" s="46">
        <f t="shared" si="19"/>
        <v>533</v>
      </c>
      <c r="AF31" s="46">
        <f t="shared" si="19"/>
        <v>234.58</v>
      </c>
      <c r="AG31" s="46">
        <f t="shared" si="19"/>
        <v>3020.38</v>
      </c>
      <c r="AH31" s="46">
        <f t="shared" si="19"/>
        <v>177.57</v>
      </c>
      <c r="AI31" s="46">
        <f t="shared" si="19"/>
        <v>166.63</v>
      </c>
      <c r="AJ31" s="46">
        <f t="shared" si="19"/>
        <v>1087.6400000000001</v>
      </c>
      <c r="AK31" s="46">
        <f t="shared" si="17"/>
        <v>1020.0300000000007</v>
      </c>
      <c r="AL31" s="46">
        <f t="shared" si="18"/>
        <v>10583.88</v>
      </c>
    </row>
    <row r="32" spans="1:38" x14ac:dyDescent="0.2">
      <c r="A32" s="43" t="s">
        <v>186</v>
      </c>
      <c r="B32" s="44">
        <f t="shared" si="12"/>
        <v>12802.42</v>
      </c>
      <c r="C32" s="44">
        <f t="shared" si="0"/>
        <v>168.57</v>
      </c>
      <c r="D32" s="44">
        <f t="shared" si="1"/>
        <v>1199.8499999999999</v>
      </c>
      <c r="E32" s="44">
        <f t="shared" si="2"/>
        <v>0</v>
      </c>
      <c r="F32" s="44">
        <f t="shared" si="3"/>
        <v>1738.73</v>
      </c>
      <c r="G32" s="44">
        <f t="shared" si="4"/>
        <v>765.21</v>
      </c>
      <c r="H32" s="44">
        <f t="shared" si="5"/>
        <v>9852.89</v>
      </c>
      <c r="I32" s="44">
        <f t="shared" si="6"/>
        <v>579.26</v>
      </c>
      <c r="J32" s="44">
        <f t="shared" si="7"/>
        <v>543.58000000000004</v>
      </c>
      <c r="K32" s="44">
        <f t="shared" si="8"/>
        <v>3548.03</v>
      </c>
      <c r="L32" s="44">
        <f t="shared" si="9"/>
        <v>3327.4600000000009</v>
      </c>
      <c r="M32" s="44">
        <f>ROUND('2026 COB breakdown_Kris'!M31,2)</f>
        <v>34526</v>
      </c>
      <c r="N32" s="45">
        <f>'OP8 part 1 analysis'!G48</f>
        <v>0.22680412371134018</v>
      </c>
      <c r="O32" s="258">
        <f t="shared" si="13"/>
        <v>9898.7800000000007</v>
      </c>
      <c r="P32" s="46">
        <f t="shared" si="13"/>
        <v>130.34</v>
      </c>
      <c r="Q32" s="46">
        <f t="shared" si="13"/>
        <v>927.72</v>
      </c>
      <c r="R32" s="46">
        <f t="shared" si="13"/>
        <v>0</v>
      </c>
      <c r="S32" s="46">
        <f t="shared" si="13"/>
        <v>1344.38</v>
      </c>
      <c r="T32" s="46">
        <f t="shared" si="13"/>
        <v>591.66</v>
      </c>
      <c r="U32" s="46">
        <f t="shared" si="13"/>
        <v>7618.21</v>
      </c>
      <c r="V32" s="46">
        <f t="shared" si="13"/>
        <v>447.88</v>
      </c>
      <c r="W32" s="46">
        <f t="shared" si="13"/>
        <v>420.3</v>
      </c>
      <c r="X32" s="46">
        <f t="shared" si="13"/>
        <v>2743.32</v>
      </c>
      <c r="Y32" s="46">
        <f t="shared" si="14"/>
        <v>2572.7700000000004</v>
      </c>
      <c r="Z32" s="46">
        <f t="shared" si="15"/>
        <v>26695.360000000001</v>
      </c>
      <c r="AA32" s="258">
        <f t="shared" si="16"/>
        <v>2903.64</v>
      </c>
      <c r="AB32" s="46">
        <f t="shared" si="19"/>
        <v>38.229999999999997</v>
      </c>
      <c r="AC32" s="46">
        <f t="shared" si="19"/>
        <v>272.13</v>
      </c>
      <c r="AD32" s="46">
        <f t="shared" si="19"/>
        <v>0</v>
      </c>
      <c r="AE32" s="46">
        <f t="shared" si="19"/>
        <v>394.35</v>
      </c>
      <c r="AF32" s="46">
        <f t="shared" si="19"/>
        <v>173.55</v>
      </c>
      <c r="AG32" s="46">
        <f t="shared" si="19"/>
        <v>2234.6799999999998</v>
      </c>
      <c r="AH32" s="46">
        <f t="shared" si="19"/>
        <v>131.38</v>
      </c>
      <c r="AI32" s="46">
        <f t="shared" si="19"/>
        <v>123.28</v>
      </c>
      <c r="AJ32" s="46">
        <f t="shared" si="19"/>
        <v>804.71</v>
      </c>
      <c r="AK32" s="46">
        <f t="shared" si="17"/>
        <v>754.69000000000051</v>
      </c>
      <c r="AL32" s="46">
        <f t="shared" si="18"/>
        <v>7830.64</v>
      </c>
    </row>
    <row r="33" spans="1:38" x14ac:dyDescent="0.2">
      <c r="A33" s="43" t="s">
        <v>187</v>
      </c>
      <c r="B33" s="44">
        <f t="shared" si="12"/>
        <v>7073.58</v>
      </c>
      <c r="C33" s="44">
        <f t="shared" si="0"/>
        <v>93.14</v>
      </c>
      <c r="D33" s="44">
        <f t="shared" si="1"/>
        <v>662.94</v>
      </c>
      <c r="E33" s="44">
        <f t="shared" si="2"/>
        <v>0</v>
      </c>
      <c r="F33" s="44">
        <f t="shared" si="3"/>
        <v>960.68</v>
      </c>
      <c r="G33" s="44">
        <f t="shared" si="4"/>
        <v>422.8</v>
      </c>
      <c r="H33" s="44">
        <f t="shared" si="5"/>
        <v>5443.9</v>
      </c>
      <c r="I33" s="44">
        <f t="shared" si="6"/>
        <v>320.05</v>
      </c>
      <c r="J33" s="44">
        <f t="shared" si="7"/>
        <v>300.33999999999997</v>
      </c>
      <c r="K33" s="44">
        <f t="shared" si="8"/>
        <v>1960.35</v>
      </c>
      <c r="L33" s="44">
        <f t="shared" si="9"/>
        <v>1838.4799999999996</v>
      </c>
      <c r="M33" s="44">
        <f>ROUND('2026 COB breakdown_Kris'!M32,2)</f>
        <v>19076.259999999998</v>
      </c>
      <c r="N33" s="45">
        <f>'OP8 part 1 analysis'!G49</f>
        <v>0</v>
      </c>
      <c r="O33" s="258">
        <f t="shared" si="13"/>
        <v>7073.58</v>
      </c>
      <c r="P33" s="46">
        <f t="shared" si="13"/>
        <v>93.14</v>
      </c>
      <c r="Q33" s="46">
        <f t="shared" si="13"/>
        <v>662.94</v>
      </c>
      <c r="R33" s="46">
        <f t="shared" si="13"/>
        <v>0</v>
      </c>
      <c r="S33" s="46">
        <f t="shared" si="13"/>
        <v>960.68</v>
      </c>
      <c r="T33" s="46">
        <f t="shared" si="13"/>
        <v>422.8</v>
      </c>
      <c r="U33" s="46">
        <f t="shared" si="13"/>
        <v>5443.9</v>
      </c>
      <c r="V33" s="46">
        <f t="shared" si="13"/>
        <v>320.05</v>
      </c>
      <c r="W33" s="46">
        <f t="shared" si="13"/>
        <v>300.33999999999997</v>
      </c>
      <c r="X33" s="46">
        <f t="shared" si="13"/>
        <v>1960.35</v>
      </c>
      <c r="Y33" s="46">
        <f t="shared" si="14"/>
        <v>1838.4799999999996</v>
      </c>
      <c r="Z33" s="46">
        <f t="shared" si="15"/>
        <v>19076.259999999998</v>
      </c>
      <c r="AA33" s="258">
        <f t="shared" si="16"/>
        <v>0</v>
      </c>
      <c r="AB33" s="46">
        <f t="shared" si="19"/>
        <v>0</v>
      </c>
      <c r="AC33" s="46">
        <f t="shared" si="19"/>
        <v>0</v>
      </c>
      <c r="AD33" s="46">
        <f t="shared" si="19"/>
        <v>0</v>
      </c>
      <c r="AE33" s="46">
        <f t="shared" si="19"/>
        <v>0</v>
      </c>
      <c r="AF33" s="46">
        <f t="shared" si="19"/>
        <v>0</v>
      </c>
      <c r="AG33" s="46">
        <f t="shared" si="19"/>
        <v>0</v>
      </c>
      <c r="AH33" s="46">
        <f t="shared" si="19"/>
        <v>0</v>
      </c>
      <c r="AI33" s="46">
        <f t="shared" si="19"/>
        <v>0</v>
      </c>
      <c r="AJ33" s="46">
        <f t="shared" si="19"/>
        <v>0</v>
      </c>
      <c r="AK33" s="46">
        <f t="shared" si="17"/>
        <v>0</v>
      </c>
      <c r="AL33" s="46">
        <f t="shared" si="18"/>
        <v>0</v>
      </c>
    </row>
    <row r="34" spans="1:38" x14ac:dyDescent="0.2">
      <c r="A34" s="43" t="s">
        <v>188</v>
      </c>
      <c r="B34" s="44">
        <f t="shared" si="12"/>
        <v>16015.11</v>
      </c>
      <c r="C34" s="44">
        <f t="shared" si="0"/>
        <v>210.88</v>
      </c>
      <c r="D34" s="44">
        <f t="shared" si="1"/>
        <v>1500.94</v>
      </c>
      <c r="E34" s="44">
        <f t="shared" si="2"/>
        <v>0</v>
      </c>
      <c r="F34" s="44">
        <f t="shared" si="3"/>
        <v>2175.06</v>
      </c>
      <c r="G34" s="44">
        <f t="shared" si="4"/>
        <v>957.25</v>
      </c>
      <c r="H34" s="44">
        <f t="shared" si="5"/>
        <v>12325.41</v>
      </c>
      <c r="I34" s="44">
        <f t="shared" si="6"/>
        <v>724.63</v>
      </c>
      <c r="J34" s="44">
        <f t="shared" si="7"/>
        <v>679.99</v>
      </c>
      <c r="K34" s="44">
        <f t="shared" si="8"/>
        <v>4438.3900000000003</v>
      </c>
      <c r="L34" s="44">
        <f t="shared" si="9"/>
        <v>4162.4399999999951</v>
      </c>
      <c r="M34" s="44">
        <f>ROUND('2026 COB breakdown_Kris'!M33,2)</f>
        <v>43190.1</v>
      </c>
      <c r="N34" s="45">
        <f>'OP8 part 1 analysis'!G50</f>
        <v>0.63429504958374006</v>
      </c>
      <c r="O34" s="258">
        <f t="shared" si="13"/>
        <v>5856.8</v>
      </c>
      <c r="P34" s="46">
        <f t="shared" si="13"/>
        <v>77.12</v>
      </c>
      <c r="Q34" s="46">
        <f t="shared" si="13"/>
        <v>548.9</v>
      </c>
      <c r="R34" s="46">
        <f t="shared" si="13"/>
        <v>0</v>
      </c>
      <c r="S34" s="46">
        <f t="shared" si="13"/>
        <v>795.43</v>
      </c>
      <c r="T34" s="46">
        <f t="shared" si="13"/>
        <v>350.07</v>
      </c>
      <c r="U34" s="46">
        <f t="shared" si="13"/>
        <v>4507.46</v>
      </c>
      <c r="V34" s="46">
        <f t="shared" si="13"/>
        <v>265</v>
      </c>
      <c r="W34" s="46">
        <f t="shared" si="13"/>
        <v>248.68</v>
      </c>
      <c r="X34" s="46">
        <f t="shared" si="13"/>
        <v>1623.14</v>
      </c>
      <c r="Y34" s="46">
        <f t="shared" si="14"/>
        <v>1522.2299999999996</v>
      </c>
      <c r="Z34" s="46">
        <f t="shared" si="15"/>
        <v>15794.829999999998</v>
      </c>
      <c r="AA34" s="258">
        <f t="shared" si="16"/>
        <v>10158.31</v>
      </c>
      <c r="AB34" s="46">
        <f t="shared" si="19"/>
        <v>133.76</v>
      </c>
      <c r="AC34" s="46">
        <f t="shared" si="19"/>
        <v>952.04</v>
      </c>
      <c r="AD34" s="46">
        <f t="shared" si="19"/>
        <v>0</v>
      </c>
      <c r="AE34" s="46">
        <f t="shared" si="19"/>
        <v>1379.63</v>
      </c>
      <c r="AF34" s="46">
        <f t="shared" si="19"/>
        <v>607.17999999999995</v>
      </c>
      <c r="AG34" s="46">
        <f t="shared" si="19"/>
        <v>7817.95</v>
      </c>
      <c r="AH34" s="46">
        <f t="shared" si="19"/>
        <v>459.63</v>
      </c>
      <c r="AI34" s="46">
        <f t="shared" si="19"/>
        <v>431.31</v>
      </c>
      <c r="AJ34" s="46">
        <f t="shared" si="19"/>
        <v>2815.25</v>
      </c>
      <c r="AK34" s="46">
        <f t="shared" si="17"/>
        <v>2640.2099999999955</v>
      </c>
      <c r="AL34" s="46">
        <f t="shared" si="18"/>
        <v>27395.27</v>
      </c>
    </row>
    <row r="35" spans="1:38" x14ac:dyDescent="0.2">
      <c r="A35" s="43" t="s">
        <v>189</v>
      </c>
      <c r="B35" s="44">
        <f t="shared" si="12"/>
        <v>10928.3</v>
      </c>
      <c r="C35" s="44">
        <f t="shared" si="0"/>
        <v>143.88999999999999</v>
      </c>
      <c r="D35" s="44">
        <f t="shared" si="1"/>
        <v>1024.2</v>
      </c>
      <c r="E35" s="44">
        <f t="shared" si="2"/>
        <v>0</v>
      </c>
      <c r="F35" s="44">
        <f t="shared" si="3"/>
        <v>1484.21</v>
      </c>
      <c r="G35" s="44">
        <f t="shared" si="4"/>
        <v>653.20000000000005</v>
      </c>
      <c r="H35" s="44">
        <f t="shared" si="5"/>
        <v>8410.5499999999993</v>
      </c>
      <c r="I35" s="44">
        <f t="shared" si="6"/>
        <v>494.47</v>
      </c>
      <c r="J35" s="44">
        <f t="shared" si="7"/>
        <v>464</v>
      </c>
      <c r="K35" s="44">
        <f t="shared" si="8"/>
        <v>3028.63</v>
      </c>
      <c r="L35" s="44">
        <f t="shared" si="9"/>
        <v>2840.3600000000024</v>
      </c>
      <c r="M35" s="44">
        <f>ROUND('2026 COB breakdown_Kris'!M34,2)</f>
        <v>29471.81</v>
      </c>
      <c r="N35" s="45">
        <f>'OP8 part 1 analysis'!G51</f>
        <v>0.59459459459459452</v>
      </c>
      <c r="O35" s="258">
        <f t="shared" si="13"/>
        <v>4430.3900000000003</v>
      </c>
      <c r="P35" s="46">
        <f t="shared" si="13"/>
        <v>58.33</v>
      </c>
      <c r="Q35" s="46">
        <f t="shared" si="13"/>
        <v>415.22</v>
      </c>
      <c r="R35" s="46">
        <f t="shared" si="13"/>
        <v>0</v>
      </c>
      <c r="S35" s="46">
        <f t="shared" si="13"/>
        <v>601.71</v>
      </c>
      <c r="T35" s="46">
        <f t="shared" si="13"/>
        <v>264.81</v>
      </c>
      <c r="U35" s="46">
        <f t="shared" si="13"/>
        <v>3409.68</v>
      </c>
      <c r="V35" s="46">
        <f t="shared" si="13"/>
        <v>200.46</v>
      </c>
      <c r="W35" s="46">
        <f t="shared" si="13"/>
        <v>188.11</v>
      </c>
      <c r="X35" s="46">
        <f t="shared" si="13"/>
        <v>1227.82</v>
      </c>
      <c r="Y35" s="46">
        <f t="shared" si="14"/>
        <v>1151.5000000000018</v>
      </c>
      <c r="Z35" s="46">
        <f t="shared" si="15"/>
        <v>11948.030000000002</v>
      </c>
      <c r="AA35" s="258">
        <f t="shared" si="16"/>
        <v>6497.91</v>
      </c>
      <c r="AB35" s="46">
        <f t="shared" si="19"/>
        <v>85.56</v>
      </c>
      <c r="AC35" s="46">
        <f t="shared" si="19"/>
        <v>608.98</v>
      </c>
      <c r="AD35" s="46">
        <f t="shared" si="19"/>
        <v>0</v>
      </c>
      <c r="AE35" s="46">
        <f t="shared" si="19"/>
        <v>882.5</v>
      </c>
      <c r="AF35" s="46">
        <f t="shared" si="19"/>
        <v>388.39</v>
      </c>
      <c r="AG35" s="46">
        <f t="shared" si="19"/>
        <v>5000.87</v>
      </c>
      <c r="AH35" s="46">
        <f t="shared" si="19"/>
        <v>294.01</v>
      </c>
      <c r="AI35" s="46">
        <f t="shared" si="19"/>
        <v>275.89</v>
      </c>
      <c r="AJ35" s="46">
        <f t="shared" si="19"/>
        <v>1800.81</v>
      </c>
      <c r="AK35" s="46">
        <f t="shared" si="17"/>
        <v>1688.8600000000006</v>
      </c>
      <c r="AL35" s="46">
        <f t="shared" si="18"/>
        <v>17523.78</v>
      </c>
    </row>
    <row r="36" spans="1:38" x14ac:dyDescent="0.2">
      <c r="A36" s="43" t="s">
        <v>136</v>
      </c>
      <c r="B36" s="44">
        <f t="shared" si="12"/>
        <v>0</v>
      </c>
      <c r="C36" s="44">
        <f t="shared" si="0"/>
        <v>0</v>
      </c>
      <c r="D36" s="44">
        <f t="shared" si="1"/>
        <v>0</v>
      </c>
      <c r="E36" s="44">
        <f t="shared" si="2"/>
        <v>0</v>
      </c>
      <c r="F36" s="44">
        <f t="shared" si="3"/>
        <v>0</v>
      </c>
      <c r="G36" s="44">
        <f t="shared" si="4"/>
        <v>0</v>
      </c>
      <c r="H36" s="44">
        <f t="shared" si="5"/>
        <v>0</v>
      </c>
      <c r="I36" s="44">
        <f t="shared" si="6"/>
        <v>0</v>
      </c>
      <c r="J36" s="44">
        <f t="shared" si="7"/>
        <v>0</v>
      </c>
      <c r="K36" s="44">
        <f t="shared" si="8"/>
        <v>0</v>
      </c>
      <c r="L36" s="44">
        <f t="shared" si="9"/>
        <v>0</v>
      </c>
      <c r="M36" s="44">
        <f>ROUND('2026 COB breakdown_Kris'!M35,2)</f>
        <v>0</v>
      </c>
      <c r="N36" s="45">
        <f>'OP8 part 1 analysis'!G52</f>
        <v>0.6763754045307443</v>
      </c>
      <c r="O36" s="258">
        <f t="shared" si="13"/>
        <v>0</v>
      </c>
      <c r="P36" s="46">
        <f t="shared" si="13"/>
        <v>0</v>
      </c>
      <c r="Q36" s="46">
        <f t="shared" si="13"/>
        <v>0</v>
      </c>
      <c r="R36" s="46">
        <f t="shared" si="13"/>
        <v>0</v>
      </c>
      <c r="S36" s="46">
        <f t="shared" si="13"/>
        <v>0</v>
      </c>
      <c r="T36" s="46">
        <f t="shared" si="13"/>
        <v>0</v>
      </c>
      <c r="U36" s="46">
        <f t="shared" si="13"/>
        <v>0</v>
      </c>
      <c r="V36" s="46">
        <f t="shared" si="13"/>
        <v>0</v>
      </c>
      <c r="W36" s="46">
        <f t="shared" si="13"/>
        <v>0</v>
      </c>
      <c r="X36" s="46">
        <f t="shared" si="13"/>
        <v>0</v>
      </c>
      <c r="Y36" s="46">
        <f t="shared" si="14"/>
        <v>0</v>
      </c>
      <c r="Z36" s="46">
        <f t="shared" si="15"/>
        <v>0</v>
      </c>
      <c r="AA36" s="258">
        <f t="shared" si="16"/>
        <v>0</v>
      </c>
      <c r="AB36" s="46">
        <f t="shared" si="19"/>
        <v>0</v>
      </c>
      <c r="AC36" s="46">
        <f t="shared" si="19"/>
        <v>0</v>
      </c>
      <c r="AD36" s="46">
        <f t="shared" si="19"/>
        <v>0</v>
      </c>
      <c r="AE36" s="46">
        <f t="shared" si="19"/>
        <v>0</v>
      </c>
      <c r="AF36" s="46">
        <f t="shared" si="19"/>
        <v>0</v>
      </c>
      <c r="AG36" s="46">
        <f t="shared" si="19"/>
        <v>0</v>
      </c>
      <c r="AH36" s="46">
        <f t="shared" si="19"/>
        <v>0</v>
      </c>
      <c r="AI36" s="46">
        <f t="shared" si="19"/>
        <v>0</v>
      </c>
      <c r="AJ36" s="46">
        <f t="shared" si="19"/>
        <v>0</v>
      </c>
      <c r="AK36" s="46">
        <f t="shared" si="17"/>
        <v>0</v>
      </c>
      <c r="AL36" s="46">
        <f t="shared" si="18"/>
        <v>0</v>
      </c>
    </row>
    <row r="37" spans="1:38" x14ac:dyDescent="0.2">
      <c r="A37" s="43" t="s">
        <v>190</v>
      </c>
      <c r="B37" s="44">
        <f t="shared" si="12"/>
        <v>16349.91</v>
      </c>
      <c r="C37" s="44">
        <f t="shared" si="0"/>
        <v>215.28</v>
      </c>
      <c r="D37" s="44">
        <f t="shared" si="1"/>
        <v>1532.32</v>
      </c>
      <c r="E37" s="44">
        <f t="shared" si="2"/>
        <v>0</v>
      </c>
      <c r="F37" s="44">
        <f t="shared" si="3"/>
        <v>2220.5300000000002</v>
      </c>
      <c r="G37" s="44">
        <f t="shared" si="4"/>
        <v>977.25</v>
      </c>
      <c r="H37" s="44">
        <f t="shared" si="5"/>
        <v>12583.07</v>
      </c>
      <c r="I37" s="44">
        <f t="shared" si="6"/>
        <v>739.77</v>
      </c>
      <c r="J37" s="44">
        <f t="shared" si="7"/>
        <v>694.21</v>
      </c>
      <c r="K37" s="44">
        <f t="shared" si="8"/>
        <v>4531.16</v>
      </c>
      <c r="L37" s="44">
        <f t="shared" si="9"/>
        <v>4249.489999999998</v>
      </c>
      <c r="M37" s="44">
        <f>ROUND('2026 COB breakdown_Kris'!M36,2)</f>
        <v>44092.99</v>
      </c>
      <c r="N37" s="45">
        <f>'OP8 part 1 analysis'!G53</f>
        <v>0</v>
      </c>
      <c r="O37" s="258">
        <f t="shared" si="13"/>
        <v>16349.91</v>
      </c>
      <c r="P37" s="46">
        <f t="shared" si="13"/>
        <v>215.28</v>
      </c>
      <c r="Q37" s="46">
        <f t="shared" si="13"/>
        <v>1532.32</v>
      </c>
      <c r="R37" s="46">
        <f t="shared" si="13"/>
        <v>0</v>
      </c>
      <c r="S37" s="46">
        <f t="shared" si="13"/>
        <v>2220.5300000000002</v>
      </c>
      <c r="T37" s="46">
        <f t="shared" si="13"/>
        <v>977.25</v>
      </c>
      <c r="U37" s="46">
        <f t="shared" si="13"/>
        <v>12583.07</v>
      </c>
      <c r="V37" s="46">
        <f t="shared" si="13"/>
        <v>739.77</v>
      </c>
      <c r="W37" s="46">
        <f t="shared" si="13"/>
        <v>694.21</v>
      </c>
      <c r="X37" s="46">
        <f t="shared" si="13"/>
        <v>4531.16</v>
      </c>
      <c r="Y37" s="46">
        <f t="shared" si="14"/>
        <v>4249.489999999998</v>
      </c>
      <c r="Z37" s="46">
        <f t="shared" si="15"/>
        <v>44092.99</v>
      </c>
      <c r="AA37" s="258">
        <f t="shared" si="16"/>
        <v>0</v>
      </c>
      <c r="AB37" s="46">
        <f t="shared" si="19"/>
        <v>0</v>
      </c>
      <c r="AC37" s="46">
        <f t="shared" si="19"/>
        <v>0</v>
      </c>
      <c r="AD37" s="46">
        <f t="shared" si="19"/>
        <v>0</v>
      </c>
      <c r="AE37" s="46">
        <f t="shared" si="19"/>
        <v>0</v>
      </c>
      <c r="AF37" s="46">
        <f t="shared" si="19"/>
        <v>0</v>
      </c>
      <c r="AG37" s="46">
        <f t="shared" si="19"/>
        <v>0</v>
      </c>
      <c r="AH37" s="46">
        <f t="shared" si="19"/>
        <v>0</v>
      </c>
      <c r="AI37" s="46">
        <f t="shared" si="19"/>
        <v>0</v>
      </c>
      <c r="AJ37" s="46">
        <f t="shared" si="19"/>
        <v>0</v>
      </c>
      <c r="AK37" s="46">
        <f t="shared" si="17"/>
        <v>0</v>
      </c>
      <c r="AL37" s="46">
        <f t="shared" si="18"/>
        <v>0</v>
      </c>
    </row>
    <row r="38" spans="1:38" x14ac:dyDescent="0.2">
      <c r="A38" s="43" t="s">
        <v>191</v>
      </c>
      <c r="B38" s="44">
        <f t="shared" si="12"/>
        <v>10538.66</v>
      </c>
      <c r="C38" s="44">
        <f t="shared" si="0"/>
        <v>138.76</v>
      </c>
      <c r="D38" s="44">
        <f t="shared" si="1"/>
        <v>987.69</v>
      </c>
      <c r="E38" s="44">
        <f t="shared" si="2"/>
        <v>0</v>
      </c>
      <c r="F38" s="44">
        <f t="shared" si="3"/>
        <v>1431.28</v>
      </c>
      <c r="G38" s="44">
        <f t="shared" si="4"/>
        <v>629.91000000000008</v>
      </c>
      <c r="H38" s="44">
        <f t="shared" si="5"/>
        <v>8110.67</v>
      </c>
      <c r="I38" s="44">
        <f t="shared" si="6"/>
        <v>476.84000000000003</v>
      </c>
      <c r="J38" s="44">
        <f t="shared" si="7"/>
        <v>447.46</v>
      </c>
      <c r="K38" s="44">
        <f t="shared" si="8"/>
        <v>2920.65</v>
      </c>
      <c r="L38" s="44">
        <f t="shared" si="9"/>
        <v>2739.09</v>
      </c>
      <c r="M38" s="44">
        <f>ROUND('2026 COB breakdown_Kris'!M37,2)</f>
        <v>28421.01</v>
      </c>
      <c r="N38" s="45">
        <f>'OP8 part 1 analysis'!G54</f>
        <v>0.42307692307692302</v>
      </c>
      <c r="O38" s="258">
        <f t="shared" si="13"/>
        <v>6080</v>
      </c>
      <c r="P38" s="46">
        <f t="shared" si="13"/>
        <v>80.05</v>
      </c>
      <c r="Q38" s="46">
        <f t="shared" si="13"/>
        <v>569.82000000000005</v>
      </c>
      <c r="R38" s="46">
        <f t="shared" si="13"/>
        <v>0</v>
      </c>
      <c r="S38" s="46">
        <f t="shared" si="13"/>
        <v>825.74</v>
      </c>
      <c r="T38" s="46">
        <f t="shared" si="13"/>
        <v>363.41</v>
      </c>
      <c r="U38" s="46">
        <f t="shared" si="13"/>
        <v>4679.2299999999996</v>
      </c>
      <c r="V38" s="46">
        <f t="shared" si="13"/>
        <v>275.10000000000002</v>
      </c>
      <c r="W38" s="46">
        <f t="shared" si="13"/>
        <v>258.14999999999998</v>
      </c>
      <c r="X38" s="46">
        <f t="shared" si="13"/>
        <v>1684.99</v>
      </c>
      <c r="Y38" s="46">
        <f t="shared" si="14"/>
        <v>1580.2499999999982</v>
      </c>
      <c r="Z38" s="46">
        <f t="shared" si="15"/>
        <v>16396.739999999998</v>
      </c>
      <c r="AA38" s="258">
        <f t="shared" si="16"/>
        <v>4458.66</v>
      </c>
      <c r="AB38" s="46">
        <f t="shared" si="19"/>
        <v>58.71</v>
      </c>
      <c r="AC38" s="46">
        <f t="shared" si="19"/>
        <v>417.87</v>
      </c>
      <c r="AD38" s="46">
        <f t="shared" si="19"/>
        <v>0</v>
      </c>
      <c r="AE38" s="46">
        <f t="shared" si="19"/>
        <v>605.54</v>
      </c>
      <c r="AF38" s="46">
        <f t="shared" si="19"/>
        <v>266.5</v>
      </c>
      <c r="AG38" s="46">
        <f t="shared" si="19"/>
        <v>3431.44</v>
      </c>
      <c r="AH38" s="46">
        <f t="shared" si="19"/>
        <v>201.74</v>
      </c>
      <c r="AI38" s="46">
        <f t="shared" si="19"/>
        <v>189.31</v>
      </c>
      <c r="AJ38" s="46">
        <f t="shared" si="19"/>
        <v>1235.6600000000001</v>
      </c>
      <c r="AK38" s="46">
        <f t="shared" si="17"/>
        <v>1158.840000000002</v>
      </c>
      <c r="AL38" s="46">
        <f t="shared" si="18"/>
        <v>12024.27</v>
      </c>
    </row>
    <row r="39" spans="1:38" x14ac:dyDescent="0.2">
      <c r="A39" s="43" t="s">
        <v>192</v>
      </c>
      <c r="B39" s="44">
        <f t="shared" si="12"/>
        <v>12470.74</v>
      </c>
      <c r="C39" s="44">
        <f t="shared" si="0"/>
        <v>164.2</v>
      </c>
      <c r="D39" s="44">
        <f t="shared" si="1"/>
        <v>1168.7600000000002</v>
      </c>
      <c r="E39" s="44">
        <f t="shared" si="2"/>
        <v>0</v>
      </c>
      <c r="F39" s="44">
        <f t="shared" si="3"/>
        <v>1693.68</v>
      </c>
      <c r="G39" s="44">
        <f t="shared" si="4"/>
        <v>745.3900000000001</v>
      </c>
      <c r="H39" s="44">
        <f t="shared" si="5"/>
        <v>9597.619999999999</v>
      </c>
      <c r="I39" s="44">
        <f t="shared" si="6"/>
        <v>564.25</v>
      </c>
      <c r="J39" s="44">
        <f t="shared" si="7"/>
        <v>529.5</v>
      </c>
      <c r="K39" s="44">
        <f t="shared" si="8"/>
        <v>3456.1</v>
      </c>
      <c r="L39" s="44">
        <f t="shared" si="9"/>
        <v>3241.2700000000023</v>
      </c>
      <c r="M39" s="44">
        <f>ROUND('2026 COB breakdown_Kris'!M38,2)</f>
        <v>33631.51</v>
      </c>
      <c r="N39" s="45">
        <f>'OP8 part 1 analysis'!G55</f>
        <v>0.50657894736842102</v>
      </c>
      <c r="O39" s="258">
        <f t="shared" ref="O39:X64" si="20">ROUND($Z39*O$4,2)</f>
        <v>6153.33</v>
      </c>
      <c r="P39" s="46">
        <f t="shared" si="20"/>
        <v>81.02</v>
      </c>
      <c r="Q39" s="46">
        <f t="shared" si="20"/>
        <v>576.69000000000005</v>
      </c>
      <c r="R39" s="46">
        <f t="shared" si="20"/>
        <v>0</v>
      </c>
      <c r="S39" s="46">
        <f t="shared" si="20"/>
        <v>835.7</v>
      </c>
      <c r="T39" s="46">
        <f t="shared" si="20"/>
        <v>367.79</v>
      </c>
      <c r="U39" s="46">
        <f t="shared" si="20"/>
        <v>4735.67</v>
      </c>
      <c r="V39" s="46">
        <f t="shared" si="20"/>
        <v>278.41000000000003</v>
      </c>
      <c r="W39" s="46">
        <f t="shared" si="20"/>
        <v>261.27</v>
      </c>
      <c r="X39" s="46">
        <f t="shared" si="20"/>
        <v>1705.31</v>
      </c>
      <c r="Y39" s="46">
        <f t="shared" si="14"/>
        <v>1599.3100000000031</v>
      </c>
      <c r="Z39" s="46">
        <f t="shared" si="15"/>
        <v>16594.500000000004</v>
      </c>
      <c r="AA39" s="258">
        <f t="shared" si="16"/>
        <v>6317.41</v>
      </c>
      <c r="AB39" s="46">
        <f t="shared" si="19"/>
        <v>83.18</v>
      </c>
      <c r="AC39" s="46">
        <f t="shared" si="19"/>
        <v>592.07000000000005</v>
      </c>
      <c r="AD39" s="46">
        <f t="shared" si="19"/>
        <v>0</v>
      </c>
      <c r="AE39" s="46">
        <f t="shared" si="19"/>
        <v>857.98</v>
      </c>
      <c r="AF39" s="46">
        <f t="shared" si="19"/>
        <v>377.6</v>
      </c>
      <c r="AG39" s="46">
        <f t="shared" si="19"/>
        <v>4861.95</v>
      </c>
      <c r="AH39" s="46">
        <f t="shared" si="19"/>
        <v>285.83999999999997</v>
      </c>
      <c r="AI39" s="46">
        <f t="shared" si="19"/>
        <v>268.23</v>
      </c>
      <c r="AJ39" s="46">
        <f t="shared" si="19"/>
        <v>1750.79</v>
      </c>
      <c r="AK39" s="46">
        <f t="shared" si="17"/>
        <v>1641.9599999999991</v>
      </c>
      <c r="AL39" s="46">
        <f t="shared" si="18"/>
        <v>17037.009999999998</v>
      </c>
    </row>
    <row r="40" spans="1:38" x14ac:dyDescent="0.2">
      <c r="A40" s="43" t="s">
        <v>193</v>
      </c>
      <c r="B40" s="44">
        <f t="shared" si="12"/>
        <v>7348.39</v>
      </c>
      <c r="C40" s="44">
        <f t="shared" si="0"/>
        <v>96.75</v>
      </c>
      <c r="D40" s="44">
        <f t="shared" si="1"/>
        <v>688.7</v>
      </c>
      <c r="E40" s="44">
        <f t="shared" si="2"/>
        <v>0</v>
      </c>
      <c r="F40" s="44">
        <f t="shared" si="3"/>
        <v>998.01</v>
      </c>
      <c r="G40" s="44">
        <f t="shared" si="4"/>
        <v>439.22</v>
      </c>
      <c r="H40" s="44">
        <f t="shared" si="5"/>
        <v>5655.41</v>
      </c>
      <c r="I40" s="44">
        <f t="shared" si="6"/>
        <v>332.49</v>
      </c>
      <c r="J40" s="44">
        <f t="shared" si="7"/>
        <v>312.01</v>
      </c>
      <c r="K40" s="44">
        <f t="shared" si="8"/>
        <v>2036.51</v>
      </c>
      <c r="L40" s="44">
        <f t="shared" si="9"/>
        <v>1909.9100000000035</v>
      </c>
      <c r="M40" s="44">
        <f>ROUND('2026 COB breakdown_Kris'!M39,2)</f>
        <v>19817.400000000001</v>
      </c>
      <c r="N40" s="45">
        <f>'OP8 part 1 analysis'!G56</f>
        <v>0</v>
      </c>
      <c r="O40" s="258">
        <f t="shared" si="20"/>
        <v>7348.39</v>
      </c>
      <c r="P40" s="46">
        <f t="shared" si="20"/>
        <v>96.75</v>
      </c>
      <c r="Q40" s="46">
        <f t="shared" si="20"/>
        <v>688.7</v>
      </c>
      <c r="R40" s="46">
        <f t="shared" si="20"/>
        <v>0</v>
      </c>
      <c r="S40" s="46">
        <f t="shared" si="20"/>
        <v>998.01</v>
      </c>
      <c r="T40" s="46">
        <f t="shared" si="20"/>
        <v>439.22</v>
      </c>
      <c r="U40" s="46">
        <f t="shared" si="20"/>
        <v>5655.41</v>
      </c>
      <c r="V40" s="46">
        <f t="shared" si="20"/>
        <v>332.49</v>
      </c>
      <c r="W40" s="46">
        <f t="shared" si="20"/>
        <v>312.01</v>
      </c>
      <c r="X40" s="46">
        <f t="shared" si="20"/>
        <v>2036.51</v>
      </c>
      <c r="Y40" s="46">
        <f t="shared" si="14"/>
        <v>1909.9100000000035</v>
      </c>
      <c r="Z40" s="46">
        <f t="shared" si="15"/>
        <v>19817.400000000001</v>
      </c>
      <c r="AA40" s="258">
        <f t="shared" si="16"/>
        <v>0</v>
      </c>
      <c r="AB40" s="46">
        <f t="shared" si="19"/>
        <v>0</v>
      </c>
      <c r="AC40" s="46">
        <f t="shared" si="19"/>
        <v>0</v>
      </c>
      <c r="AD40" s="46">
        <f t="shared" si="19"/>
        <v>0</v>
      </c>
      <c r="AE40" s="46">
        <f t="shared" si="19"/>
        <v>0</v>
      </c>
      <c r="AF40" s="46">
        <f t="shared" si="19"/>
        <v>0</v>
      </c>
      <c r="AG40" s="46">
        <f t="shared" si="19"/>
        <v>0</v>
      </c>
      <c r="AH40" s="46">
        <f t="shared" si="19"/>
        <v>0</v>
      </c>
      <c r="AI40" s="46">
        <f t="shared" si="19"/>
        <v>0</v>
      </c>
      <c r="AJ40" s="46">
        <f t="shared" si="19"/>
        <v>0</v>
      </c>
      <c r="AK40" s="46">
        <f t="shared" si="17"/>
        <v>0</v>
      </c>
      <c r="AL40" s="46">
        <f t="shared" si="18"/>
        <v>0</v>
      </c>
    </row>
    <row r="41" spans="1:38" x14ac:dyDescent="0.2">
      <c r="A41" s="43" t="s">
        <v>194</v>
      </c>
      <c r="B41" s="44">
        <f t="shared" si="12"/>
        <v>10334.9</v>
      </c>
      <c r="C41" s="44">
        <f t="shared" si="0"/>
        <v>136.08000000000001</v>
      </c>
      <c r="D41" s="44">
        <f t="shared" si="1"/>
        <v>968.58999999999992</v>
      </c>
      <c r="E41" s="44">
        <f t="shared" si="2"/>
        <v>0</v>
      </c>
      <c r="F41" s="44">
        <f t="shared" si="3"/>
        <v>1403.6100000000001</v>
      </c>
      <c r="G41" s="44">
        <f t="shared" si="4"/>
        <v>617.73</v>
      </c>
      <c r="H41" s="44">
        <f t="shared" si="5"/>
        <v>7953.85</v>
      </c>
      <c r="I41" s="44">
        <f t="shared" si="6"/>
        <v>467.62</v>
      </c>
      <c r="J41" s="44">
        <f t="shared" si="7"/>
        <v>438.81</v>
      </c>
      <c r="K41" s="44">
        <f t="shared" si="8"/>
        <v>2864.1800000000003</v>
      </c>
      <c r="L41" s="44">
        <f t="shared" si="9"/>
        <v>2686.1299999999992</v>
      </c>
      <c r="M41" s="44">
        <f>ROUND('2026 COB breakdown_Kris'!M40,2)</f>
        <v>27871.5</v>
      </c>
      <c r="N41" s="45">
        <f>'OP8 part 1 analysis'!G57</f>
        <v>0.42307692307692302</v>
      </c>
      <c r="O41" s="258">
        <f t="shared" si="20"/>
        <v>5962.44</v>
      </c>
      <c r="P41" s="46">
        <f t="shared" si="20"/>
        <v>78.510000000000005</v>
      </c>
      <c r="Q41" s="46">
        <f t="shared" si="20"/>
        <v>558.79999999999995</v>
      </c>
      <c r="R41" s="46">
        <f t="shared" si="20"/>
        <v>0</v>
      </c>
      <c r="S41" s="46">
        <f t="shared" si="20"/>
        <v>809.78</v>
      </c>
      <c r="T41" s="46">
        <f t="shared" si="20"/>
        <v>356.38</v>
      </c>
      <c r="U41" s="46">
        <f t="shared" si="20"/>
        <v>4588.76</v>
      </c>
      <c r="V41" s="46">
        <f t="shared" si="20"/>
        <v>269.77999999999997</v>
      </c>
      <c r="W41" s="46">
        <f t="shared" si="20"/>
        <v>253.16</v>
      </c>
      <c r="X41" s="46">
        <f t="shared" si="20"/>
        <v>1652.41</v>
      </c>
      <c r="Y41" s="46">
        <f t="shared" si="14"/>
        <v>1549.6899999999987</v>
      </c>
      <c r="Z41" s="46">
        <f t="shared" si="15"/>
        <v>16079.71</v>
      </c>
      <c r="AA41" s="258">
        <f t="shared" si="16"/>
        <v>4372.46</v>
      </c>
      <c r="AB41" s="46">
        <f t="shared" si="19"/>
        <v>57.57</v>
      </c>
      <c r="AC41" s="46">
        <f t="shared" si="19"/>
        <v>409.79</v>
      </c>
      <c r="AD41" s="46">
        <f t="shared" si="19"/>
        <v>0</v>
      </c>
      <c r="AE41" s="46">
        <f t="shared" si="19"/>
        <v>593.83000000000004</v>
      </c>
      <c r="AF41" s="46">
        <f t="shared" si="19"/>
        <v>261.35000000000002</v>
      </c>
      <c r="AG41" s="46">
        <f t="shared" si="19"/>
        <v>3365.09</v>
      </c>
      <c r="AH41" s="46">
        <f t="shared" si="19"/>
        <v>197.84</v>
      </c>
      <c r="AI41" s="46">
        <f t="shared" si="19"/>
        <v>185.65</v>
      </c>
      <c r="AJ41" s="46">
        <f t="shared" si="19"/>
        <v>1211.77</v>
      </c>
      <c r="AK41" s="46">
        <f t="shared" si="17"/>
        <v>1136.4400000000005</v>
      </c>
      <c r="AL41" s="46">
        <f t="shared" si="18"/>
        <v>11791.79</v>
      </c>
    </row>
    <row r="42" spans="1:38" x14ac:dyDescent="0.2">
      <c r="A42" s="43" t="s">
        <v>195</v>
      </c>
      <c r="B42" s="44">
        <f t="shared" si="12"/>
        <v>8343.11</v>
      </c>
      <c r="C42" s="44">
        <f t="shared" si="0"/>
        <v>109.86000000000001</v>
      </c>
      <c r="D42" s="44">
        <f t="shared" si="1"/>
        <v>781.92000000000007</v>
      </c>
      <c r="E42" s="44">
        <f t="shared" si="2"/>
        <v>0</v>
      </c>
      <c r="F42" s="44">
        <f t="shared" si="3"/>
        <v>1133.0999999999999</v>
      </c>
      <c r="G42" s="44">
        <f t="shared" si="4"/>
        <v>498.68000000000006</v>
      </c>
      <c r="H42" s="44">
        <f t="shared" si="5"/>
        <v>6420.96</v>
      </c>
      <c r="I42" s="44">
        <f t="shared" si="6"/>
        <v>377.5</v>
      </c>
      <c r="J42" s="44">
        <f t="shared" si="7"/>
        <v>354.24</v>
      </c>
      <c r="K42" s="44">
        <f t="shared" si="8"/>
        <v>2312.1800000000003</v>
      </c>
      <c r="L42" s="44">
        <f t="shared" si="9"/>
        <v>2168.4499999999989</v>
      </c>
      <c r="M42" s="44">
        <f>ROUND('2026 COB breakdown_Kris'!M41,2)</f>
        <v>22500</v>
      </c>
      <c r="N42" s="45">
        <f>'OP8 part 1 analysis'!G58</f>
        <v>0.39759036144578308</v>
      </c>
      <c r="O42" s="258">
        <f t="shared" si="20"/>
        <v>5025.97</v>
      </c>
      <c r="P42" s="46">
        <f t="shared" si="20"/>
        <v>66.180000000000007</v>
      </c>
      <c r="Q42" s="46">
        <f t="shared" si="20"/>
        <v>471.04</v>
      </c>
      <c r="R42" s="46">
        <f t="shared" si="20"/>
        <v>0</v>
      </c>
      <c r="S42" s="46">
        <f t="shared" si="20"/>
        <v>682.59</v>
      </c>
      <c r="T42" s="46">
        <f t="shared" si="20"/>
        <v>300.41000000000003</v>
      </c>
      <c r="U42" s="46">
        <f t="shared" si="20"/>
        <v>3868.05</v>
      </c>
      <c r="V42" s="46">
        <f t="shared" si="20"/>
        <v>227.41</v>
      </c>
      <c r="W42" s="46">
        <f t="shared" si="20"/>
        <v>213.4</v>
      </c>
      <c r="X42" s="46">
        <f t="shared" si="20"/>
        <v>1392.88</v>
      </c>
      <c r="Y42" s="46">
        <f t="shared" si="14"/>
        <v>1306.2899999999991</v>
      </c>
      <c r="Z42" s="46">
        <f t="shared" si="15"/>
        <v>13554.22</v>
      </c>
      <c r="AA42" s="258">
        <f t="shared" si="16"/>
        <v>3317.14</v>
      </c>
      <c r="AB42" s="46">
        <f t="shared" si="19"/>
        <v>43.68</v>
      </c>
      <c r="AC42" s="46">
        <f t="shared" si="19"/>
        <v>310.88</v>
      </c>
      <c r="AD42" s="46">
        <f t="shared" si="19"/>
        <v>0</v>
      </c>
      <c r="AE42" s="46">
        <f t="shared" si="19"/>
        <v>450.51</v>
      </c>
      <c r="AF42" s="46">
        <f t="shared" si="19"/>
        <v>198.27</v>
      </c>
      <c r="AG42" s="46">
        <f t="shared" si="19"/>
        <v>2552.91</v>
      </c>
      <c r="AH42" s="46">
        <f t="shared" si="19"/>
        <v>150.09</v>
      </c>
      <c r="AI42" s="46">
        <f t="shared" si="19"/>
        <v>140.84</v>
      </c>
      <c r="AJ42" s="46">
        <f t="shared" si="19"/>
        <v>919.3</v>
      </c>
      <c r="AK42" s="46">
        <f t="shared" si="17"/>
        <v>862.15999999999985</v>
      </c>
      <c r="AL42" s="46">
        <f t="shared" si="18"/>
        <v>8945.7800000000007</v>
      </c>
    </row>
    <row r="43" spans="1:38" x14ac:dyDescent="0.2">
      <c r="A43" s="43" t="s">
        <v>196</v>
      </c>
      <c r="B43" s="44">
        <f t="shared" si="12"/>
        <v>4424.07</v>
      </c>
      <c r="C43" s="44">
        <f t="shared" si="0"/>
        <v>58.260000000000005</v>
      </c>
      <c r="D43" s="44">
        <f t="shared" si="1"/>
        <v>414.62</v>
      </c>
      <c r="E43" s="44">
        <f t="shared" si="2"/>
        <v>0</v>
      </c>
      <c r="F43" s="44">
        <f t="shared" si="3"/>
        <v>600.85</v>
      </c>
      <c r="G43" s="44">
        <f t="shared" si="4"/>
        <v>264.43</v>
      </c>
      <c r="H43" s="44">
        <f t="shared" si="5"/>
        <v>3404.8199999999997</v>
      </c>
      <c r="I43" s="44">
        <f t="shared" si="6"/>
        <v>200.17000000000002</v>
      </c>
      <c r="J43" s="44">
        <f t="shared" si="7"/>
        <v>187.84</v>
      </c>
      <c r="K43" s="44">
        <f t="shared" si="8"/>
        <v>1226.08</v>
      </c>
      <c r="L43" s="44">
        <f t="shared" si="9"/>
        <v>1149.8600000000006</v>
      </c>
      <c r="M43" s="44">
        <f>ROUND('2026 COB breakdown_Kris'!M42,2)</f>
        <v>11931</v>
      </c>
      <c r="N43" s="45">
        <f>'OP8 part 1 analysis'!G59</f>
        <v>0.59459459459459452</v>
      </c>
      <c r="O43" s="258">
        <f t="shared" si="20"/>
        <v>1793.54</v>
      </c>
      <c r="P43" s="46">
        <f t="shared" si="20"/>
        <v>23.62</v>
      </c>
      <c r="Q43" s="46">
        <f t="shared" si="20"/>
        <v>168.09</v>
      </c>
      <c r="R43" s="46">
        <f t="shared" si="20"/>
        <v>0</v>
      </c>
      <c r="S43" s="46">
        <f t="shared" si="20"/>
        <v>243.59</v>
      </c>
      <c r="T43" s="46">
        <f t="shared" si="20"/>
        <v>107.2</v>
      </c>
      <c r="U43" s="46">
        <f t="shared" si="20"/>
        <v>1380.33</v>
      </c>
      <c r="V43" s="46">
        <f t="shared" si="20"/>
        <v>81.150000000000006</v>
      </c>
      <c r="W43" s="46">
        <f t="shared" si="20"/>
        <v>76.150000000000006</v>
      </c>
      <c r="X43" s="46">
        <f t="shared" si="20"/>
        <v>497.06</v>
      </c>
      <c r="Y43" s="46">
        <f t="shared" si="14"/>
        <v>466.16000000000076</v>
      </c>
      <c r="Z43" s="46">
        <f t="shared" si="15"/>
        <v>4836.8900000000003</v>
      </c>
      <c r="AA43" s="258">
        <f t="shared" si="16"/>
        <v>2630.53</v>
      </c>
      <c r="AB43" s="46">
        <f t="shared" si="19"/>
        <v>34.64</v>
      </c>
      <c r="AC43" s="46">
        <f t="shared" si="19"/>
        <v>246.53</v>
      </c>
      <c r="AD43" s="46">
        <f t="shared" si="19"/>
        <v>0</v>
      </c>
      <c r="AE43" s="46">
        <f t="shared" si="19"/>
        <v>357.26</v>
      </c>
      <c r="AF43" s="46">
        <f t="shared" si="19"/>
        <v>157.22999999999999</v>
      </c>
      <c r="AG43" s="46">
        <f t="shared" si="19"/>
        <v>2024.49</v>
      </c>
      <c r="AH43" s="46">
        <f t="shared" si="19"/>
        <v>119.02</v>
      </c>
      <c r="AI43" s="46">
        <f t="shared" si="19"/>
        <v>111.69</v>
      </c>
      <c r="AJ43" s="46">
        <f t="shared" si="19"/>
        <v>729.02</v>
      </c>
      <c r="AK43" s="46">
        <f t="shared" si="17"/>
        <v>683.69999999999982</v>
      </c>
      <c r="AL43" s="46">
        <f t="shared" si="18"/>
        <v>7094.11</v>
      </c>
    </row>
    <row r="44" spans="1:38" x14ac:dyDescent="0.2">
      <c r="A44" s="43" t="s">
        <v>197</v>
      </c>
      <c r="B44" s="44">
        <f t="shared" si="12"/>
        <v>4738.8899999999994</v>
      </c>
      <c r="C44" s="44">
        <f t="shared" si="0"/>
        <v>62.39</v>
      </c>
      <c r="D44" s="44">
        <f t="shared" si="1"/>
        <v>444.13</v>
      </c>
      <c r="E44" s="44">
        <f t="shared" si="2"/>
        <v>0</v>
      </c>
      <c r="F44" s="44">
        <f t="shared" si="3"/>
        <v>643.6</v>
      </c>
      <c r="G44" s="44">
        <f t="shared" si="4"/>
        <v>283.25</v>
      </c>
      <c r="H44" s="44">
        <f t="shared" si="5"/>
        <v>3647.1099999999997</v>
      </c>
      <c r="I44" s="44">
        <f t="shared" si="6"/>
        <v>214.41</v>
      </c>
      <c r="J44" s="44">
        <f t="shared" si="7"/>
        <v>201.21</v>
      </c>
      <c r="K44" s="44">
        <f t="shared" si="8"/>
        <v>1313.32</v>
      </c>
      <c r="L44" s="44">
        <f t="shared" si="9"/>
        <v>1231.6899999999996</v>
      </c>
      <c r="M44" s="44">
        <f>ROUND('2026 COB breakdown_Kris'!M43,2)</f>
        <v>12780</v>
      </c>
      <c r="N44" s="45">
        <f>'OP8 part 1 analysis'!G60</f>
        <v>0.20886075949367086</v>
      </c>
      <c r="O44" s="258">
        <f t="shared" si="20"/>
        <v>3749.12</v>
      </c>
      <c r="P44" s="46">
        <f t="shared" si="20"/>
        <v>49.36</v>
      </c>
      <c r="Q44" s="46">
        <f t="shared" si="20"/>
        <v>351.37</v>
      </c>
      <c r="R44" s="46">
        <f t="shared" si="20"/>
        <v>0</v>
      </c>
      <c r="S44" s="46">
        <f t="shared" si="20"/>
        <v>509.18</v>
      </c>
      <c r="T44" s="46">
        <f t="shared" si="20"/>
        <v>224.09</v>
      </c>
      <c r="U44" s="46">
        <f t="shared" si="20"/>
        <v>2885.37</v>
      </c>
      <c r="V44" s="46">
        <f t="shared" si="20"/>
        <v>169.63</v>
      </c>
      <c r="W44" s="46">
        <f t="shared" si="20"/>
        <v>159.19</v>
      </c>
      <c r="X44" s="46">
        <f t="shared" si="20"/>
        <v>1039.02</v>
      </c>
      <c r="Y44" s="46">
        <f t="shared" si="14"/>
        <v>974.43000000000029</v>
      </c>
      <c r="Z44" s="46">
        <f t="shared" si="15"/>
        <v>10110.76</v>
      </c>
      <c r="AA44" s="258">
        <f t="shared" si="16"/>
        <v>989.77</v>
      </c>
      <c r="AB44" s="46">
        <f t="shared" si="19"/>
        <v>13.03</v>
      </c>
      <c r="AC44" s="46">
        <f t="shared" si="19"/>
        <v>92.76</v>
      </c>
      <c r="AD44" s="46">
        <f t="shared" si="19"/>
        <v>0</v>
      </c>
      <c r="AE44" s="46">
        <f t="shared" si="19"/>
        <v>134.41999999999999</v>
      </c>
      <c r="AF44" s="46">
        <f t="shared" si="19"/>
        <v>59.16</v>
      </c>
      <c r="AG44" s="46">
        <f t="shared" si="19"/>
        <v>761.74</v>
      </c>
      <c r="AH44" s="46">
        <f t="shared" si="19"/>
        <v>44.78</v>
      </c>
      <c r="AI44" s="46">
        <f t="shared" si="19"/>
        <v>42.02</v>
      </c>
      <c r="AJ44" s="46">
        <f t="shared" si="19"/>
        <v>274.3</v>
      </c>
      <c r="AK44" s="46">
        <f t="shared" si="17"/>
        <v>257.25999999999931</v>
      </c>
      <c r="AL44" s="46">
        <f t="shared" si="18"/>
        <v>2669.24</v>
      </c>
    </row>
    <row r="45" spans="1:38" x14ac:dyDescent="0.2">
      <c r="A45" s="43" t="s">
        <v>198</v>
      </c>
      <c r="B45" s="44">
        <f t="shared" si="12"/>
        <v>10266.15</v>
      </c>
      <c r="C45" s="44">
        <f t="shared" si="0"/>
        <v>135.16999999999999</v>
      </c>
      <c r="D45" s="44">
        <f t="shared" si="1"/>
        <v>962.15</v>
      </c>
      <c r="E45" s="44">
        <f t="shared" si="2"/>
        <v>0</v>
      </c>
      <c r="F45" s="44">
        <f t="shared" si="3"/>
        <v>1394.28</v>
      </c>
      <c r="G45" s="44">
        <f t="shared" si="4"/>
        <v>613.62</v>
      </c>
      <c r="H45" s="44">
        <f t="shared" si="5"/>
        <v>7900.94</v>
      </c>
      <c r="I45" s="44">
        <f t="shared" si="6"/>
        <v>464.5</v>
      </c>
      <c r="J45" s="44">
        <f t="shared" si="7"/>
        <v>435.89</v>
      </c>
      <c r="K45" s="44">
        <f t="shared" si="8"/>
        <v>2845.13</v>
      </c>
      <c r="L45" s="44">
        <f t="shared" si="9"/>
        <v>2668.2699999999968</v>
      </c>
      <c r="M45" s="44">
        <f>ROUND('2026 COB breakdown_Kris'!M44,2)</f>
        <v>27686.1</v>
      </c>
      <c r="N45" s="45">
        <f>'OP8 part 1 analysis'!G61</f>
        <v>0</v>
      </c>
      <c r="O45" s="258">
        <f t="shared" si="20"/>
        <v>10266.15</v>
      </c>
      <c r="P45" s="46">
        <f t="shared" si="20"/>
        <v>135.16999999999999</v>
      </c>
      <c r="Q45" s="46">
        <f t="shared" si="20"/>
        <v>962.15</v>
      </c>
      <c r="R45" s="46">
        <f t="shared" si="20"/>
        <v>0</v>
      </c>
      <c r="S45" s="46">
        <f t="shared" si="20"/>
        <v>1394.28</v>
      </c>
      <c r="T45" s="46">
        <f t="shared" si="20"/>
        <v>613.62</v>
      </c>
      <c r="U45" s="46">
        <f t="shared" si="20"/>
        <v>7900.94</v>
      </c>
      <c r="V45" s="46">
        <f t="shared" si="20"/>
        <v>464.5</v>
      </c>
      <c r="W45" s="46">
        <f t="shared" si="20"/>
        <v>435.89</v>
      </c>
      <c r="X45" s="46">
        <f t="shared" si="20"/>
        <v>2845.13</v>
      </c>
      <c r="Y45" s="46">
        <f t="shared" si="14"/>
        <v>2668.2699999999968</v>
      </c>
      <c r="Z45" s="46">
        <f t="shared" si="15"/>
        <v>27686.1</v>
      </c>
      <c r="AA45" s="258">
        <f t="shared" si="16"/>
        <v>0</v>
      </c>
      <c r="AB45" s="46">
        <f t="shared" si="19"/>
        <v>0</v>
      </c>
      <c r="AC45" s="46">
        <f t="shared" si="19"/>
        <v>0</v>
      </c>
      <c r="AD45" s="46">
        <f t="shared" si="19"/>
        <v>0</v>
      </c>
      <c r="AE45" s="46">
        <f t="shared" si="19"/>
        <v>0</v>
      </c>
      <c r="AF45" s="46">
        <f t="shared" si="19"/>
        <v>0</v>
      </c>
      <c r="AG45" s="46">
        <f t="shared" si="19"/>
        <v>0</v>
      </c>
      <c r="AH45" s="46">
        <f t="shared" si="19"/>
        <v>0</v>
      </c>
      <c r="AI45" s="46">
        <f t="shared" si="19"/>
        <v>0</v>
      </c>
      <c r="AJ45" s="46">
        <f t="shared" si="19"/>
        <v>0</v>
      </c>
      <c r="AK45" s="46">
        <f t="shared" si="17"/>
        <v>0</v>
      </c>
      <c r="AL45" s="46">
        <f t="shared" si="18"/>
        <v>0</v>
      </c>
    </row>
    <row r="46" spans="1:38" x14ac:dyDescent="0.2">
      <c r="A46" s="43" t="s">
        <v>199</v>
      </c>
      <c r="B46" s="44">
        <f t="shared" si="12"/>
        <v>7564.79</v>
      </c>
      <c r="C46" s="44">
        <f t="shared" si="0"/>
        <v>99.61</v>
      </c>
      <c r="D46" s="44">
        <f t="shared" si="1"/>
        <v>708.98</v>
      </c>
      <c r="E46" s="44">
        <f t="shared" si="2"/>
        <v>0</v>
      </c>
      <c r="F46" s="44">
        <f t="shared" si="3"/>
        <v>1027.4000000000001</v>
      </c>
      <c r="G46" s="44">
        <f t="shared" si="4"/>
        <v>452.16</v>
      </c>
      <c r="H46" s="44">
        <f t="shared" si="5"/>
        <v>5821.95</v>
      </c>
      <c r="I46" s="44">
        <f t="shared" si="6"/>
        <v>342.28</v>
      </c>
      <c r="J46" s="44">
        <f t="shared" si="7"/>
        <v>321.19</v>
      </c>
      <c r="K46" s="44">
        <f t="shared" si="8"/>
        <v>2096.4899999999998</v>
      </c>
      <c r="L46" s="44">
        <f t="shared" si="9"/>
        <v>1966.1399999999994</v>
      </c>
      <c r="M46" s="44">
        <f>ROUND('2026 COB breakdown_Kris'!M45,2)</f>
        <v>20400.990000000002</v>
      </c>
      <c r="N46" s="45">
        <f>'OP8 part 1 analysis'!G62</f>
        <v>0.53987730061349692</v>
      </c>
      <c r="O46" s="258">
        <f t="shared" si="20"/>
        <v>3480.73</v>
      </c>
      <c r="P46" s="46">
        <f t="shared" si="20"/>
        <v>45.83</v>
      </c>
      <c r="Q46" s="46">
        <f t="shared" si="20"/>
        <v>326.22000000000003</v>
      </c>
      <c r="R46" s="46">
        <f t="shared" si="20"/>
        <v>0</v>
      </c>
      <c r="S46" s="46">
        <f t="shared" si="20"/>
        <v>472.73</v>
      </c>
      <c r="T46" s="46">
        <f t="shared" si="20"/>
        <v>208.05</v>
      </c>
      <c r="U46" s="46">
        <f t="shared" si="20"/>
        <v>2678.81</v>
      </c>
      <c r="V46" s="46">
        <f t="shared" si="20"/>
        <v>157.49</v>
      </c>
      <c r="W46" s="46">
        <f t="shared" si="20"/>
        <v>147.79</v>
      </c>
      <c r="X46" s="46">
        <f t="shared" si="20"/>
        <v>964.64</v>
      </c>
      <c r="Y46" s="46">
        <f t="shared" si="14"/>
        <v>904.67000000000007</v>
      </c>
      <c r="Z46" s="46">
        <f t="shared" si="15"/>
        <v>9386.9600000000009</v>
      </c>
      <c r="AA46" s="258">
        <f t="shared" si="16"/>
        <v>4084.06</v>
      </c>
      <c r="AB46" s="46">
        <f t="shared" si="19"/>
        <v>53.78</v>
      </c>
      <c r="AC46" s="46">
        <f t="shared" si="19"/>
        <v>382.76</v>
      </c>
      <c r="AD46" s="46">
        <f t="shared" si="19"/>
        <v>0</v>
      </c>
      <c r="AE46" s="46">
        <f t="shared" si="19"/>
        <v>554.66999999999996</v>
      </c>
      <c r="AF46" s="46">
        <f t="shared" si="19"/>
        <v>244.11</v>
      </c>
      <c r="AG46" s="46">
        <f t="shared" si="19"/>
        <v>3143.14</v>
      </c>
      <c r="AH46" s="46">
        <f t="shared" si="19"/>
        <v>184.79</v>
      </c>
      <c r="AI46" s="46">
        <f t="shared" si="19"/>
        <v>173.4</v>
      </c>
      <c r="AJ46" s="46">
        <f t="shared" si="19"/>
        <v>1131.8499999999999</v>
      </c>
      <c r="AK46" s="46">
        <f t="shared" si="17"/>
        <v>1061.4699999999993</v>
      </c>
      <c r="AL46" s="46">
        <f t="shared" si="18"/>
        <v>11014.03</v>
      </c>
    </row>
    <row r="47" spans="1:38" x14ac:dyDescent="0.2">
      <c r="A47" s="43" t="s">
        <v>200</v>
      </c>
      <c r="B47" s="44">
        <f t="shared" si="12"/>
        <v>13126.5</v>
      </c>
      <c r="C47" s="44">
        <f t="shared" si="0"/>
        <v>172.83</v>
      </c>
      <c r="D47" s="44">
        <f t="shared" si="1"/>
        <v>1230.22</v>
      </c>
      <c r="E47" s="44">
        <f t="shared" si="2"/>
        <v>0</v>
      </c>
      <c r="F47" s="44">
        <f t="shared" si="3"/>
        <v>1782.75</v>
      </c>
      <c r="G47" s="44">
        <f t="shared" si="4"/>
        <v>784.59</v>
      </c>
      <c r="H47" s="44">
        <f t="shared" si="5"/>
        <v>10102.299999999999</v>
      </c>
      <c r="I47" s="44">
        <f t="shared" si="6"/>
        <v>593.91999999999996</v>
      </c>
      <c r="J47" s="44">
        <f t="shared" si="7"/>
        <v>557.34</v>
      </c>
      <c r="K47" s="44">
        <f t="shared" si="8"/>
        <v>3637.84</v>
      </c>
      <c r="L47" s="44">
        <f t="shared" si="9"/>
        <v>3411.7100000000028</v>
      </c>
      <c r="M47" s="44">
        <f>ROUND('2026 COB breakdown_Kris'!M46,2)</f>
        <v>35400</v>
      </c>
      <c r="N47" s="45">
        <f>'OP8 part 1 analysis'!G63</f>
        <v>0</v>
      </c>
      <c r="O47" s="258">
        <f t="shared" si="20"/>
        <v>13126.5</v>
      </c>
      <c r="P47" s="46">
        <f t="shared" si="20"/>
        <v>172.83</v>
      </c>
      <c r="Q47" s="46">
        <f t="shared" si="20"/>
        <v>1230.22</v>
      </c>
      <c r="R47" s="46">
        <f t="shared" si="20"/>
        <v>0</v>
      </c>
      <c r="S47" s="46">
        <f t="shared" si="20"/>
        <v>1782.75</v>
      </c>
      <c r="T47" s="46">
        <f t="shared" si="20"/>
        <v>784.59</v>
      </c>
      <c r="U47" s="46">
        <f t="shared" si="20"/>
        <v>10102.299999999999</v>
      </c>
      <c r="V47" s="46">
        <f t="shared" si="20"/>
        <v>593.91999999999996</v>
      </c>
      <c r="W47" s="46">
        <f t="shared" si="20"/>
        <v>557.34</v>
      </c>
      <c r="X47" s="46">
        <f t="shared" si="20"/>
        <v>3637.84</v>
      </c>
      <c r="Y47" s="46">
        <f t="shared" si="14"/>
        <v>3411.7100000000028</v>
      </c>
      <c r="Z47" s="46">
        <f t="shared" si="15"/>
        <v>35400</v>
      </c>
      <c r="AA47" s="258">
        <f t="shared" si="16"/>
        <v>0</v>
      </c>
      <c r="AB47" s="46">
        <f t="shared" si="19"/>
        <v>0</v>
      </c>
      <c r="AC47" s="46">
        <f t="shared" si="19"/>
        <v>0</v>
      </c>
      <c r="AD47" s="46">
        <f t="shared" si="19"/>
        <v>0</v>
      </c>
      <c r="AE47" s="46">
        <f t="shared" si="19"/>
        <v>0</v>
      </c>
      <c r="AF47" s="46">
        <f t="shared" si="19"/>
        <v>0</v>
      </c>
      <c r="AG47" s="46">
        <f t="shared" si="19"/>
        <v>0</v>
      </c>
      <c r="AH47" s="46">
        <f t="shared" ref="AB47:AJ75" si="21">ROUND($AL47*AH$4,2)</f>
        <v>0</v>
      </c>
      <c r="AI47" s="46">
        <f t="shared" si="21"/>
        <v>0</v>
      </c>
      <c r="AJ47" s="46">
        <f t="shared" si="21"/>
        <v>0</v>
      </c>
      <c r="AK47" s="46">
        <f t="shared" si="17"/>
        <v>0</v>
      </c>
      <c r="AL47" s="46">
        <f t="shared" si="18"/>
        <v>0</v>
      </c>
    </row>
    <row r="48" spans="1:38" x14ac:dyDescent="0.2">
      <c r="A48" s="43" t="s">
        <v>201</v>
      </c>
      <c r="B48" s="44">
        <f t="shared" si="12"/>
        <v>10150.800000000001</v>
      </c>
      <c r="C48" s="44">
        <f t="shared" si="0"/>
        <v>133.66</v>
      </c>
      <c r="D48" s="44">
        <f t="shared" si="1"/>
        <v>951.34</v>
      </c>
      <c r="E48" s="44">
        <f t="shared" si="2"/>
        <v>0</v>
      </c>
      <c r="F48" s="44">
        <f t="shared" si="3"/>
        <v>1378.61</v>
      </c>
      <c r="G48" s="44">
        <f t="shared" si="4"/>
        <v>606.73</v>
      </c>
      <c r="H48" s="44">
        <f t="shared" si="5"/>
        <v>7812.17</v>
      </c>
      <c r="I48" s="44">
        <f t="shared" si="6"/>
        <v>459.28000000000003</v>
      </c>
      <c r="J48" s="44">
        <f t="shared" si="7"/>
        <v>430.98999999999995</v>
      </c>
      <c r="K48" s="44">
        <f t="shared" si="8"/>
        <v>2813.16</v>
      </c>
      <c r="L48" s="44">
        <f t="shared" si="9"/>
        <v>2638.2699999999991</v>
      </c>
      <c r="M48" s="44">
        <f>ROUND('2026 COB breakdown_Kris'!M47,2)</f>
        <v>27375.01</v>
      </c>
      <c r="N48" s="45">
        <f>'OP8 part 1 analysis'!G64</f>
        <v>9.3778639783456599E-4</v>
      </c>
      <c r="O48" s="258">
        <f t="shared" si="20"/>
        <v>10141.280000000001</v>
      </c>
      <c r="P48" s="46">
        <f t="shared" si="20"/>
        <v>133.53</v>
      </c>
      <c r="Q48" s="46">
        <f t="shared" si="20"/>
        <v>950.45</v>
      </c>
      <c r="R48" s="46">
        <f t="shared" si="20"/>
        <v>0</v>
      </c>
      <c r="S48" s="46">
        <f t="shared" si="20"/>
        <v>1377.32</v>
      </c>
      <c r="T48" s="46">
        <f t="shared" si="20"/>
        <v>606.16</v>
      </c>
      <c r="U48" s="46">
        <f t="shared" si="20"/>
        <v>7804.84</v>
      </c>
      <c r="V48" s="46">
        <f t="shared" si="20"/>
        <v>458.85</v>
      </c>
      <c r="W48" s="46">
        <f t="shared" si="20"/>
        <v>430.59</v>
      </c>
      <c r="X48" s="46">
        <f t="shared" si="20"/>
        <v>2810.52</v>
      </c>
      <c r="Y48" s="46">
        <f t="shared" si="14"/>
        <v>2635.7999999999993</v>
      </c>
      <c r="Z48" s="46">
        <f t="shared" si="15"/>
        <v>27349.34</v>
      </c>
      <c r="AA48" s="258">
        <f t="shared" si="16"/>
        <v>9.52</v>
      </c>
      <c r="AB48" s="46">
        <f t="shared" si="21"/>
        <v>0.13</v>
      </c>
      <c r="AC48" s="46">
        <f t="shared" si="21"/>
        <v>0.89</v>
      </c>
      <c r="AD48" s="46">
        <f t="shared" si="21"/>
        <v>0</v>
      </c>
      <c r="AE48" s="46">
        <f t="shared" si="21"/>
        <v>1.29</v>
      </c>
      <c r="AF48" s="46">
        <f t="shared" si="21"/>
        <v>0.56999999999999995</v>
      </c>
      <c r="AG48" s="46">
        <f t="shared" si="21"/>
        <v>7.33</v>
      </c>
      <c r="AH48" s="46">
        <f t="shared" si="21"/>
        <v>0.43</v>
      </c>
      <c r="AI48" s="46">
        <f t="shared" si="21"/>
        <v>0.4</v>
      </c>
      <c r="AJ48" s="46">
        <f t="shared" si="21"/>
        <v>2.64</v>
      </c>
      <c r="AK48" s="46">
        <f t="shared" si="17"/>
        <v>2.4699999999999989</v>
      </c>
      <c r="AL48" s="46">
        <f t="shared" si="18"/>
        <v>25.67</v>
      </c>
    </row>
    <row r="49" spans="1:38" x14ac:dyDescent="0.2">
      <c r="A49" s="43" t="s">
        <v>202</v>
      </c>
      <c r="B49" s="44">
        <f t="shared" si="12"/>
        <v>7462.45</v>
      </c>
      <c r="C49" s="44">
        <f t="shared" si="0"/>
        <v>98.259999999999991</v>
      </c>
      <c r="D49" s="44">
        <f t="shared" si="1"/>
        <v>699.38</v>
      </c>
      <c r="E49" s="44">
        <f t="shared" si="2"/>
        <v>0</v>
      </c>
      <c r="F49" s="44">
        <f t="shared" si="3"/>
        <v>1013.49</v>
      </c>
      <c r="G49" s="44">
        <f t="shared" si="4"/>
        <v>446.03999999999996</v>
      </c>
      <c r="H49" s="44">
        <f t="shared" si="5"/>
        <v>5743.1900000000005</v>
      </c>
      <c r="I49" s="44">
        <f t="shared" si="6"/>
        <v>337.65</v>
      </c>
      <c r="J49" s="44">
        <f t="shared" si="7"/>
        <v>316.85000000000002</v>
      </c>
      <c r="K49" s="44">
        <f t="shared" si="8"/>
        <v>2068.12</v>
      </c>
      <c r="L49" s="44">
        <f t="shared" si="9"/>
        <v>1939.5699999999979</v>
      </c>
      <c r="M49" s="44">
        <f>ROUND('2026 COB breakdown_Kris'!M48,2)</f>
        <v>20125</v>
      </c>
      <c r="N49" s="45">
        <f>'OP8 part 1 analysis'!G65</f>
        <v>0.53987730061349692</v>
      </c>
      <c r="O49" s="258">
        <f t="shared" si="20"/>
        <v>3433.64</v>
      </c>
      <c r="P49" s="46">
        <f t="shared" si="20"/>
        <v>45.21</v>
      </c>
      <c r="Q49" s="46">
        <f t="shared" si="20"/>
        <v>321.8</v>
      </c>
      <c r="R49" s="46">
        <f t="shared" si="20"/>
        <v>0</v>
      </c>
      <c r="S49" s="46">
        <f t="shared" si="20"/>
        <v>466.33</v>
      </c>
      <c r="T49" s="46">
        <f t="shared" si="20"/>
        <v>205.23</v>
      </c>
      <c r="U49" s="46">
        <f t="shared" si="20"/>
        <v>2642.57</v>
      </c>
      <c r="V49" s="46">
        <f t="shared" si="20"/>
        <v>155.36000000000001</v>
      </c>
      <c r="W49" s="46">
        <f t="shared" si="20"/>
        <v>145.79</v>
      </c>
      <c r="X49" s="46">
        <f t="shared" si="20"/>
        <v>951.59</v>
      </c>
      <c r="Y49" s="46">
        <f t="shared" si="14"/>
        <v>892.44999999999891</v>
      </c>
      <c r="Z49" s="46">
        <f t="shared" si="15"/>
        <v>9259.9699999999993</v>
      </c>
      <c r="AA49" s="258">
        <f t="shared" si="16"/>
        <v>4028.81</v>
      </c>
      <c r="AB49" s="46">
        <f t="shared" si="21"/>
        <v>53.05</v>
      </c>
      <c r="AC49" s="46">
        <f t="shared" si="21"/>
        <v>377.58</v>
      </c>
      <c r="AD49" s="46">
        <f t="shared" si="21"/>
        <v>0</v>
      </c>
      <c r="AE49" s="46">
        <f t="shared" si="21"/>
        <v>547.16</v>
      </c>
      <c r="AF49" s="46">
        <f t="shared" si="21"/>
        <v>240.81</v>
      </c>
      <c r="AG49" s="46">
        <f t="shared" si="21"/>
        <v>3100.62</v>
      </c>
      <c r="AH49" s="46">
        <f t="shared" si="21"/>
        <v>182.29</v>
      </c>
      <c r="AI49" s="46">
        <f t="shared" si="21"/>
        <v>171.06</v>
      </c>
      <c r="AJ49" s="46">
        <f t="shared" si="21"/>
        <v>1116.53</v>
      </c>
      <c r="AK49" s="46">
        <f t="shared" si="17"/>
        <v>1047.119999999999</v>
      </c>
      <c r="AL49" s="46">
        <f t="shared" si="18"/>
        <v>10865.03</v>
      </c>
    </row>
    <row r="50" spans="1:38" x14ac:dyDescent="0.2">
      <c r="A50" s="43" t="s">
        <v>203</v>
      </c>
      <c r="B50" s="44">
        <f t="shared" si="12"/>
        <v>6340.77</v>
      </c>
      <c r="C50" s="44">
        <f t="shared" si="0"/>
        <v>83.490000000000009</v>
      </c>
      <c r="D50" s="44">
        <f t="shared" si="1"/>
        <v>594.26</v>
      </c>
      <c r="E50" s="44">
        <f t="shared" si="2"/>
        <v>0</v>
      </c>
      <c r="F50" s="44">
        <f t="shared" si="3"/>
        <v>861.16</v>
      </c>
      <c r="G50" s="44">
        <f t="shared" si="4"/>
        <v>379</v>
      </c>
      <c r="H50" s="44">
        <f t="shared" si="5"/>
        <v>4879.93</v>
      </c>
      <c r="I50" s="44">
        <f t="shared" si="6"/>
        <v>286.89</v>
      </c>
      <c r="J50" s="44">
        <f t="shared" si="7"/>
        <v>269.23</v>
      </c>
      <c r="K50" s="44">
        <f t="shared" si="8"/>
        <v>1757.26</v>
      </c>
      <c r="L50" s="44">
        <f t="shared" si="9"/>
        <v>1648.0099999999993</v>
      </c>
      <c r="M50" s="44">
        <f>ROUND('2026 COB breakdown_Kris'!M49,2)</f>
        <v>17100</v>
      </c>
      <c r="N50" s="45">
        <f>'OP8 part 1 analysis'!G66</f>
        <v>0.58942400019269703</v>
      </c>
      <c r="O50" s="258">
        <f t="shared" si="20"/>
        <v>2603.37</v>
      </c>
      <c r="P50" s="46">
        <f t="shared" si="20"/>
        <v>34.28</v>
      </c>
      <c r="Q50" s="46">
        <f t="shared" si="20"/>
        <v>243.99</v>
      </c>
      <c r="R50" s="46">
        <f t="shared" si="20"/>
        <v>0</v>
      </c>
      <c r="S50" s="46">
        <f t="shared" si="20"/>
        <v>353.57</v>
      </c>
      <c r="T50" s="46">
        <f t="shared" si="20"/>
        <v>155.61000000000001</v>
      </c>
      <c r="U50" s="46">
        <f t="shared" si="20"/>
        <v>2003.58</v>
      </c>
      <c r="V50" s="46">
        <f t="shared" si="20"/>
        <v>117.79</v>
      </c>
      <c r="W50" s="46">
        <f t="shared" si="20"/>
        <v>110.54</v>
      </c>
      <c r="X50" s="46">
        <f t="shared" si="20"/>
        <v>721.49</v>
      </c>
      <c r="Y50" s="46">
        <f t="shared" si="14"/>
        <v>676.63000000000011</v>
      </c>
      <c r="Z50" s="46">
        <f t="shared" si="15"/>
        <v>7020.85</v>
      </c>
      <c r="AA50" s="258">
        <f t="shared" si="16"/>
        <v>3737.4</v>
      </c>
      <c r="AB50" s="46">
        <f t="shared" si="21"/>
        <v>49.21</v>
      </c>
      <c r="AC50" s="46">
        <f t="shared" si="21"/>
        <v>350.27</v>
      </c>
      <c r="AD50" s="46">
        <f t="shared" si="21"/>
        <v>0</v>
      </c>
      <c r="AE50" s="46">
        <f t="shared" si="21"/>
        <v>507.59</v>
      </c>
      <c r="AF50" s="46">
        <f t="shared" si="21"/>
        <v>223.39</v>
      </c>
      <c r="AG50" s="46">
        <f t="shared" si="21"/>
        <v>2876.35</v>
      </c>
      <c r="AH50" s="46">
        <f t="shared" si="21"/>
        <v>169.1</v>
      </c>
      <c r="AI50" s="46">
        <f t="shared" si="21"/>
        <v>158.69</v>
      </c>
      <c r="AJ50" s="46">
        <f t="shared" si="21"/>
        <v>1035.77</v>
      </c>
      <c r="AK50" s="46">
        <f t="shared" si="17"/>
        <v>971.3799999999992</v>
      </c>
      <c r="AL50" s="46">
        <f t="shared" si="18"/>
        <v>10079.15</v>
      </c>
    </row>
    <row r="51" spans="1:38" x14ac:dyDescent="0.2">
      <c r="A51" s="43" t="s">
        <v>204</v>
      </c>
      <c r="B51" s="44">
        <f t="shared" si="12"/>
        <v>9419.19</v>
      </c>
      <c r="C51" s="44">
        <f t="shared" si="0"/>
        <v>124.02</v>
      </c>
      <c r="D51" s="44">
        <f t="shared" si="1"/>
        <v>882.77</v>
      </c>
      <c r="E51" s="44">
        <f t="shared" si="2"/>
        <v>0</v>
      </c>
      <c r="F51" s="44">
        <f t="shared" si="3"/>
        <v>1279.25</v>
      </c>
      <c r="G51" s="44">
        <f t="shared" si="4"/>
        <v>563</v>
      </c>
      <c r="H51" s="44">
        <f t="shared" si="5"/>
        <v>7249.1100000000006</v>
      </c>
      <c r="I51" s="44">
        <f t="shared" si="6"/>
        <v>426.18999999999994</v>
      </c>
      <c r="J51" s="44">
        <f t="shared" si="7"/>
        <v>399.92999999999995</v>
      </c>
      <c r="K51" s="44">
        <f t="shared" si="8"/>
        <v>2610.4</v>
      </c>
      <c r="L51" s="44">
        <f t="shared" si="9"/>
        <v>2448.1400000000003</v>
      </c>
      <c r="M51" s="44">
        <f>ROUND('2026 COB breakdown_Kris'!M50,2)</f>
        <v>25402</v>
      </c>
      <c r="N51" s="45">
        <f>'OP8 part 1 analysis'!G67</f>
        <v>0.69987995198079234</v>
      </c>
      <c r="O51" s="258">
        <f t="shared" si="20"/>
        <v>2826.89</v>
      </c>
      <c r="P51" s="46">
        <f t="shared" si="20"/>
        <v>37.22</v>
      </c>
      <c r="Q51" s="46">
        <f t="shared" si="20"/>
        <v>264.94</v>
      </c>
      <c r="R51" s="46">
        <f t="shared" si="20"/>
        <v>0</v>
      </c>
      <c r="S51" s="46">
        <f t="shared" si="20"/>
        <v>383.93</v>
      </c>
      <c r="T51" s="46">
        <f t="shared" si="20"/>
        <v>168.97</v>
      </c>
      <c r="U51" s="46">
        <f t="shared" si="20"/>
        <v>2175.6</v>
      </c>
      <c r="V51" s="46">
        <f t="shared" si="20"/>
        <v>127.91</v>
      </c>
      <c r="W51" s="46">
        <f t="shared" si="20"/>
        <v>120.03</v>
      </c>
      <c r="X51" s="46">
        <f t="shared" si="20"/>
        <v>783.43</v>
      </c>
      <c r="Y51" s="46">
        <f t="shared" si="14"/>
        <v>734.73000000000229</v>
      </c>
      <c r="Z51" s="46">
        <f t="shared" si="15"/>
        <v>7623.6500000000015</v>
      </c>
      <c r="AA51" s="258">
        <f t="shared" si="16"/>
        <v>6592.3</v>
      </c>
      <c r="AB51" s="46">
        <f t="shared" si="21"/>
        <v>86.8</v>
      </c>
      <c r="AC51" s="46">
        <f t="shared" si="21"/>
        <v>617.83000000000004</v>
      </c>
      <c r="AD51" s="46">
        <f t="shared" si="21"/>
        <v>0</v>
      </c>
      <c r="AE51" s="46">
        <f t="shared" si="21"/>
        <v>895.32</v>
      </c>
      <c r="AF51" s="46">
        <f t="shared" si="21"/>
        <v>394.03</v>
      </c>
      <c r="AG51" s="46">
        <f t="shared" si="21"/>
        <v>5073.51</v>
      </c>
      <c r="AH51" s="46">
        <f t="shared" si="21"/>
        <v>298.27999999999997</v>
      </c>
      <c r="AI51" s="46">
        <f t="shared" si="21"/>
        <v>279.89999999999998</v>
      </c>
      <c r="AJ51" s="46">
        <f t="shared" si="21"/>
        <v>1826.97</v>
      </c>
      <c r="AK51" s="46">
        <f t="shared" si="17"/>
        <v>1713.409999999998</v>
      </c>
      <c r="AL51" s="46">
        <f t="shared" si="18"/>
        <v>17778.349999999999</v>
      </c>
    </row>
    <row r="52" spans="1:38" x14ac:dyDescent="0.2">
      <c r="A52" s="43" t="s">
        <v>132</v>
      </c>
      <c r="B52" s="44">
        <f t="shared" si="12"/>
        <v>0</v>
      </c>
      <c r="C52" s="44">
        <f t="shared" si="0"/>
        <v>0</v>
      </c>
      <c r="D52" s="44">
        <f t="shared" si="1"/>
        <v>0</v>
      </c>
      <c r="E52" s="44">
        <f t="shared" si="2"/>
        <v>0</v>
      </c>
      <c r="F52" s="44">
        <f t="shared" si="3"/>
        <v>0</v>
      </c>
      <c r="G52" s="44">
        <f t="shared" si="4"/>
        <v>0</v>
      </c>
      <c r="H52" s="44">
        <f t="shared" si="5"/>
        <v>0</v>
      </c>
      <c r="I52" s="44">
        <f t="shared" si="6"/>
        <v>0</v>
      </c>
      <c r="J52" s="44">
        <f t="shared" si="7"/>
        <v>0</v>
      </c>
      <c r="K52" s="44">
        <f t="shared" si="8"/>
        <v>0</v>
      </c>
      <c r="L52" s="44">
        <f t="shared" si="9"/>
        <v>0</v>
      </c>
      <c r="M52" s="44">
        <f>ROUND('2026 COB breakdown_Kris'!M51,2)</f>
        <v>0</v>
      </c>
      <c r="N52" s="45">
        <f>'OP8 part 1 analysis'!G68</f>
        <v>0.88</v>
      </c>
      <c r="O52" s="258">
        <f t="shared" si="20"/>
        <v>0</v>
      </c>
      <c r="P52" s="46">
        <f t="shared" si="20"/>
        <v>0</v>
      </c>
      <c r="Q52" s="46">
        <f t="shared" si="20"/>
        <v>0</v>
      </c>
      <c r="R52" s="46">
        <f t="shared" si="20"/>
        <v>0</v>
      </c>
      <c r="S52" s="46">
        <f t="shared" si="20"/>
        <v>0</v>
      </c>
      <c r="T52" s="46">
        <f t="shared" si="20"/>
        <v>0</v>
      </c>
      <c r="U52" s="46">
        <f t="shared" si="20"/>
        <v>0</v>
      </c>
      <c r="V52" s="46">
        <f t="shared" si="20"/>
        <v>0</v>
      </c>
      <c r="W52" s="46">
        <f t="shared" si="20"/>
        <v>0</v>
      </c>
      <c r="X52" s="46">
        <f t="shared" si="20"/>
        <v>0</v>
      </c>
      <c r="Y52" s="46">
        <f t="shared" si="14"/>
        <v>0</v>
      </c>
      <c r="Z52" s="46">
        <f t="shared" si="15"/>
        <v>0</v>
      </c>
      <c r="AA52" s="258">
        <f t="shared" si="16"/>
        <v>0</v>
      </c>
      <c r="AB52" s="46">
        <f t="shared" si="21"/>
        <v>0</v>
      </c>
      <c r="AC52" s="46">
        <f t="shared" si="21"/>
        <v>0</v>
      </c>
      <c r="AD52" s="46">
        <f t="shared" si="21"/>
        <v>0</v>
      </c>
      <c r="AE52" s="46">
        <f t="shared" si="21"/>
        <v>0</v>
      </c>
      <c r="AF52" s="46">
        <f t="shared" si="21"/>
        <v>0</v>
      </c>
      <c r="AG52" s="46">
        <f t="shared" si="21"/>
        <v>0</v>
      </c>
      <c r="AH52" s="46">
        <f t="shared" si="21"/>
        <v>0</v>
      </c>
      <c r="AI52" s="46">
        <f t="shared" si="21"/>
        <v>0</v>
      </c>
      <c r="AJ52" s="46">
        <f t="shared" si="21"/>
        <v>0</v>
      </c>
      <c r="AK52" s="46">
        <f t="shared" si="17"/>
        <v>0</v>
      </c>
      <c r="AL52" s="46">
        <f t="shared" si="18"/>
        <v>0</v>
      </c>
    </row>
    <row r="53" spans="1:38" x14ac:dyDescent="0.2">
      <c r="A53" s="43" t="s">
        <v>205</v>
      </c>
      <c r="B53" s="44">
        <f t="shared" si="12"/>
        <v>5069.5599999999995</v>
      </c>
      <c r="C53" s="44">
        <f t="shared" si="0"/>
        <v>66.75</v>
      </c>
      <c r="D53" s="44">
        <f t="shared" si="1"/>
        <v>475.12</v>
      </c>
      <c r="E53" s="44">
        <f t="shared" si="2"/>
        <v>0</v>
      </c>
      <c r="F53" s="44">
        <f t="shared" si="3"/>
        <v>688.51</v>
      </c>
      <c r="G53" s="44">
        <f t="shared" si="4"/>
        <v>303.01</v>
      </c>
      <c r="H53" s="44">
        <f t="shared" si="5"/>
        <v>3901.59</v>
      </c>
      <c r="I53" s="44">
        <f t="shared" si="6"/>
        <v>229.38</v>
      </c>
      <c r="J53" s="44">
        <f t="shared" si="7"/>
        <v>215.25</v>
      </c>
      <c r="K53" s="44">
        <f t="shared" si="8"/>
        <v>1404.96</v>
      </c>
      <c r="L53" s="44">
        <f t="shared" si="9"/>
        <v>1317.6299999999983</v>
      </c>
      <c r="M53" s="44">
        <f>ROUND('2026 COB breakdown_Kris'!M52,2)</f>
        <v>13671.76</v>
      </c>
      <c r="N53" s="45">
        <f>'OP8 part 1 analysis'!G69</f>
        <v>0.62677282906195564</v>
      </c>
      <c r="O53" s="258">
        <f t="shared" si="20"/>
        <v>1892.1</v>
      </c>
      <c r="P53" s="46">
        <f t="shared" si="20"/>
        <v>24.91</v>
      </c>
      <c r="Q53" s="46">
        <f t="shared" si="20"/>
        <v>177.33</v>
      </c>
      <c r="R53" s="46">
        <f t="shared" si="20"/>
        <v>0</v>
      </c>
      <c r="S53" s="46">
        <f t="shared" si="20"/>
        <v>256.97000000000003</v>
      </c>
      <c r="T53" s="46">
        <f t="shared" si="20"/>
        <v>113.09</v>
      </c>
      <c r="U53" s="46">
        <f t="shared" si="20"/>
        <v>1456.18</v>
      </c>
      <c r="V53" s="46">
        <f t="shared" si="20"/>
        <v>85.61</v>
      </c>
      <c r="W53" s="46">
        <f t="shared" si="20"/>
        <v>80.34</v>
      </c>
      <c r="X53" s="46">
        <f t="shared" si="20"/>
        <v>524.37</v>
      </c>
      <c r="Y53" s="46">
        <f t="shared" si="14"/>
        <v>491.76999999999862</v>
      </c>
      <c r="Z53" s="46">
        <f t="shared" si="15"/>
        <v>5102.67</v>
      </c>
      <c r="AA53" s="258">
        <f t="shared" si="16"/>
        <v>3177.46</v>
      </c>
      <c r="AB53" s="46">
        <f t="shared" si="21"/>
        <v>41.84</v>
      </c>
      <c r="AC53" s="46">
        <f t="shared" si="21"/>
        <v>297.79000000000002</v>
      </c>
      <c r="AD53" s="46">
        <f t="shared" si="21"/>
        <v>0</v>
      </c>
      <c r="AE53" s="46">
        <f t="shared" si="21"/>
        <v>431.54</v>
      </c>
      <c r="AF53" s="46">
        <f t="shared" si="21"/>
        <v>189.92</v>
      </c>
      <c r="AG53" s="46">
        <f t="shared" si="21"/>
        <v>2445.41</v>
      </c>
      <c r="AH53" s="46">
        <f t="shared" si="21"/>
        <v>143.77000000000001</v>
      </c>
      <c r="AI53" s="46">
        <f t="shared" si="21"/>
        <v>134.91</v>
      </c>
      <c r="AJ53" s="46">
        <f t="shared" si="21"/>
        <v>880.59</v>
      </c>
      <c r="AK53" s="46">
        <f t="shared" si="17"/>
        <v>825.85999999999967</v>
      </c>
      <c r="AL53" s="46">
        <f t="shared" si="18"/>
        <v>8569.09</v>
      </c>
    </row>
    <row r="54" spans="1:38" x14ac:dyDescent="0.2">
      <c r="A54" s="43" t="s">
        <v>206</v>
      </c>
      <c r="B54" s="44">
        <f t="shared" si="12"/>
        <v>8343.86</v>
      </c>
      <c r="C54" s="44">
        <f t="shared" si="0"/>
        <v>109.87</v>
      </c>
      <c r="D54" s="44">
        <f t="shared" si="1"/>
        <v>781.99</v>
      </c>
      <c r="E54" s="44">
        <f t="shared" si="2"/>
        <v>0</v>
      </c>
      <c r="F54" s="44">
        <f t="shared" si="3"/>
        <v>1133.1999999999998</v>
      </c>
      <c r="G54" s="44">
        <f t="shared" si="4"/>
        <v>498.72</v>
      </c>
      <c r="H54" s="44">
        <f t="shared" si="5"/>
        <v>6421.5300000000007</v>
      </c>
      <c r="I54" s="44">
        <f t="shared" si="6"/>
        <v>377.53</v>
      </c>
      <c r="J54" s="44">
        <f t="shared" si="7"/>
        <v>354.27</v>
      </c>
      <c r="K54" s="44">
        <f t="shared" si="8"/>
        <v>2312.39</v>
      </c>
      <c r="L54" s="44">
        <f t="shared" si="9"/>
        <v>2168.6399999999985</v>
      </c>
      <c r="M54" s="44">
        <f>ROUND('2026 COB breakdown_Kris'!M53,2)</f>
        <v>22502</v>
      </c>
      <c r="N54" s="45">
        <f>'OP8 part 1 analysis'!G70</f>
        <v>0.33920704845814975</v>
      </c>
      <c r="O54" s="258">
        <f t="shared" si="20"/>
        <v>5513.56</v>
      </c>
      <c r="P54" s="46">
        <f t="shared" si="20"/>
        <v>72.599999999999994</v>
      </c>
      <c r="Q54" s="46">
        <f t="shared" si="20"/>
        <v>516.73</v>
      </c>
      <c r="R54" s="46">
        <f t="shared" si="20"/>
        <v>0</v>
      </c>
      <c r="S54" s="46">
        <f t="shared" si="20"/>
        <v>748.81</v>
      </c>
      <c r="T54" s="46">
        <f t="shared" si="20"/>
        <v>329.55</v>
      </c>
      <c r="U54" s="46">
        <f t="shared" si="20"/>
        <v>4243.3</v>
      </c>
      <c r="V54" s="46">
        <f t="shared" si="20"/>
        <v>249.47</v>
      </c>
      <c r="W54" s="46">
        <f t="shared" si="20"/>
        <v>234.1</v>
      </c>
      <c r="X54" s="46">
        <f t="shared" si="20"/>
        <v>1528.01</v>
      </c>
      <c r="Y54" s="46">
        <f t="shared" si="14"/>
        <v>1433.0299999999988</v>
      </c>
      <c r="Z54" s="46">
        <f t="shared" si="15"/>
        <v>14869.16</v>
      </c>
      <c r="AA54" s="258">
        <f t="shared" si="16"/>
        <v>2830.3</v>
      </c>
      <c r="AB54" s="46">
        <f t="shared" si="21"/>
        <v>37.270000000000003</v>
      </c>
      <c r="AC54" s="46">
        <f t="shared" si="21"/>
        <v>265.26</v>
      </c>
      <c r="AD54" s="46">
        <f t="shared" si="21"/>
        <v>0</v>
      </c>
      <c r="AE54" s="46">
        <f t="shared" si="21"/>
        <v>384.39</v>
      </c>
      <c r="AF54" s="46">
        <f t="shared" si="21"/>
        <v>169.17</v>
      </c>
      <c r="AG54" s="46">
        <f t="shared" si="21"/>
        <v>2178.23</v>
      </c>
      <c r="AH54" s="46">
        <f t="shared" si="21"/>
        <v>128.06</v>
      </c>
      <c r="AI54" s="46">
        <f t="shared" si="21"/>
        <v>120.17</v>
      </c>
      <c r="AJ54" s="46">
        <f t="shared" si="21"/>
        <v>784.38</v>
      </c>
      <c r="AK54" s="46">
        <f t="shared" si="17"/>
        <v>735.60999999999967</v>
      </c>
      <c r="AL54" s="46">
        <f t="shared" si="18"/>
        <v>7632.84</v>
      </c>
    </row>
    <row r="55" spans="1:38" x14ac:dyDescent="0.2">
      <c r="A55" s="43" t="s">
        <v>207</v>
      </c>
      <c r="B55" s="44">
        <f t="shared" si="12"/>
        <v>14471.78</v>
      </c>
      <c r="C55" s="44">
        <f t="shared" si="0"/>
        <v>190.55</v>
      </c>
      <c r="D55" s="44">
        <f t="shared" si="1"/>
        <v>1356.3</v>
      </c>
      <c r="E55" s="44">
        <f t="shared" si="2"/>
        <v>0</v>
      </c>
      <c r="F55" s="44">
        <f t="shared" si="3"/>
        <v>1965.46</v>
      </c>
      <c r="G55" s="44">
        <f t="shared" si="4"/>
        <v>865</v>
      </c>
      <c r="H55" s="44">
        <f t="shared" si="5"/>
        <v>11137.64</v>
      </c>
      <c r="I55" s="44">
        <f t="shared" si="6"/>
        <v>654.79</v>
      </c>
      <c r="J55" s="44">
        <f t="shared" si="7"/>
        <v>614.46</v>
      </c>
      <c r="K55" s="44">
        <f t="shared" si="8"/>
        <v>4010.66</v>
      </c>
      <c r="L55" s="44">
        <f t="shared" si="9"/>
        <v>3761.3600000000006</v>
      </c>
      <c r="M55" s="44">
        <f>ROUND('2026 COB breakdown_Kris'!M54,2)</f>
        <v>39028</v>
      </c>
      <c r="N55" s="45">
        <f>'OP8 part 1 analysis'!G71</f>
        <v>0</v>
      </c>
      <c r="O55" s="258">
        <f t="shared" si="20"/>
        <v>14471.78</v>
      </c>
      <c r="P55" s="46">
        <f t="shared" si="20"/>
        <v>190.55</v>
      </c>
      <c r="Q55" s="46">
        <f t="shared" si="20"/>
        <v>1356.3</v>
      </c>
      <c r="R55" s="46">
        <f t="shared" si="20"/>
        <v>0</v>
      </c>
      <c r="S55" s="46">
        <f t="shared" si="20"/>
        <v>1965.46</v>
      </c>
      <c r="T55" s="46">
        <f t="shared" si="20"/>
        <v>865</v>
      </c>
      <c r="U55" s="46">
        <f t="shared" si="20"/>
        <v>11137.64</v>
      </c>
      <c r="V55" s="46">
        <f t="shared" si="20"/>
        <v>654.79</v>
      </c>
      <c r="W55" s="46">
        <f t="shared" si="20"/>
        <v>614.46</v>
      </c>
      <c r="X55" s="46">
        <f t="shared" si="20"/>
        <v>4010.66</v>
      </c>
      <c r="Y55" s="46">
        <f t="shared" si="14"/>
        <v>3761.3600000000006</v>
      </c>
      <c r="Z55" s="46">
        <f t="shared" si="15"/>
        <v>39028</v>
      </c>
      <c r="AA55" s="258">
        <f t="shared" si="16"/>
        <v>0</v>
      </c>
      <c r="AB55" s="46">
        <f t="shared" si="21"/>
        <v>0</v>
      </c>
      <c r="AC55" s="46">
        <f t="shared" si="21"/>
        <v>0</v>
      </c>
      <c r="AD55" s="46">
        <f t="shared" si="21"/>
        <v>0</v>
      </c>
      <c r="AE55" s="46">
        <f t="shared" si="21"/>
        <v>0</v>
      </c>
      <c r="AF55" s="46">
        <f t="shared" si="21"/>
        <v>0</v>
      </c>
      <c r="AG55" s="46">
        <f t="shared" si="21"/>
        <v>0</v>
      </c>
      <c r="AH55" s="46">
        <f t="shared" si="21"/>
        <v>0</v>
      </c>
      <c r="AI55" s="46">
        <f t="shared" si="21"/>
        <v>0</v>
      </c>
      <c r="AJ55" s="46">
        <f t="shared" si="21"/>
        <v>0</v>
      </c>
      <c r="AK55" s="46">
        <f t="shared" si="17"/>
        <v>0</v>
      </c>
      <c r="AL55" s="46">
        <f t="shared" si="18"/>
        <v>0</v>
      </c>
    </row>
    <row r="56" spans="1:38" x14ac:dyDescent="0.2">
      <c r="A56" s="43" t="s">
        <v>208</v>
      </c>
      <c r="B56" s="44">
        <f t="shared" si="12"/>
        <v>4964.04</v>
      </c>
      <c r="C56" s="44">
        <f t="shared" si="0"/>
        <v>65.36</v>
      </c>
      <c r="D56" s="44">
        <f t="shared" si="1"/>
        <v>465.23</v>
      </c>
      <c r="E56" s="44">
        <f t="shared" si="2"/>
        <v>0</v>
      </c>
      <c r="F56" s="44">
        <f t="shared" si="3"/>
        <v>674.18000000000006</v>
      </c>
      <c r="G56" s="44">
        <f t="shared" si="4"/>
        <v>296.71000000000004</v>
      </c>
      <c r="H56" s="44">
        <f t="shared" si="5"/>
        <v>3820.3900000000003</v>
      </c>
      <c r="I56" s="44">
        <f t="shared" si="6"/>
        <v>224.61</v>
      </c>
      <c r="J56" s="44">
        <f t="shared" si="7"/>
        <v>210.77</v>
      </c>
      <c r="K56" s="44">
        <f t="shared" si="8"/>
        <v>1375.72</v>
      </c>
      <c r="L56" s="44">
        <f t="shared" si="9"/>
        <v>1290.1900000000005</v>
      </c>
      <c r="M56" s="44">
        <f>ROUND('2026 COB breakdown_Kris'!M55,2)</f>
        <v>13387.2</v>
      </c>
      <c r="N56" s="45">
        <f>'OP8 part 1 analysis'!G72</f>
        <v>0.42246166704822696</v>
      </c>
      <c r="O56" s="258">
        <f t="shared" si="20"/>
        <v>2866.92</v>
      </c>
      <c r="P56" s="46">
        <f t="shared" si="20"/>
        <v>37.75</v>
      </c>
      <c r="Q56" s="46">
        <f t="shared" si="20"/>
        <v>268.69</v>
      </c>
      <c r="R56" s="46">
        <f t="shared" si="20"/>
        <v>0</v>
      </c>
      <c r="S56" s="46">
        <f t="shared" si="20"/>
        <v>389.37</v>
      </c>
      <c r="T56" s="46">
        <f t="shared" si="20"/>
        <v>171.36</v>
      </c>
      <c r="U56" s="46">
        <f t="shared" si="20"/>
        <v>2206.42</v>
      </c>
      <c r="V56" s="46">
        <f t="shared" si="20"/>
        <v>129.72</v>
      </c>
      <c r="W56" s="46">
        <f t="shared" si="20"/>
        <v>121.73</v>
      </c>
      <c r="X56" s="46">
        <f t="shared" si="20"/>
        <v>794.53</v>
      </c>
      <c r="Y56" s="46">
        <f t="shared" si="14"/>
        <v>745.13000000000102</v>
      </c>
      <c r="Z56" s="46">
        <f t="shared" si="15"/>
        <v>7731.6200000000008</v>
      </c>
      <c r="AA56" s="258">
        <f t="shared" si="16"/>
        <v>2097.12</v>
      </c>
      <c r="AB56" s="46">
        <f t="shared" si="21"/>
        <v>27.61</v>
      </c>
      <c r="AC56" s="46">
        <f t="shared" si="21"/>
        <v>196.54</v>
      </c>
      <c r="AD56" s="46">
        <f t="shared" si="21"/>
        <v>0</v>
      </c>
      <c r="AE56" s="46">
        <f t="shared" si="21"/>
        <v>284.81</v>
      </c>
      <c r="AF56" s="46">
        <f t="shared" si="21"/>
        <v>125.35</v>
      </c>
      <c r="AG56" s="46">
        <f t="shared" si="21"/>
        <v>1613.97</v>
      </c>
      <c r="AH56" s="46">
        <f t="shared" si="21"/>
        <v>94.89</v>
      </c>
      <c r="AI56" s="46">
        <f t="shared" si="21"/>
        <v>89.04</v>
      </c>
      <c r="AJ56" s="46">
        <f t="shared" si="21"/>
        <v>581.19000000000005</v>
      </c>
      <c r="AK56" s="46">
        <f t="shared" si="17"/>
        <v>545.05999999999949</v>
      </c>
      <c r="AL56" s="46">
        <f t="shared" si="18"/>
        <v>5655.58</v>
      </c>
    </row>
    <row r="57" spans="1:38" x14ac:dyDescent="0.2">
      <c r="A57" s="43" t="s">
        <v>209</v>
      </c>
      <c r="B57" s="44">
        <f t="shared" si="12"/>
        <v>9825.9599999999991</v>
      </c>
      <c r="C57" s="44">
        <f t="shared" si="0"/>
        <v>129.38</v>
      </c>
      <c r="D57" s="44">
        <f t="shared" si="1"/>
        <v>920.9</v>
      </c>
      <c r="E57" s="44">
        <f t="shared" si="2"/>
        <v>0</v>
      </c>
      <c r="F57" s="44">
        <f t="shared" si="3"/>
        <v>1334.49</v>
      </c>
      <c r="G57" s="44">
        <f t="shared" si="4"/>
        <v>587.30999999999995</v>
      </c>
      <c r="H57" s="44">
        <f t="shared" si="5"/>
        <v>7562.17</v>
      </c>
      <c r="I57" s="44">
        <f t="shared" si="6"/>
        <v>444.59000000000003</v>
      </c>
      <c r="J57" s="44">
        <f t="shared" si="7"/>
        <v>417.2</v>
      </c>
      <c r="K57" s="44">
        <f t="shared" si="8"/>
        <v>2723.14</v>
      </c>
      <c r="L57" s="44">
        <f t="shared" si="9"/>
        <v>2553.8599999999988</v>
      </c>
      <c r="M57" s="44">
        <f>ROUND('2026 COB breakdown_Kris'!M56,2)</f>
        <v>26499</v>
      </c>
      <c r="N57" s="45">
        <f>'OP8 part 1 analysis'!G73</f>
        <v>0.42307692307692302</v>
      </c>
      <c r="O57" s="258">
        <f t="shared" si="20"/>
        <v>5668.82</v>
      </c>
      <c r="P57" s="46">
        <f t="shared" si="20"/>
        <v>74.64</v>
      </c>
      <c r="Q57" s="46">
        <f t="shared" si="20"/>
        <v>531.29</v>
      </c>
      <c r="R57" s="46">
        <f t="shared" si="20"/>
        <v>0</v>
      </c>
      <c r="S57" s="46">
        <f t="shared" si="20"/>
        <v>769.9</v>
      </c>
      <c r="T57" s="46">
        <f t="shared" si="20"/>
        <v>338.83</v>
      </c>
      <c r="U57" s="46">
        <f t="shared" si="20"/>
        <v>4362.79</v>
      </c>
      <c r="V57" s="46">
        <f t="shared" si="20"/>
        <v>256.49</v>
      </c>
      <c r="W57" s="46">
        <f t="shared" si="20"/>
        <v>240.69</v>
      </c>
      <c r="X57" s="46">
        <f t="shared" si="20"/>
        <v>1571.04</v>
      </c>
      <c r="Y57" s="46">
        <f t="shared" si="14"/>
        <v>1473.3899999999976</v>
      </c>
      <c r="Z57" s="46">
        <f t="shared" si="15"/>
        <v>15287.88</v>
      </c>
      <c r="AA57" s="258">
        <f t="shared" si="16"/>
        <v>4157.1400000000003</v>
      </c>
      <c r="AB57" s="46">
        <f t="shared" si="21"/>
        <v>54.74</v>
      </c>
      <c r="AC57" s="46">
        <f t="shared" si="21"/>
        <v>389.61</v>
      </c>
      <c r="AD57" s="46">
        <f t="shared" si="21"/>
        <v>0</v>
      </c>
      <c r="AE57" s="46">
        <f t="shared" si="21"/>
        <v>564.59</v>
      </c>
      <c r="AF57" s="46">
        <f t="shared" si="21"/>
        <v>248.48</v>
      </c>
      <c r="AG57" s="46">
        <f t="shared" si="21"/>
        <v>3199.38</v>
      </c>
      <c r="AH57" s="46">
        <f t="shared" si="21"/>
        <v>188.1</v>
      </c>
      <c r="AI57" s="46">
        <f t="shared" si="21"/>
        <v>176.51</v>
      </c>
      <c r="AJ57" s="46">
        <f t="shared" si="21"/>
        <v>1152.0999999999999</v>
      </c>
      <c r="AK57" s="46">
        <f t="shared" si="17"/>
        <v>1080.4700000000012</v>
      </c>
      <c r="AL57" s="46">
        <f t="shared" si="18"/>
        <v>11211.12</v>
      </c>
    </row>
    <row r="58" spans="1:38" x14ac:dyDescent="0.2">
      <c r="A58" s="43" t="s">
        <v>210</v>
      </c>
      <c r="B58" s="44">
        <f t="shared" si="12"/>
        <v>852.85</v>
      </c>
      <c r="C58" s="44">
        <f t="shared" si="0"/>
        <v>11.23</v>
      </c>
      <c r="D58" s="44">
        <f t="shared" si="1"/>
        <v>79.930000000000007</v>
      </c>
      <c r="E58" s="44">
        <f t="shared" si="2"/>
        <v>0</v>
      </c>
      <c r="F58" s="44">
        <f t="shared" si="3"/>
        <v>115.82</v>
      </c>
      <c r="G58" s="44">
        <f t="shared" si="4"/>
        <v>50.980000000000004</v>
      </c>
      <c r="H58" s="44">
        <f t="shared" si="5"/>
        <v>656.37</v>
      </c>
      <c r="I58" s="44">
        <f t="shared" si="6"/>
        <v>38.590000000000003</v>
      </c>
      <c r="J58" s="44">
        <f t="shared" si="7"/>
        <v>36.21</v>
      </c>
      <c r="K58" s="44">
        <f t="shared" si="8"/>
        <v>236.36</v>
      </c>
      <c r="L58" s="44">
        <f t="shared" si="9"/>
        <v>221.65999999999985</v>
      </c>
      <c r="M58" s="44">
        <f>ROUND('2026 COB breakdown_Kris'!M57,2)</f>
        <v>2300</v>
      </c>
      <c r="N58" s="45">
        <f>'OP8 part 1 analysis'!G74</f>
        <v>0.53643612089745962</v>
      </c>
      <c r="O58" s="258">
        <f t="shared" si="20"/>
        <v>395.35</v>
      </c>
      <c r="P58" s="46">
        <f t="shared" si="20"/>
        <v>5.21</v>
      </c>
      <c r="Q58" s="46">
        <f t="shared" si="20"/>
        <v>37.049999999999997</v>
      </c>
      <c r="R58" s="46">
        <f t="shared" si="20"/>
        <v>0</v>
      </c>
      <c r="S58" s="46">
        <f t="shared" si="20"/>
        <v>53.69</v>
      </c>
      <c r="T58" s="46">
        <f t="shared" si="20"/>
        <v>23.63</v>
      </c>
      <c r="U58" s="46">
        <f t="shared" si="20"/>
        <v>304.27</v>
      </c>
      <c r="V58" s="46">
        <f t="shared" si="20"/>
        <v>17.89</v>
      </c>
      <c r="W58" s="46">
        <f t="shared" si="20"/>
        <v>16.79</v>
      </c>
      <c r="X58" s="46">
        <f t="shared" si="20"/>
        <v>109.57</v>
      </c>
      <c r="Y58" s="46">
        <f t="shared" si="14"/>
        <v>102.75</v>
      </c>
      <c r="Z58" s="46">
        <f t="shared" si="15"/>
        <v>1066.2</v>
      </c>
      <c r="AA58" s="258">
        <f t="shared" si="16"/>
        <v>457.5</v>
      </c>
      <c r="AB58" s="46">
        <f t="shared" si="21"/>
        <v>6.02</v>
      </c>
      <c r="AC58" s="46">
        <f t="shared" si="21"/>
        <v>42.88</v>
      </c>
      <c r="AD58" s="46">
        <f t="shared" si="21"/>
        <v>0</v>
      </c>
      <c r="AE58" s="46">
        <f t="shared" si="21"/>
        <v>62.13</v>
      </c>
      <c r="AF58" s="46">
        <f t="shared" si="21"/>
        <v>27.35</v>
      </c>
      <c r="AG58" s="46">
        <f t="shared" si="21"/>
        <v>352.1</v>
      </c>
      <c r="AH58" s="46">
        <f t="shared" si="21"/>
        <v>20.7</v>
      </c>
      <c r="AI58" s="46">
        <f t="shared" si="21"/>
        <v>19.420000000000002</v>
      </c>
      <c r="AJ58" s="46">
        <f t="shared" si="21"/>
        <v>126.79</v>
      </c>
      <c r="AK58" s="46">
        <f t="shared" si="17"/>
        <v>118.90999999999985</v>
      </c>
      <c r="AL58" s="46">
        <f t="shared" si="18"/>
        <v>1233.8</v>
      </c>
    </row>
    <row r="59" spans="1:38" x14ac:dyDescent="0.2">
      <c r="A59" s="43" t="s">
        <v>211</v>
      </c>
      <c r="B59" s="44">
        <f t="shared" si="12"/>
        <v>5732.72</v>
      </c>
      <c r="C59" s="44">
        <f t="shared" si="0"/>
        <v>75.48</v>
      </c>
      <c r="D59" s="44">
        <f t="shared" si="1"/>
        <v>537.27</v>
      </c>
      <c r="E59" s="44">
        <f t="shared" si="2"/>
        <v>0</v>
      </c>
      <c r="F59" s="44">
        <f t="shared" si="3"/>
        <v>778.58</v>
      </c>
      <c r="G59" s="44">
        <f t="shared" si="4"/>
        <v>342.65</v>
      </c>
      <c r="H59" s="44">
        <f t="shared" si="5"/>
        <v>4411.97</v>
      </c>
      <c r="I59" s="44">
        <f t="shared" si="6"/>
        <v>259.38</v>
      </c>
      <c r="J59" s="44">
        <f t="shared" si="7"/>
        <v>243.41</v>
      </c>
      <c r="K59" s="44">
        <f t="shared" si="8"/>
        <v>1588.75</v>
      </c>
      <c r="L59" s="44">
        <f t="shared" si="9"/>
        <v>1489.9900000000034</v>
      </c>
      <c r="M59" s="44">
        <f>ROUND('2026 COB breakdown_Kris'!M58,2)</f>
        <v>15460.2</v>
      </c>
      <c r="N59" s="45">
        <f>'OP8 part 1 analysis'!G75</f>
        <v>0</v>
      </c>
      <c r="O59" s="258">
        <f t="shared" si="20"/>
        <v>5732.72</v>
      </c>
      <c r="P59" s="46">
        <f t="shared" si="20"/>
        <v>75.48</v>
      </c>
      <c r="Q59" s="46">
        <f t="shared" si="20"/>
        <v>537.27</v>
      </c>
      <c r="R59" s="46">
        <f t="shared" si="20"/>
        <v>0</v>
      </c>
      <c r="S59" s="46">
        <f t="shared" si="20"/>
        <v>778.58</v>
      </c>
      <c r="T59" s="46">
        <f t="shared" si="20"/>
        <v>342.65</v>
      </c>
      <c r="U59" s="46">
        <f t="shared" si="20"/>
        <v>4411.97</v>
      </c>
      <c r="V59" s="46">
        <f t="shared" si="20"/>
        <v>259.38</v>
      </c>
      <c r="W59" s="46">
        <f t="shared" si="20"/>
        <v>243.41</v>
      </c>
      <c r="X59" s="46">
        <f t="shared" si="20"/>
        <v>1588.75</v>
      </c>
      <c r="Y59" s="46">
        <f t="shared" si="14"/>
        <v>1489.9900000000034</v>
      </c>
      <c r="Z59" s="46">
        <f t="shared" si="15"/>
        <v>15460.2</v>
      </c>
      <c r="AA59" s="258">
        <f t="shared" si="16"/>
        <v>0</v>
      </c>
      <c r="AB59" s="46">
        <f t="shared" si="21"/>
        <v>0</v>
      </c>
      <c r="AC59" s="46">
        <f t="shared" si="21"/>
        <v>0</v>
      </c>
      <c r="AD59" s="46">
        <f t="shared" si="21"/>
        <v>0</v>
      </c>
      <c r="AE59" s="46">
        <f t="shared" si="21"/>
        <v>0</v>
      </c>
      <c r="AF59" s="46">
        <f t="shared" si="21"/>
        <v>0</v>
      </c>
      <c r="AG59" s="46">
        <f t="shared" si="21"/>
        <v>0</v>
      </c>
      <c r="AH59" s="46">
        <f t="shared" si="21"/>
        <v>0</v>
      </c>
      <c r="AI59" s="46">
        <f t="shared" si="21"/>
        <v>0</v>
      </c>
      <c r="AJ59" s="46">
        <f t="shared" si="21"/>
        <v>0</v>
      </c>
      <c r="AK59" s="46">
        <f t="shared" si="17"/>
        <v>0</v>
      </c>
      <c r="AL59" s="46">
        <f t="shared" si="18"/>
        <v>0</v>
      </c>
    </row>
    <row r="60" spans="1:38" x14ac:dyDescent="0.2">
      <c r="A60" s="43" t="s">
        <v>212</v>
      </c>
      <c r="B60" s="44">
        <f t="shared" si="12"/>
        <v>8074.8</v>
      </c>
      <c r="C60" s="44">
        <f t="shared" si="0"/>
        <v>106.32</v>
      </c>
      <c r="D60" s="44">
        <f t="shared" si="1"/>
        <v>756.77</v>
      </c>
      <c r="E60" s="44">
        <f t="shared" si="2"/>
        <v>0</v>
      </c>
      <c r="F60" s="44">
        <f t="shared" si="3"/>
        <v>1096.6599999999999</v>
      </c>
      <c r="G60" s="44">
        <f t="shared" si="4"/>
        <v>482.64</v>
      </c>
      <c r="H60" s="44">
        <f t="shared" si="5"/>
        <v>6214.45</v>
      </c>
      <c r="I60" s="44">
        <f t="shared" si="6"/>
        <v>365.36</v>
      </c>
      <c r="J60" s="44">
        <f t="shared" si="7"/>
        <v>342.85</v>
      </c>
      <c r="K60" s="44">
        <f t="shared" si="8"/>
        <v>2237.83</v>
      </c>
      <c r="L60" s="44">
        <f t="shared" si="9"/>
        <v>2098.7200000000012</v>
      </c>
      <c r="M60" s="44">
        <f>ROUND('2026 COB breakdown_Kris'!M59,2)</f>
        <v>21776.400000000001</v>
      </c>
      <c r="N60" s="45">
        <f>'OP8 part 1 analysis'!G76</f>
        <v>0.55854977833901465</v>
      </c>
      <c r="O60" s="258">
        <f t="shared" si="20"/>
        <v>3564.62</v>
      </c>
      <c r="P60" s="46">
        <f t="shared" si="20"/>
        <v>46.93</v>
      </c>
      <c r="Q60" s="46">
        <f t="shared" si="20"/>
        <v>334.08</v>
      </c>
      <c r="R60" s="46">
        <f t="shared" si="20"/>
        <v>0</v>
      </c>
      <c r="S60" s="46">
        <f t="shared" si="20"/>
        <v>484.12</v>
      </c>
      <c r="T60" s="46">
        <f t="shared" si="20"/>
        <v>213.06</v>
      </c>
      <c r="U60" s="46">
        <f t="shared" si="20"/>
        <v>2743.37</v>
      </c>
      <c r="V60" s="46">
        <f t="shared" si="20"/>
        <v>161.29</v>
      </c>
      <c r="W60" s="46">
        <f t="shared" si="20"/>
        <v>151.35</v>
      </c>
      <c r="X60" s="46">
        <f t="shared" si="20"/>
        <v>987.89</v>
      </c>
      <c r="Y60" s="46">
        <f t="shared" si="14"/>
        <v>926.48999999999978</v>
      </c>
      <c r="Z60" s="46">
        <f t="shared" si="15"/>
        <v>9613.2000000000007</v>
      </c>
      <c r="AA60" s="258">
        <f t="shared" si="16"/>
        <v>4510.18</v>
      </c>
      <c r="AB60" s="46">
        <f t="shared" si="21"/>
        <v>59.39</v>
      </c>
      <c r="AC60" s="46">
        <f t="shared" si="21"/>
        <v>422.69</v>
      </c>
      <c r="AD60" s="46">
        <f t="shared" si="21"/>
        <v>0</v>
      </c>
      <c r="AE60" s="46">
        <f t="shared" si="21"/>
        <v>612.54</v>
      </c>
      <c r="AF60" s="46">
        <f t="shared" si="21"/>
        <v>269.58</v>
      </c>
      <c r="AG60" s="46">
        <f t="shared" si="21"/>
        <v>3471.08</v>
      </c>
      <c r="AH60" s="46">
        <f t="shared" si="21"/>
        <v>204.07</v>
      </c>
      <c r="AI60" s="46">
        <f t="shared" si="21"/>
        <v>191.5</v>
      </c>
      <c r="AJ60" s="46">
        <f t="shared" si="21"/>
        <v>1249.94</v>
      </c>
      <c r="AK60" s="46">
        <f t="shared" si="17"/>
        <v>1172.2300000000014</v>
      </c>
      <c r="AL60" s="46">
        <f t="shared" si="18"/>
        <v>12163.2</v>
      </c>
    </row>
    <row r="61" spans="1:38" x14ac:dyDescent="0.2">
      <c r="A61" s="43" t="s">
        <v>213</v>
      </c>
      <c r="B61" s="44">
        <f t="shared" si="12"/>
        <v>14468.45</v>
      </c>
      <c r="C61" s="44">
        <f t="shared" si="0"/>
        <v>190.5</v>
      </c>
      <c r="D61" s="44">
        <f t="shared" si="1"/>
        <v>1355.99</v>
      </c>
      <c r="E61" s="44">
        <f t="shared" si="2"/>
        <v>0</v>
      </c>
      <c r="F61" s="44">
        <f t="shared" si="3"/>
        <v>1965</v>
      </c>
      <c r="G61" s="44">
        <f t="shared" si="4"/>
        <v>864.8</v>
      </c>
      <c r="H61" s="44">
        <f t="shared" si="5"/>
        <v>11135.08</v>
      </c>
      <c r="I61" s="44">
        <f t="shared" si="6"/>
        <v>654.64</v>
      </c>
      <c r="J61" s="44">
        <f t="shared" si="7"/>
        <v>614.32000000000005</v>
      </c>
      <c r="K61" s="44">
        <f t="shared" si="8"/>
        <v>4009.74</v>
      </c>
      <c r="L61" s="44">
        <f t="shared" si="9"/>
        <v>3760.4800000000032</v>
      </c>
      <c r="M61" s="44">
        <f>ROUND('2026 COB breakdown_Kris'!M60,2)</f>
        <v>39019</v>
      </c>
      <c r="N61" s="45">
        <f>'OP8 part 1 analysis'!G77</f>
        <v>0</v>
      </c>
      <c r="O61" s="259">
        <f t="shared" si="20"/>
        <v>14468.45</v>
      </c>
      <c r="P61" s="46">
        <f t="shared" si="20"/>
        <v>190.5</v>
      </c>
      <c r="Q61" s="46">
        <f t="shared" si="20"/>
        <v>1355.99</v>
      </c>
      <c r="R61" s="46">
        <f t="shared" si="20"/>
        <v>0</v>
      </c>
      <c r="S61" s="46">
        <f t="shared" si="20"/>
        <v>1965</v>
      </c>
      <c r="T61" s="46">
        <f t="shared" si="20"/>
        <v>864.8</v>
      </c>
      <c r="U61" s="46">
        <f t="shared" si="20"/>
        <v>11135.08</v>
      </c>
      <c r="V61" s="46">
        <f t="shared" si="20"/>
        <v>654.64</v>
      </c>
      <c r="W61" s="46">
        <f t="shared" si="20"/>
        <v>614.32000000000005</v>
      </c>
      <c r="X61" s="46">
        <f t="shared" si="20"/>
        <v>4009.74</v>
      </c>
      <c r="Y61" s="46">
        <f t="shared" si="14"/>
        <v>3760.4800000000032</v>
      </c>
      <c r="Z61" s="46">
        <f t="shared" si="15"/>
        <v>39019</v>
      </c>
      <c r="AA61" s="259">
        <f t="shared" si="16"/>
        <v>0</v>
      </c>
      <c r="AB61" s="46">
        <f t="shared" si="21"/>
        <v>0</v>
      </c>
      <c r="AC61" s="46">
        <f t="shared" si="21"/>
        <v>0</v>
      </c>
      <c r="AD61" s="46">
        <f t="shared" si="21"/>
        <v>0</v>
      </c>
      <c r="AE61" s="46">
        <f t="shared" si="21"/>
        <v>0</v>
      </c>
      <c r="AF61" s="46">
        <f t="shared" si="21"/>
        <v>0</v>
      </c>
      <c r="AG61" s="46">
        <f t="shared" si="21"/>
        <v>0</v>
      </c>
      <c r="AH61" s="46">
        <f t="shared" si="21"/>
        <v>0</v>
      </c>
      <c r="AI61" s="46">
        <f t="shared" si="21"/>
        <v>0</v>
      </c>
      <c r="AJ61" s="46">
        <f t="shared" si="21"/>
        <v>0</v>
      </c>
      <c r="AK61" s="46">
        <f t="shared" si="17"/>
        <v>0</v>
      </c>
      <c r="AL61" s="46">
        <f t="shared" si="18"/>
        <v>0</v>
      </c>
    </row>
    <row r="62" spans="1:38" x14ac:dyDescent="0.2">
      <c r="A62" s="43" t="s">
        <v>215</v>
      </c>
      <c r="B62" s="44">
        <f t="shared" si="12"/>
        <v>11467.15</v>
      </c>
      <c r="C62" s="44">
        <f t="shared" si="0"/>
        <v>150.99</v>
      </c>
      <c r="D62" s="44">
        <f t="shared" si="1"/>
        <v>1074.71</v>
      </c>
      <c r="E62" s="44">
        <f t="shared" si="2"/>
        <v>0</v>
      </c>
      <c r="F62" s="44">
        <f t="shared" si="3"/>
        <v>1557.39</v>
      </c>
      <c r="G62" s="44">
        <f t="shared" si="4"/>
        <v>685.41</v>
      </c>
      <c r="H62" s="44">
        <f t="shared" si="5"/>
        <v>8825.24</v>
      </c>
      <c r="I62" s="44">
        <f t="shared" si="6"/>
        <v>518.84</v>
      </c>
      <c r="J62" s="44">
        <f t="shared" si="7"/>
        <v>486.89</v>
      </c>
      <c r="K62" s="44">
        <f t="shared" si="8"/>
        <v>3177.97</v>
      </c>
      <c r="L62" s="44">
        <f t="shared" si="9"/>
        <v>2980.4000000000015</v>
      </c>
      <c r="M62" s="44">
        <f>ROUND('2026 COB breakdown_Kris'!M61,2)</f>
        <v>30924.99</v>
      </c>
      <c r="N62" s="45">
        <f>'OP8 part 1 analysis'!G78</f>
        <v>0</v>
      </c>
      <c r="O62" s="259">
        <f t="shared" si="20"/>
        <v>11467.15</v>
      </c>
      <c r="P62" s="46">
        <f t="shared" si="20"/>
        <v>150.99</v>
      </c>
      <c r="Q62" s="46">
        <f t="shared" si="20"/>
        <v>1074.71</v>
      </c>
      <c r="R62" s="46">
        <f t="shared" si="20"/>
        <v>0</v>
      </c>
      <c r="S62" s="46">
        <f t="shared" si="20"/>
        <v>1557.39</v>
      </c>
      <c r="T62" s="46">
        <f t="shared" si="20"/>
        <v>685.41</v>
      </c>
      <c r="U62" s="46">
        <f t="shared" si="20"/>
        <v>8825.24</v>
      </c>
      <c r="V62" s="46">
        <f t="shared" si="20"/>
        <v>518.84</v>
      </c>
      <c r="W62" s="46">
        <f t="shared" si="20"/>
        <v>486.89</v>
      </c>
      <c r="X62" s="46">
        <f t="shared" si="20"/>
        <v>3177.97</v>
      </c>
      <c r="Y62" s="46">
        <f t="shared" si="14"/>
        <v>2980.4000000000015</v>
      </c>
      <c r="Z62" s="46">
        <f t="shared" si="15"/>
        <v>30924.99</v>
      </c>
      <c r="AA62" s="259">
        <f t="shared" si="16"/>
        <v>0</v>
      </c>
      <c r="AB62" s="46">
        <f t="shared" si="21"/>
        <v>0</v>
      </c>
      <c r="AC62" s="46">
        <f t="shared" si="21"/>
        <v>0</v>
      </c>
      <c r="AD62" s="46">
        <f t="shared" si="21"/>
        <v>0</v>
      </c>
      <c r="AE62" s="46">
        <f t="shared" si="21"/>
        <v>0</v>
      </c>
      <c r="AF62" s="46">
        <f t="shared" si="21"/>
        <v>0</v>
      </c>
      <c r="AG62" s="46">
        <f t="shared" si="21"/>
        <v>0</v>
      </c>
      <c r="AH62" s="46">
        <f t="shared" si="21"/>
        <v>0</v>
      </c>
      <c r="AI62" s="46">
        <f t="shared" si="21"/>
        <v>0</v>
      </c>
      <c r="AJ62" s="46">
        <f t="shared" si="21"/>
        <v>0</v>
      </c>
      <c r="AK62" s="46">
        <f t="shared" si="17"/>
        <v>0</v>
      </c>
      <c r="AL62" s="46">
        <f t="shared" si="18"/>
        <v>0</v>
      </c>
    </row>
    <row r="63" spans="1:38" x14ac:dyDescent="0.2">
      <c r="A63" s="43" t="s">
        <v>216</v>
      </c>
      <c r="B63" s="44">
        <f t="shared" si="12"/>
        <v>14442.489999999998</v>
      </c>
      <c r="C63" s="44">
        <f t="shared" si="0"/>
        <v>190.16</v>
      </c>
      <c r="D63" s="44">
        <f t="shared" si="1"/>
        <v>1353.56</v>
      </c>
      <c r="E63" s="44">
        <f t="shared" si="2"/>
        <v>0</v>
      </c>
      <c r="F63" s="44">
        <f t="shared" si="3"/>
        <v>1961.4699999999998</v>
      </c>
      <c r="G63" s="44">
        <f t="shared" si="4"/>
        <v>863.25</v>
      </c>
      <c r="H63" s="44">
        <f t="shared" si="5"/>
        <v>11115.1</v>
      </c>
      <c r="I63" s="44">
        <f t="shared" si="6"/>
        <v>653.47</v>
      </c>
      <c r="J63" s="44">
        <f t="shared" si="7"/>
        <v>613.21</v>
      </c>
      <c r="K63" s="44">
        <f t="shared" si="8"/>
        <v>4002.55</v>
      </c>
      <c r="L63" s="44">
        <f t="shared" si="9"/>
        <v>3753.7400000000034</v>
      </c>
      <c r="M63" s="44">
        <f>ROUND('2026 COB breakdown_Kris'!M62,2)</f>
        <v>38949</v>
      </c>
      <c r="N63" s="45">
        <f>'OP8 part 1 analysis'!G79</f>
        <v>0.42307692307692302</v>
      </c>
      <c r="O63" s="259">
        <f t="shared" si="20"/>
        <v>8332.2099999999991</v>
      </c>
      <c r="P63" s="46">
        <f t="shared" si="20"/>
        <v>109.71</v>
      </c>
      <c r="Q63" s="46">
        <f t="shared" si="20"/>
        <v>780.9</v>
      </c>
      <c r="R63" s="46">
        <f t="shared" si="20"/>
        <v>0</v>
      </c>
      <c r="S63" s="46">
        <f t="shared" si="20"/>
        <v>1131.6199999999999</v>
      </c>
      <c r="T63" s="46">
        <f t="shared" si="20"/>
        <v>498.03</v>
      </c>
      <c r="U63" s="46">
        <f t="shared" si="20"/>
        <v>6412.56</v>
      </c>
      <c r="V63" s="46">
        <f t="shared" si="20"/>
        <v>377</v>
      </c>
      <c r="W63" s="46">
        <f t="shared" si="20"/>
        <v>353.78</v>
      </c>
      <c r="X63" s="46">
        <f t="shared" si="20"/>
        <v>2309.16</v>
      </c>
      <c r="Y63" s="46">
        <f t="shared" si="14"/>
        <v>2165.6100000000042</v>
      </c>
      <c r="Z63" s="46">
        <f t="shared" si="15"/>
        <v>22470.58</v>
      </c>
      <c r="AA63" s="259">
        <f t="shared" si="16"/>
        <v>6110.28</v>
      </c>
      <c r="AB63" s="46">
        <f t="shared" si="21"/>
        <v>80.45</v>
      </c>
      <c r="AC63" s="46">
        <f t="shared" si="21"/>
        <v>572.66</v>
      </c>
      <c r="AD63" s="46">
        <f t="shared" si="21"/>
        <v>0</v>
      </c>
      <c r="AE63" s="46">
        <f t="shared" si="21"/>
        <v>829.85</v>
      </c>
      <c r="AF63" s="46">
        <f t="shared" si="21"/>
        <v>365.22</v>
      </c>
      <c r="AG63" s="46">
        <f t="shared" si="21"/>
        <v>4702.54</v>
      </c>
      <c r="AH63" s="46">
        <f t="shared" si="21"/>
        <v>276.47000000000003</v>
      </c>
      <c r="AI63" s="46">
        <f t="shared" si="21"/>
        <v>259.43</v>
      </c>
      <c r="AJ63" s="46">
        <f t="shared" si="21"/>
        <v>1693.39</v>
      </c>
      <c r="AK63" s="46">
        <f t="shared" si="17"/>
        <v>1588.1299999999992</v>
      </c>
      <c r="AL63" s="46">
        <f t="shared" si="18"/>
        <v>16478.419999999998</v>
      </c>
    </row>
    <row r="64" spans="1:38" x14ac:dyDescent="0.2">
      <c r="A64" s="43" t="s">
        <v>217</v>
      </c>
      <c r="B64" s="44">
        <f t="shared" si="12"/>
        <v>7697.91</v>
      </c>
      <c r="C64" s="44">
        <f t="shared" si="0"/>
        <v>101.36</v>
      </c>
      <c r="D64" s="44">
        <f t="shared" si="1"/>
        <v>721.45</v>
      </c>
      <c r="E64" s="44">
        <f t="shared" si="2"/>
        <v>0</v>
      </c>
      <c r="F64" s="44">
        <f t="shared" si="3"/>
        <v>1045.48</v>
      </c>
      <c r="G64" s="44">
        <f t="shared" si="4"/>
        <v>460.11</v>
      </c>
      <c r="H64" s="44">
        <f t="shared" si="5"/>
        <v>5924.4</v>
      </c>
      <c r="I64" s="44">
        <f t="shared" si="6"/>
        <v>348.3</v>
      </c>
      <c r="J64" s="44">
        <f t="shared" si="7"/>
        <v>326.85000000000002</v>
      </c>
      <c r="K64" s="44">
        <f t="shared" si="8"/>
        <v>2133.38</v>
      </c>
      <c r="L64" s="44">
        <f t="shared" si="9"/>
        <v>2000.760000000002</v>
      </c>
      <c r="M64" s="44">
        <f>ROUND('2026 COB breakdown_Kris'!M63,2)</f>
        <v>20760</v>
      </c>
      <c r="N64" s="45">
        <f>'OP8 part 1 analysis'!G80</f>
        <v>0</v>
      </c>
      <c r="O64" s="259">
        <f t="shared" si="20"/>
        <v>7697.91</v>
      </c>
      <c r="P64" s="46">
        <f t="shared" si="20"/>
        <v>101.36</v>
      </c>
      <c r="Q64" s="46">
        <f t="shared" si="20"/>
        <v>721.45</v>
      </c>
      <c r="R64" s="46">
        <f t="shared" si="20"/>
        <v>0</v>
      </c>
      <c r="S64" s="46">
        <f t="shared" si="20"/>
        <v>1045.48</v>
      </c>
      <c r="T64" s="46">
        <f t="shared" ref="P64:X92" si="22">ROUND($Z64*T$4,2)</f>
        <v>460.11</v>
      </c>
      <c r="U64" s="46">
        <f t="shared" si="22"/>
        <v>5924.4</v>
      </c>
      <c r="V64" s="46">
        <f t="shared" si="22"/>
        <v>348.3</v>
      </c>
      <c r="W64" s="46">
        <f t="shared" si="22"/>
        <v>326.85000000000002</v>
      </c>
      <c r="X64" s="46">
        <f t="shared" si="22"/>
        <v>2133.38</v>
      </c>
      <c r="Y64" s="46">
        <f t="shared" si="14"/>
        <v>2000.760000000002</v>
      </c>
      <c r="Z64" s="46">
        <f t="shared" si="15"/>
        <v>20760</v>
      </c>
      <c r="AA64" s="259">
        <f t="shared" si="16"/>
        <v>0</v>
      </c>
      <c r="AB64" s="46">
        <f t="shared" si="21"/>
        <v>0</v>
      </c>
      <c r="AC64" s="46">
        <f t="shared" si="21"/>
        <v>0</v>
      </c>
      <c r="AD64" s="46">
        <f t="shared" si="21"/>
        <v>0</v>
      </c>
      <c r="AE64" s="46">
        <f t="shared" si="21"/>
        <v>0</v>
      </c>
      <c r="AF64" s="46">
        <f t="shared" si="21"/>
        <v>0</v>
      </c>
      <c r="AG64" s="46">
        <f t="shared" si="21"/>
        <v>0</v>
      </c>
      <c r="AH64" s="46">
        <f t="shared" si="21"/>
        <v>0</v>
      </c>
      <c r="AI64" s="46">
        <f t="shared" si="21"/>
        <v>0</v>
      </c>
      <c r="AJ64" s="46">
        <f t="shared" si="21"/>
        <v>0</v>
      </c>
      <c r="AK64" s="46">
        <f t="shared" si="17"/>
        <v>0</v>
      </c>
      <c r="AL64" s="46">
        <f t="shared" si="18"/>
        <v>0</v>
      </c>
    </row>
    <row r="65" spans="1:38" x14ac:dyDescent="0.2">
      <c r="A65" s="43" t="s">
        <v>218</v>
      </c>
      <c r="B65" s="44">
        <f t="shared" si="12"/>
        <v>15460.35</v>
      </c>
      <c r="C65" s="44">
        <f t="shared" si="0"/>
        <v>203.56</v>
      </c>
      <c r="D65" s="44">
        <f t="shared" si="1"/>
        <v>1448.95</v>
      </c>
      <c r="E65" s="44">
        <f t="shared" si="2"/>
        <v>0</v>
      </c>
      <c r="F65" s="44">
        <f t="shared" si="3"/>
        <v>2099.7199999999998</v>
      </c>
      <c r="G65" s="44">
        <f t="shared" si="4"/>
        <v>924.08</v>
      </c>
      <c r="H65" s="44">
        <f t="shared" si="5"/>
        <v>11898.46</v>
      </c>
      <c r="I65" s="44">
        <f t="shared" si="6"/>
        <v>699.52</v>
      </c>
      <c r="J65" s="44">
        <f t="shared" si="7"/>
        <v>656.44</v>
      </c>
      <c r="K65" s="44">
        <f t="shared" si="8"/>
        <v>4284.63</v>
      </c>
      <c r="L65" s="44">
        <f t="shared" si="9"/>
        <v>4018.2900000000009</v>
      </c>
      <c r="M65" s="44">
        <f>ROUND('2026 COB breakdown_Kris'!M64,2)</f>
        <v>41694</v>
      </c>
      <c r="N65" s="45">
        <f>'OP8 part 1 analysis'!G81</f>
        <v>0</v>
      </c>
      <c r="O65" s="259">
        <f t="shared" ref="O65:O104" si="23">ROUND($Z65*O$4,2)</f>
        <v>15460.35</v>
      </c>
      <c r="P65" s="46">
        <f t="shared" si="22"/>
        <v>203.56</v>
      </c>
      <c r="Q65" s="46">
        <f t="shared" si="22"/>
        <v>1448.95</v>
      </c>
      <c r="R65" s="46">
        <f t="shared" si="22"/>
        <v>0</v>
      </c>
      <c r="S65" s="46">
        <f t="shared" si="22"/>
        <v>2099.7199999999998</v>
      </c>
      <c r="T65" s="46">
        <f t="shared" si="22"/>
        <v>924.08</v>
      </c>
      <c r="U65" s="46">
        <f t="shared" si="22"/>
        <v>11898.46</v>
      </c>
      <c r="V65" s="46">
        <f t="shared" si="22"/>
        <v>699.52</v>
      </c>
      <c r="W65" s="46">
        <f t="shared" si="22"/>
        <v>656.44</v>
      </c>
      <c r="X65" s="46">
        <f t="shared" si="22"/>
        <v>4284.63</v>
      </c>
      <c r="Y65" s="46">
        <f t="shared" si="14"/>
        <v>4018.2900000000009</v>
      </c>
      <c r="Z65" s="46">
        <f t="shared" si="15"/>
        <v>41694</v>
      </c>
      <c r="AA65" s="259">
        <f t="shared" si="16"/>
        <v>0</v>
      </c>
      <c r="AB65" s="46">
        <f t="shared" si="21"/>
        <v>0</v>
      </c>
      <c r="AC65" s="46">
        <f t="shared" si="21"/>
        <v>0</v>
      </c>
      <c r="AD65" s="46">
        <f t="shared" si="21"/>
        <v>0</v>
      </c>
      <c r="AE65" s="46">
        <f t="shared" si="21"/>
        <v>0</v>
      </c>
      <c r="AF65" s="46">
        <f t="shared" si="21"/>
        <v>0</v>
      </c>
      <c r="AG65" s="46">
        <f t="shared" si="21"/>
        <v>0</v>
      </c>
      <c r="AH65" s="46">
        <f t="shared" si="21"/>
        <v>0</v>
      </c>
      <c r="AI65" s="46">
        <f t="shared" si="21"/>
        <v>0</v>
      </c>
      <c r="AJ65" s="46">
        <f t="shared" si="21"/>
        <v>0</v>
      </c>
      <c r="AK65" s="46">
        <f t="shared" si="17"/>
        <v>0</v>
      </c>
      <c r="AL65" s="46">
        <f t="shared" si="18"/>
        <v>0</v>
      </c>
    </row>
    <row r="66" spans="1:38" x14ac:dyDescent="0.2">
      <c r="A66" s="43" t="s">
        <v>219</v>
      </c>
      <c r="B66" s="44">
        <f t="shared" si="12"/>
        <v>4356.96</v>
      </c>
      <c r="C66" s="44">
        <f t="shared" si="0"/>
        <v>57.370000000000005</v>
      </c>
      <c r="D66" s="44">
        <f t="shared" si="1"/>
        <v>408.33000000000004</v>
      </c>
      <c r="E66" s="44">
        <f t="shared" si="2"/>
        <v>0</v>
      </c>
      <c r="F66" s="44">
        <f t="shared" si="3"/>
        <v>591.73</v>
      </c>
      <c r="G66" s="44">
        <f t="shared" si="4"/>
        <v>260.41999999999996</v>
      </c>
      <c r="H66" s="44">
        <f t="shared" si="5"/>
        <v>3353.17</v>
      </c>
      <c r="I66" s="44">
        <f t="shared" si="6"/>
        <v>197.13</v>
      </c>
      <c r="J66" s="44">
        <f t="shared" si="7"/>
        <v>184.99</v>
      </c>
      <c r="K66" s="44">
        <f t="shared" si="8"/>
        <v>1207.48</v>
      </c>
      <c r="L66" s="44">
        <f t="shared" si="9"/>
        <v>1132.4199999999983</v>
      </c>
      <c r="M66" s="44">
        <f>ROUND('2026 COB breakdown_Kris'!M65,2)</f>
        <v>11750</v>
      </c>
      <c r="N66" s="45">
        <f>'OP8 part 1 analysis'!G82</f>
        <v>0.53883067258103001</v>
      </c>
      <c r="O66" s="259">
        <f t="shared" si="23"/>
        <v>2009.3</v>
      </c>
      <c r="P66" s="46">
        <f t="shared" si="22"/>
        <v>26.46</v>
      </c>
      <c r="Q66" s="46">
        <f t="shared" si="22"/>
        <v>188.31</v>
      </c>
      <c r="R66" s="46">
        <f t="shared" si="22"/>
        <v>0</v>
      </c>
      <c r="S66" s="46">
        <f t="shared" si="22"/>
        <v>272.89</v>
      </c>
      <c r="T66" s="46">
        <f t="shared" si="22"/>
        <v>120.1</v>
      </c>
      <c r="U66" s="46">
        <f t="shared" si="22"/>
        <v>1546.38</v>
      </c>
      <c r="V66" s="46">
        <f t="shared" si="22"/>
        <v>90.91</v>
      </c>
      <c r="W66" s="46">
        <f t="shared" si="22"/>
        <v>85.31</v>
      </c>
      <c r="X66" s="46">
        <f t="shared" si="22"/>
        <v>556.85</v>
      </c>
      <c r="Y66" s="46">
        <f t="shared" si="14"/>
        <v>522.22999999999865</v>
      </c>
      <c r="Z66" s="46">
        <f t="shared" si="15"/>
        <v>5418.74</v>
      </c>
      <c r="AA66" s="259">
        <f t="shared" si="16"/>
        <v>2347.66</v>
      </c>
      <c r="AB66" s="46">
        <f t="shared" si="21"/>
        <v>30.91</v>
      </c>
      <c r="AC66" s="46">
        <f t="shared" si="21"/>
        <v>220.02</v>
      </c>
      <c r="AD66" s="46">
        <f t="shared" si="21"/>
        <v>0</v>
      </c>
      <c r="AE66" s="46">
        <f t="shared" si="21"/>
        <v>318.83999999999997</v>
      </c>
      <c r="AF66" s="46">
        <f t="shared" si="21"/>
        <v>140.32</v>
      </c>
      <c r="AG66" s="46">
        <f t="shared" si="21"/>
        <v>1806.79</v>
      </c>
      <c r="AH66" s="46">
        <f t="shared" si="21"/>
        <v>106.22</v>
      </c>
      <c r="AI66" s="46">
        <f t="shared" si="21"/>
        <v>99.68</v>
      </c>
      <c r="AJ66" s="46">
        <f t="shared" si="21"/>
        <v>650.63</v>
      </c>
      <c r="AK66" s="46">
        <f t="shared" si="17"/>
        <v>610.1899999999996</v>
      </c>
      <c r="AL66" s="46">
        <f t="shared" si="18"/>
        <v>6331.26</v>
      </c>
    </row>
    <row r="67" spans="1:38" x14ac:dyDescent="0.2">
      <c r="A67" s="43" t="s">
        <v>220</v>
      </c>
      <c r="B67" s="44">
        <f t="shared" si="12"/>
        <v>2959.03</v>
      </c>
      <c r="C67" s="44">
        <f t="shared" si="0"/>
        <v>38.96</v>
      </c>
      <c r="D67" s="44">
        <f t="shared" si="1"/>
        <v>277.32</v>
      </c>
      <c r="E67" s="44">
        <f t="shared" si="2"/>
        <v>0</v>
      </c>
      <c r="F67" s="44">
        <f t="shared" si="3"/>
        <v>401.87</v>
      </c>
      <c r="G67" s="44">
        <f t="shared" si="4"/>
        <v>176.85999999999999</v>
      </c>
      <c r="H67" s="44">
        <f t="shared" si="5"/>
        <v>2277.3000000000002</v>
      </c>
      <c r="I67" s="44">
        <f t="shared" si="6"/>
        <v>133.88999999999999</v>
      </c>
      <c r="J67" s="44">
        <f t="shared" si="7"/>
        <v>125.64</v>
      </c>
      <c r="K67" s="44">
        <f t="shared" si="8"/>
        <v>820.05</v>
      </c>
      <c r="L67" s="44">
        <f t="shared" si="9"/>
        <v>769.07999999999947</v>
      </c>
      <c r="M67" s="44">
        <f>ROUND('2026 COB breakdown_Kris'!M66,2)</f>
        <v>7980</v>
      </c>
      <c r="N67" s="45">
        <f>'OP8 part 1 analysis'!G83</f>
        <v>0.30555555555555552</v>
      </c>
      <c r="O67" s="259">
        <f t="shared" si="23"/>
        <v>2054.88</v>
      </c>
      <c r="P67" s="46">
        <f t="shared" si="22"/>
        <v>27.06</v>
      </c>
      <c r="Q67" s="46">
        <f t="shared" si="22"/>
        <v>192.58</v>
      </c>
      <c r="R67" s="46">
        <f t="shared" si="22"/>
        <v>0</v>
      </c>
      <c r="S67" s="46">
        <f t="shared" si="22"/>
        <v>279.08</v>
      </c>
      <c r="T67" s="46">
        <f t="shared" si="22"/>
        <v>122.82</v>
      </c>
      <c r="U67" s="46">
        <f t="shared" si="22"/>
        <v>1581.46</v>
      </c>
      <c r="V67" s="46">
        <f t="shared" si="22"/>
        <v>92.98</v>
      </c>
      <c r="W67" s="46">
        <f t="shared" si="22"/>
        <v>87.25</v>
      </c>
      <c r="X67" s="46">
        <f t="shared" si="22"/>
        <v>569.48</v>
      </c>
      <c r="Y67" s="46">
        <f t="shared" si="14"/>
        <v>534.07999999999993</v>
      </c>
      <c r="Z67" s="46">
        <f t="shared" si="15"/>
        <v>5541.67</v>
      </c>
      <c r="AA67" s="259">
        <f t="shared" si="16"/>
        <v>904.15</v>
      </c>
      <c r="AB67" s="46">
        <f t="shared" si="21"/>
        <v>11.9</v>
      </c>
      <c r="AC67" s="46">
        <f t="shared" si="21"/>
        <v>84.74</v>
      </c>
      <c r="AD67" s="46">
        <f t="shared" si="21"/>
        <v>0</v>
      </c>
      <c r="AE67" s="46">
        <f t="shared" si="21"/>
        <v>122.79</v>
      </c>
      <c r="AF67" s="46">
        <f t="shared" si="21"/>
        <v>54.04</v>
      </c>
      <c r="AG67" s="46">
        <f t="shared" si="21"/>
        <v>695.84</v>
      </c>
      <c r="AH67" s="46">
        <f t="shared" si="21"/>
        <v>40.909999999999997</v>
      </c>
      <c r="AI67" s="46">
        <f t="shared" si="21"/>
        <v>38.39</v>
      </c>
      <c r="AJ67" s="46">
        <f t="shared" si="21"/>
        <v>250.57</v>
      </c>
      <c r="AK67" s="46">
        <f t="shared" si="17"/>
        <v>234.99999999999955</v>
      </c>
      <c r="AL67" s="46">
        <f t="shared" si="18"/>
        <v>2438.33</v>
      </c>
    </row>
    <row r="68" spans="1:38" x14ac:dyDescent="0.2">
      <c r="A68" s="43" t="s">
        <v>221</v>
      </c>
      <c r="B68" s="44">
        <f t="shared" si="12"/>
        <v>6258.45</v>
      </c>
      <c r="C68" s="44">
        <f t="shared" si="0"/>
        <v>82.4</v>
      </c>
      <c r="D68" s="44">
        <f t="shared" si="1"/>
        <v>586.54</v>
      </c>
      <c r="E68" s="44">
        <f t="shared" si="2"/>
        <v>0</v>
      </c>
      <c r="F68" s="44">
        <f t="shared" si="3"/>
        <v>849.98</v>
      </c>
      <c r="G68" s="44">
        <f t="shared" si="4"/>
        <v>374.07</v>
      </c>
      <c r="H68" s="44">
        <f t="shared" si="5"/>
        <v>4816.57</v>
      </c>
      <c r="I68" s="44">
        <f t="shared" si="6"/>
        <v>283.17</v>
      </c>
      <c r="J68" s="44">
        <f t="shared" si="7"/>
        <v>265.73</v>
      </c>
      <c r="K68" s="44">
        <f t="shared" si="8"/>
        <v>1734.4499999999998</v>
      </c>
      <c r="L68" s="44">
        <f t="shared" si="9"/>
        <v>1626.6499999999969</v>
      </c>
      <c r="M68" s="44">
        <f>ROUND('2026 COB breakdown_Kris'!M67,2)</f>
        <v>16878.009999999998</v>
      </c>
      <c r="N68" s="45">
        <f>'OP8 part 1 analysis'!G84</f>
        <v>0.42307692307692302</v>
      </c>
      <c r="O68" s="259">
        <f t="shared" si="23"/>
        <v>3610.64</v>
      </c>
      <c r="P68" s="46">
        <f t="shared" si="22"/>
        <v>47.54</v>
      </c>
      <c r="Q68" s="46">
        <f t="shared" si="22"/>
        <v>338.39</v>
      </c>
      <c r="R68" s="46">
        <f t="shared" si="22"/>
        <v>0</v>
      </c>
      <c r="S68" s="46">
        <f t="shared" si="22"/>
        <v>490.37</v>
      </c>
      <c r="T68" s="46">
        <f t="shared" si="22"/>
        <v>215.81</v>
      </c>
      <c r="U68" s="46">
        <f t="shared" si="22"/>
        <v>2778.79</v>
      </c>
      <c r="V68" s="46">
        <f t="shared" si="22"/>
        <v>163.37</v>
      </c>
      <c r="W68" s="46">
        <f t="shared" si="22"/>
        <v>153.31</v>
      </c>
      <c r="X68" s="46">
        <f t="shared" si="22"/>
        <v>1000.64</v>
      </c>
      <c r="Y68" s="46">
        <f t="shared" si="14"/>
        <v>938.44999999999709</v>
      </c>
      <c r="Z68" s="46">
        <f t="shared" si="15"/>
        <v>9737.3099999999977</v>
      </c>
      <c r="AA68" s="259">
        <f t="shared" si="16"/>
        <v>2647.81</v>
      </c>
      <c r="AB68" s="46">
        <f t="shared" si="21"/>
        <v>34.86</v>
      </c>
      <c r="AC68" s="46">
        <f t="shared" si="21"/>
        <v>248.15</v>
      </c>
      <c r="AD68" s="46">
        <f t="shared" si="21"/>
        <v>0</v>
      </c>
      <c r="AE68" s="46">
        <f t="shared" si="21"/>
        <v>359.61</v>
      </c>
      <c r="AF68" s="46">
        <f t="shared" si="21"/>
        <v>158.26</v>
      </c>
      <c r="AG68" s="46">
        <f t="shared" si="21"/>
        <v>2037.78</v>
      </c>
      <c r="AH68" s="46">
        <f t="shared" si="21"/>
        <v>119.8</v>
      </c>
      <c r="AI68" s="46">
        <f t="shared" si="21"/>
        <v>112.42</v>
      </c>
      <c r="AJ68" s="46">
        <f t="shared" si="21"/>
        <v>733.81</v>
      </c>
      <c r="AK68" s="46">
        <f t="shared" si="17"/>
        <v>688.19999999999982</v>
      </c>
      <c r="AL68" s="46">
        <f t="shared" si="18"/>
        <v>7140.7</v>
      </c>
    </row>
    <row r="69" spans="1:38" x14ac:dyDescent="0.2">
      <c r="A69" s="43" t="s">
        <v>222</v>
      </c>
      <c r="B69" s="44">
        <f t="shared" si="12"/>
        <v>8899.33</v>
      </c>
      <c r="C69" s="44">
        <f t="shared" si="0"/>
        <v>117.17999999999999</v>
      </c>
      <c r="D69" s="44">
        <f t="shared" si="1"/>
        <v>834.05</v>
      </c>
      <c r="E69" s="44">
        <f t="shared" si="2"/>
        <v>0</v>
      </c>
      <c r="F69" s="44">
        <f t="shared" si="3"/>
        <v>1208.6399999999999</v>
      </c>
      <c r="G69" s="44">
        <f t="shared" si="4"/>
        <v>531.92999999999995</v>
      </c>
      <c r="H69" s="44">
        <f t="shared" si="5"/>
        <v>6849.0199999999995</v>
      </c>
      <c r="I69" s="44">
        <f t="shared" si="6"/>
        <v>402.66</v>
      </c>
      <c r="J69" s="44">
        <f t="shared" si="7"/>
        <v>377.85999999999996</v>
      </c>
      <c r="K69" s="44">
        <f t="shared" si="8"/>
        <v>2466.33</v>
      </c>
      <c r="L69" s="44">
        <f t="shared" si="9"/>
        <v>2313.0000000000014</v>
      </c>
      <c r="M69" s="44">
        <f>ROUND('2026 COB breakdown_Kris'!M68,2)</f>
        <v>24000</v>
      </c>
      <c r="N69" s="45">
        <f>'OP8 part 1 analysis'!G85</f>
        <v>0.12790697674418605</v>
      </c>
      <c r="O69" s="259">
        <f t="shared" si="23"/>
        <v>7761.04</v>
      </c>
      <c r="P69" s="46">
        <f t="shared" si="22"/>
        <v>102.19</v>
      </c>
      <c r="Q69" s="46">
        <f t="shared" si="22"/>
        <v>727.37</v>
      </c>
      <c r="R69" s="46">
        <f t="shared" si="22"/>
        <v>0</v>
      </c>
      <c r="S69" s="46">
        <f t="shared" si="22"/>
        <v>1054.05</v>
      </c>
      <c r="T69" s="46">
        <f t="shared" si="22"/>
        <v>463.89</v>
      </c>
      <c r="U69" s="46">
        <f t="shared" si="22"/>
        <v>5972.98</v>
      </c>
      <c r="V69" s="46">
        <f t="shared" si="22"/>
        <v>351.16</v>
      </c>
      <c r="W69" s="46">
        <f t="shared" si="22"/>
        <v>329.53</v>
      </c>
      <c r="X69" s="46">
        <f t="shared" si="22"/>
        <v>2150.87</v>
      </c>
      <c r="Y69" s="46">
        <f t="shared" si="14"/>
        <v>2017.1500000000015</v>
      </c>
      <c r="Z69" s="46">
        <f t="shared" si="15"/>
        <v>20930.23</v>
      </c>
      <c r="AA69" s="259">
        <f t="shared" si="16"/>
        <v>1138.29</v>
      </c>
      <c r="AB69" s="46">
        <f t="shared" si="21"/>
        <v>14.99</v>
      </c>
      <c r="AC69" s="46">
        <f t="shared" si="21"/>
        <v>106.68</v>
      </c>
      <c r="AD69" s="46">
        <f t="shared" si="21"/>
        <v>0</v>
      </c>
      <c r="AE69" s="46">
        <f t="shared" si="21"/>
        <v>154.59</v>
      </c>
      <c r="AF69" s="46">
        <f t="shared" si="21"/>
        <v>68.040000000000006</v>
      </c>
      <c r="AG69" s="46">
        <f t="shared" si="21"/>
        <v>876.04</v>
      </c>
      <c r="AH69" s="46">
        <f t="shared" si="21"/>
        <v>51.5</v>
      </c>
      <c r="AI69" s="46">
        <f t="shared" si="21"/>
        <v>48.33</v>
      </c>
      <c r="AJ69" s="46">
        <f t="shared" si="21"/>
        <v>315.45999999999998</v>
      </c>
      <c r="AK69" s="46">
        <f t="shared" si="17"/>
        <v>295.84999999999991</v>
      </c>
      <c r="AL69" s="46">
        <f t="shared" si="18"/>
        <v>3069.77</v>
      </c>
    </row>
    <row r="70" spans="1:38" x14ac:dyDescent="0.2">
      <c r="A70" s="43" t="s">
        <v>223</v>
      </c>
      <c r="B70" s="44">
        <f t="shared" si="12"/>
        <v>8140.66</v>
      </c>
      <c r="C70" s="44">
        <f t="shared" ref="C70:L71" si="24">P70+AB70</f>
        <v>107.18</v>
      </c>
      <c r="D70" s="44">
        <f t="shared" si="24"/>
        <v>762.94</v>
      </c>
      <c r="E70" s="44">
        <f t="shared" si="24"/>
        <v>0</v>
      </c>
      <c r="F70" s="44">
        <f t="shared" si="24"/>
        <v>1105.6100000000001</v>
      </c>
      <c r="G70" s="44">
        <f t="shared" si="24"/>
        <v>486.58</v>
      </c>
      <c r="H70" s="44">
        <f t="shared" si="24"/>
        <v>6265.1399999999994</v>
      </c>
      <c r="I70" s="44">
        <f t="shared" si="24"/>
        <v>368.33</v>
      </c>
      <c r="J70" s="44">
        <f t="shared" si="24"/>
        <v>345.65</v>
      </c>
      <c r="K70" s="44">
        <f t="shared" si="24"/>
        <v>2256.08</v>
      </c>
      <c r="L70" s="44">
        <f t="shared" si="24"/>
        <v>2115.8299999999981</v>
      </c>
      <c r="M70" s="44">
        <f>ROUND('2026 COB breakdown_Kris'!M69,2)</f>
        <v>21954</v>
      </c>
      <c r="N70" s="45">
        <f>'OP8 part 1 analysis'!G86</f>
        <v>0.59459459459459452</v>
      </c>
      <c r="O70" s="259">
        <f t="shared" si="23"/>
        <v>3300.27</v>
      </c>
      <c r="P70" s="46">
        <f t="shared" si="22"/>
        <v>43.45</v>
      </c>
      <c r="Q70" s="46">
        <f t="shared" si="22"/>
        <v>309.3</v>
      </c>
      <c r="R70" s="46">
        <f t="shared" si="22"/>
        <v>0</v>
      </c>
      <c r="S70" s="46">
        <f t="shared" si="22"/>
        <v>448.22</v>
      </c>
      <c r="T70" s="46">
        <f t="shared" si="22"/>
        <v>197.26</v>
      </c>
      <c r="U70" s="46">
        <f t="shared" si="22"/>
        <v>2539.92</v>
      </c>
      <c r="V70" s="46">
        <f t="shared" si="22"/>
        <v>149.32</v>
      </c>
      <c r="W70" s="46">
        <f t="shared" si="22"/>
        <v>140.13</v>
      </c>
      <c r="X70" s="46">
        <f t="shared" si="22"/>
        <v>914.63</v>
      </c>
      <c r="Y70" s="46">
        <f t="shared" si="14"/>
        <v>857.77000000000044</v>
      </c>
      <c r="Z70" s="46">
        <f t="shared" si="15"/>
        <v>8900.27</v>
      </c>
      <c r="AA70" s="259">
        <f t="shared" si="16"/>
        <v>4840.3900000000003</v>
      </c>
      <c r="AB70" s="46">
        <f t="shared" si="21"/>
        <v>63.73</v>
      </c>
      <c r="AC70" s="46">
        <f t="shared" si="21"/>
        <v>453.64</v>
      </c>
      <c r="AD70" s="46">
        <f t="shared" si="21"/>
        <v>0</v>
      </c>
      <c r="AE70" s="46">
        <f t="shared" si="21"/>
        <v>657.39</v>
      </c>
      <c r="AF70" s="46">
        <f t="shared" si="21"/>
        <v>289.32</v>
      </c>
      <c r="AG70" s="46">
        <f t="shared" si="21"/>
        <v>3725.22</v>
      </c>
      <c r="AH70" s="46">
        <f t="shared" si="21"/>
        <v>219.01</v>
      </c>
      <c r="AI70" s="46">
        <f t="shared" si="21"/>
        <v>205.52</v>
      </c>
      <c r="AJ70" s="46">
        <f t="shared" si="21"/>
        <v>1341.45</v>
      </c>
      <c r="AK70" s="46">
        <f t="shared" si="17"/>
        <v>1258.0599999999977</v>
      </c>
      <c r="AL70" s="46">
        <f t="shared" si="18"/>
        <v>13053.73</v>
      </c>
    </row>
    <row r="71" spans="1:38" x14ac:dyDescent="0.2">
      <c r="A71" s="43" t="s">
        <v>224</v>
      </c>
      <c r="B71" s="44">
        <f t="shared" ref="B71" si="25">O71+AA71</f>
        <v>11235.4</v>
      </c>
      <c r="C71" s="44">
        <f t="shared" si="24"/>
        <v>147.94</v>
      </c>
      <c r="D71" s="44">
        <f t="shared" si="24"/>
        <v>1052.98</v>
      </c>
      <c r="E71" s="44">
        <f t="shared" ref="E71:E94" si="26">ROUND(VLOOKUP($A71, cobdata, 17, FALSE),2)</f>
        <v>4000</v>
      </c>
      <c r="F71" s="44">
        <f t="shared" si="24"/>
        <v>1525.9099999999999</v>
      </c>
      <c r="G71" s="44">
        <f t="shared" si="24"/>
        <v>671.56</v>
      </c>
      <c r="H71" s="44">
        <f t="shared" si="24"/>
        <v>8646.89</v>
      </c>
      <c r="I71" s="44">
        <f t="shared" si="24"/>
        <v>508.36</v>
      </c>
      <c r="J71" s="44">
        <f t="shared" si="24"/>
        <v>477.04</v>
      </c>
      <c r="K71" s="44">
        <f t="shared" si="24"/>
        <v>3113.74</v>
      </c>
      <c r="L71" s="44">
        <f t="shared" si="24"/>
        <v>2920.1800000000003</v>
      </c>
      <c r="M71" s="44">
        <f>ROUND('2026 COB breakdown_Kris'!M70,2)</f>
        <v>34300</v>
      </c>
      <c r="N71" s="45">
        <f>'OP8 part 1 analysis'!G87</f>
        <v>0.53987730061349692</v>
      </c>
      <c r="O71" s="259">
        <f>ROUND(($Z71-$R$71)*O$4,2)</f>
        <v>5169.66</v>
      </c>
      <c r="P71" s="46">
        <f t="shared" ref="P71:Q71" si="27">ROUND(($Z71-$R$71)*P$4,2)</f>
        <v>68.069999999999993</v>
      </c>
      <c r="Q71" s="46">
        <f t="shared" si="27"/>
        <v>484.5</v>
      </c>
      <c r="R71" s="46">
        <f>E71-AD71</f>
        <v>1840.4899999999998</v>
      </c>
      <c r="S71" s="46">
        <f t="shared" ref="S71:X71" si="28">ROUND(($Z71-$R$71)*S$4,2)</f>
        <v>702.11</v>
      </c>
      <c r="T71" s="46">
        <f t="shared" si="28"/>
        <v>309</v>
      </c>
      <c r="U71" s="46">
        <f t="shared" si="28"/>
        <v>3978.63</v>
      </c>
      <c r="V71" s="46">
        <f t="shared" si="28"/>
        <v>233.91</v>
      </c>
      <c r="W71" s="46">
        <f t="shared" si="28"/>
        <v>219.5</v>
      </c>
      <c r="X71" s="46">
        <f t="shared" si="28"/>
        <v>1432.7</v>
      </c>
      <c r="Y71" s="46">
        <f t="shared" ref="Y71:Y104" si="29">Z71-SUM(O71:X71)</f>
        <v>1343.6399999999994</v>
      </c>
      <c r="Z71" s="46">
        <f t="shared" ref="Z71:Z104" si="30">M71-AL71</f>
        <v>15782.21</v>
      </c>
      <c r="AA71" s="259">
        <f>ROUND(($AL71-$AD$71)*AA$4,2)</f>
        <v>6065.74</v>
      </c>
      <c r="AB71" s="46">
        <f t="shared" ref="AB71:AC71" si="31">ROUND(($AL71-$AD$71)*AB$4,2)</f>
        <v>79.87</v>
      </c>
      <c r="AC71" s="46">
        <f t="shared" si="31"/>
        <v>568.48</v>
      </c>
      <c r="AD71" s="46">
        <f>ROUND(E71*N71,2)</f>
        <v>2159.5100000000002</v>
      </c>
      <c r="AE71" s="46">
        <f t="shared" ref="AE71:AJ71" si="32">ROUND(($AL71-$AD$71)*AE$4,2)</f>
        <v>823.8</v>
      </c>
      <c r="AF71" s="46">
        <f t="shared" si="32"/>
        <v>362.56</v>
      </c>
      <c r="AG71" s="46">
        <f t="shared" si="32"/>
        <v>4668.26</v>
      </c>
      <c r="AH71" s="46">
        <f t="shared" si="32"/>
        <v>274.45</v>
      </c>
      <c r="AI71" s="46">
        <f t="shared" si="32"/>
        <v>257.54000000000002</v>
      </c>
      <c r="AJ71" s="46">
        <f t="shared" si="32"/>
        <v>1681.04</v>
      </c>
      <c r="AK71" s="46">
        <f t="shared" si="17"/>
        <v>1576.5400000000009</v>
      </c>
      <c r="AL71" s="46">
        <f t="shared" ref="AL71:AL104" si="33">ROUND(M71*N71,2)</f>
        <v>18517.79</v>
      </c>
    </row>
    <row r="72" spans="1:38" x14ac:dyDescent="0.2">
      <c r="A72" s="43" t="s">
        <v>225</v>
      </c>
      <c r="B72" s="44">
        <f t="shared" ref="B72:B93" si="34">O72+AA72</f>
        <v>12190.96</v>
      </c>
      <c r="C72" s="44">
        <f t="shared" ref="C72:C94" si="35">P72+AB72</f>
        <v>160.51999999999998</v>
      </c>
      <c r="D72" s="44">
        <f t="shared" ref="D72:D94" si="36">Q72+AC72</f>
        <v>1142.54</v>
      </c>
      <c r="E72" s="44">
        <f t="shared" ref="E72:E93" si="37">R72+AD72</f>
        <v>0</v>
      </c>
      <c r="F72" s="44">
        <f t="shared" ref="F72:F94" si="38">S72+AE72</f>
        <v>1655.69</v>
      </c>
      <c r="G72" s="44">
        <f t="shared" ref="G72:G94" si="39">T72+AF72</f>
        <v>728.67</v>
      </c>
      <c r="H72" s="44">
        <f t="shared" ref="H72:H94" si="40">U72+AG72</f>
        <v>9382.2999999999993</v>
      </c>
      <c r="I72" s="44">
        <f t="shared" ref="I72:I94" si="41">V72+AH72</f>
        <v>551.6</v>
      </c>
      <c r="J72" s="44">
        <f t="shared" ref="J72:J94" si="42">W72+AI72</f>
        <v>517.62</v>
      </c>
      <c r="K72" s="44">
        <f t="shared" ref="K72:K94" si="43">X72+AJ72</f>
        <v>3378.57</v>
      </c>
      <c r="L72" s="44">
        <f t="shared" ref="L72:L94" si="44">Y72+AK72</f>
        <v>3168.5300000000025</v>
      </c>
      <c r="M72" s="44">
        <f>ROUND('2026 COB breakdown_Kris'!M71,2)</f>
        <v>32877</v>
      </c>
      <c r="N72" s="45">
        <f>'OP8 part 1 analysis'!G88</f>
        <v>0.42307692307692302</v>
      </c>
      <c r="O72" s="259">
        <f t="shared" si="23"/>
        <v>7033.25</v>
      </c>
      <c r="P72" s="46">
        <f t="shared" si="22"/>
        <v>92.61</v>
      </c>
      <c r="Q72" s="46">
        <f t="shared" si="22"/>
        <v>659.16</v>
      </c>
      <c r="R72" s="46">
        <f t="shared" si="22"/>
        <v>0</v>
      </c>
      <c r="S72" s="46">
        <f t="shared" si="22"/>
        <v>955.21</v>
      </c>
      <c r="T72" s="46">
        <f t="shared" si="22"/>
        <v>420.39</v>
      </c>
      <c r="U72" s="46">
        <f t="shared" si="22"/>
        <v>5412.86</v>
      </c>
      <c r="V72" s="46">
        <f t="shared" si="22"/>
        <v>318.23</v>
      </c>
      <c r="W72" s="46">
        <f t="shared" si="22"/>
        <v>298.63</v>
      </c>
      <c r="X72" s="46">
        <f t="shared" si="22"/>
        <v>1949.17</v>
      </c>
      <c r="Y72" s="46">
        <f t="shared" si="29"/>
        <v>1827.9900000000016</v>
      </c>
      <c r="Z72" s="46">
        <f t="shared" si="30"/>
        <v>18967.5</v>
      </c>
      <c r="AA72" s="259">
        <f t="shared" ref="AA72:AJ100" si="45">ROUND($AL72*AA$4,2)</f>
        <v>5157.71</v>
      </c>
      <c r="AB72" s="46">
        <f t="shared" si="21"/>
        <v>67.91</v>
      </c>
      <c r="AC72" s="46">
        <f t="shared" si="21"/>
        <v>483.38</v>
      </c>
      <c r="AD72" s="46">
        <f t="shared" si="21"/>
        <v>0</v>
      </c>
      <c r="AE72" s="46">
        <f t="shared" si="21"/>
        <v>700.48</v>
      </c>
      <c r="AF72" s="46">
        <f t="shared" si="21"/>
        <v>308.27999999999997</v>
      </c>
      <c r="AG72" s="46">
        <f t="shared" si="21"/>
        <v>3969.44</v>
      </c>
      <c r="AH72" s="46">
        <f t="shared" si="21"/>
        <v>233.37</v>
      </c>
      <c r="AI72" s="46">
        <f t="shared" si="21"/>
        <v>218.99</v>
      </c>
      <c r="AJ72" s="46">
        <f t="shared" si="21"/>
        <v>1429.4</v>
      </c>
      <c r="AK72" s="46">
        <f t="shared" ref="AK72:AK104" si="46">AL72-SUM(AA72:AJ72)</f>
        <v>1340.5400000000009</v>
      </c>
      <c r="AL72" s="46">
        <f t="shared" si="33"/>
        <v>13909.5</v>
      </c>
    </row>
    <row r="73" spans="1:38" x14ac:dyDescent="0.2">
      <c r="A73" s="43" t="s">
        <v>226</v>
      </c>
      <c r="B73" s="44">
        <f t="shared" si="34"/>
        <v>10536.349999999999</v>
      </c>
      <c r="C73" s="44">
        <f t="shared" si="35"/>
        <v>138.72999999999999</v>
      </c>
      <c r="D73" s="44">
        <f t="shared" si="36"/>
        <v>987.47</v>
      </c>
      <c r="E73" s="44">
        <f t="shared" si="37"/>
        <v>0</v>
      </c>
      <c r="F73" s="44">
        <f t="shared" si="38"/>
        <v>1430.97</v>
      </c>
      <c r="G73" s="44">
        <f t="shared" si="39"/>
        <v>629.77</v>
      </c>
      <c r="H73" s="44">
        <f t="shared" si="40"/>
        <v>8108.9</v>
      </c>
      <c r="I73" s="44">
        <f t="shared" si="41"/>
        <v>476.73</v>
      </c>
      <c r="J73" s="44">
        <f t="shared" si="42"/>
        <v>447.36</v>
      </c>
      <c r="K73" s="44">
        <f t="shared" si="43"/>
        <v>2920.02</v>
      </c>
      <c r="L73" s="44">
        <f t="shared" si="44"/>
        <v>2738.5</v>
      </c>
      <c r="M73" s="44">
        <f>ROUND('2026 COB breakdown_Kris'!M72,2)</f>
        <v>28414.799999999999</v>
      </c>
      <c r="N73" s="45">
        <f>'OP8 part 1 analysis'!G89</f>
        <v>0.59459459459459452</v>
      </c>
      <c r="O73" s="259">
        <f t="shared" si="23"/>
        <v>4271.49</v>
      </c>
      <c r="P73" s="46">
        <f t="shared" si="22"/>
        <v>56.24</v>
      </c>
      <c r="Q73" s="46">
        <f t="shared" si="22"/>
        <v>400.33</v>
      </c>
      <c r="R73" s="46">
        <f t="shared" si="22"/>
        <v>0</v>
      </c>
      <c r="S73" s="46">
        <f t="shared" si="22"/>
        <v>580.12</v>
      </c>
      <c r="T73" s="46">
        <f t="shared" si="22"/>
        <v>255.31</v>
      </c>
      <c r="U73" s="46">
        <f t="shared" si="22"/>
        <v>3287.39</v>
      </c>
      <c r="V73" s="46">
        <f t="shared" si="22"/>
        <v>193.27</v>
      </c>
      <c r="W73" s="46">
        <f t="shared" si="22"/>
        <v>181.36</v>
      </c>
      <c r="X73" s="46">
        <f t="shared" si="22"/>
        <v>1183.79</v>
      </c>
      <c r="Y73" s="46">
        <f t="shared" si="29"/>
        <v>1110.2099999999991</v>
      </c>
      <c r="Z73" s="46">
        <f t="shared" si="30"/>
        <v>11519.509999999998</v>
      </c>
      <c r="AA73" s="259">
        <f t="shared" si="45"/>
        <v>6264.86</v>
      </c>
      <c r="AB73" s="46">
        <f t="shared" si="21"/>
        <v>82.49</v>
      </c>
      <c r="AC73" s="46">
        <f t="shared" si="21"/>
        <v>587.14</v>
      </c>
      <c r="AD73" s="46">
        <f t="shared" si="21"/>
        <v>0</v>
      </c>
      <c r="AE73" s="46">
        <f t="shared" si="21"/>
        <v>850.85</v>
      </c>
      <c r="AF73" s="46">
        <f t="shared" si="21"/>
        <v>374.46</v>
      </c>
      <c r="AG73" s="46">
        <f t="shared" si="21"/>
        <v>4821.51</v>
      </c>
      <c r="AH73" s="46">
        <f t="shared" si="21"/>
        <v>283.45999999999998</v>
      </c>
      <c r="AI73" s="46">
        <f t="shared" si="21"/>
        <v>266</v>
      </c>
      <c r="AJ73" s="46">
        <f t="shared" si="21"/>
        <v>1736.23</v>
      </c>
      <c r="AK73" s="46">
        <f t="shared" si="46"/>
        <v>1628.2900000000009</v>
      </c>
      <c r="AL73" s="46">
        <f t="shared" si="33"/>
        <v>16895.29</v>
      </c>
    </row>
    <row r="74" spans="1:38" x14ac:dyDescent="0.2">
      <c r="A74" s="43" t="s">
        <v>227</v>
      </c>
      <c r="B74" s="44">
        <f t="shared" si="34"/>
        <v>12820.6</v>
      </c>
      <c r="C74" s="44">
        <f t="shared" si="35"/>
        <v>168.81</v>
      </c>
      <c r="D74" s="44">
        <f t="shared" si="36"/>
        <v>1201.55</v>
      </c>
      <c r="E74" s="44">
        <f t="shared" si="37"/>
        <v>0</v>
      </c>
      <c r="F74" s="44">
        <f t="shared" si="38"/>
        <v>1741.2</v>
      </c>
      <c r="G74" s="44">
        <f t="shared" si="39"/>
        <v>766.31</v>
      </c>
      <c r="H74" s="44">
        <f t="shared" si="40"/>
        <v>9866.8700000000008</v>
      </c>
      <c r="I74" s="44">
        <f t="shared" si="41"/>
        <v>580.09</v>
      </c>
      <c r="J74" s="44">
        <f t="shared" si="42"/>
        <v>544.35</v>
      </c>
      <c r="K74" s="44">
        <f t="shared" si="43"/>
        <v>3553.06</v>
      </c>
      <c r="L74" s="44">
        <f t="shared" si="44"/>
        <v>3332.1700000000073</v>
      </c>
      <c r="M74" s="44">
        <f>ROUND('2026 COB breakdown_Kris'!M73,2)</f>
        <v>34575.01</v>
      </c>
      <c r="N74" s="45">
        <f>'OP8 part 1 analysis'!G90</f>
        <v>0.27436367499387565</v>
      </c>
      <c r="O74" s="259">
        <f t="shared" si="23"/>
        <v>9303.09</v>
      </c>
      <c r="P74" s="46">
        <f t="shared" si="22"/>
        <v>122.49</v>
      </c>
      <c r="Q74" s="46">
        <f t="shared" si="22"/>
        <v>871.89</v>
      </c>
      <c r="R74" s="46">
        <f t="shared" si="22"/>
        <v>0</v>
      </c>
      <c r="S74" s="46">
        <f t="shared" si="22"/>
        <v>1263.48</v>
      </c>
      <c r="T74" s="46">
        <f t="shared" si="22"/>
        <v>556.05999999999995</v>
      </c>
      <c r="U74" s="46">
        <f t="shared" si="22"/>
        <v>7159.76</v>
      </c>
      <c r="V74" s="46">
        <f t="shared" si="22"/>
        <v>420.93</v>
      </c>
      <c r="W74" s="46">
        <f t="shared" si="22"/>
        <v>395</v>
      </c>
      <c r="X74" s="46">
        <f t="shared" si="22"/>
        <v>2578.23</v>
      </c>
      <c r="Y74" s="46">
        <f t="shared" si="29"/>
        <v>2417.950000000008</v>
      </c>
      <c r="Z74" s="46">
        <f t="shared" si="30"/>
        <v>25088.880000000005</v>
      </c>
      <c r="AA74" s="259">
        <f t="shared" si="45"/>
        <v>3517.51</v>
      </c>
      <c r="AB74" s="46">
        <f t="shared" si="21"/>
        <v>46.32</v>
      </c>
      <c r="AC74" s="46">
        <f t="shared" si="21"/>
        <v>329.66</v>
      </c>
      <c r="AD74" s="46">
        <f t="shared" si="21"/>
        <v>0</v>
      </c>
      <c r="AE74" s="46">
        <f t="shared" si="21"/>
        <v>477.72</v>
      </c>
      <c r="AF74" s="46">
        <f t="shared" si="21"/>
        <v>210.25</v>
      </c>
      <c r="AG74" s="46">
        <f t="shared" si="21"/>
        <v>2707.11</v>
      </c>
      <c r="AH74" s="46">
        <f t="shared" si="21"/>
        <v>159.16</v>
      </c>
      <c r="AI74" s="46">
        <f t="shared" si="21"/>
        <v>149.35</v>
      </c>
      <c r="AJ74" s="46">
        <f t="shared" si="21"/>
        <v>974.83</v>
      </c>
      <c r="AK74" s="46">
        <f t="shared" si="46"/>
        <v>914.21999999999935</v>
      </c>
      <c r="AL74" s="46">
        <f t="shared" si="33"/>
        <v>9486.1299999999992</v>
      </c>
    </row>
    <row r="75" spans="1:38" x14ac:dyDescent="0.2">
      <c r="A75" s="43" t="s">
        <v>228</v>
      </c>
      <c r="B75" s="44">
        <f t="shared" si="34"/>
        <v>6396.39</v>
      </c>
      <c r="C75" s="44">
        <f t="shared" si="35"/>
        <v>84.22</v>
      </c>
      <c r="D75" s="44">
        <f t="shared" si="36"/>
        <v>599.47</v>
      </c>
      <c r="E75" s="44">
        <f t="shared" si="37"/>
        <v>0</v>
      </c>
      <c r="F75" s="44">
        <f t="shared" si="38"/>
        <v>868.71</v>
      </c>
      <c r="G75" s="44">
        <f t="shared" si="39"/>
        <v>382.32</v>
      </c>
      <c r="H75" s="44">
        <f t="shared" si="40"/>
        <v>4922.7299999999996</v>
      </c>
      <c r="I75" s="44">
        <f t="shared" si="41"/>
        <v>289.41000000000003</v>
      </c>
      <c r="J75" s="44">
        <f t="shared" si="42"/>
        <v>271.58999999999997</v>
      </c>
      <c r="K75" s="44">
        <f t="shared" si="43"/>
        <v>1772.67</v>
      </c>
      <c r="L75" s="44">
        <f t="shared" si="44"/>
        <v>1662.4899999999998</v>
      </c>
      <c r="M75" s="44">
        <f>ROUND('2026 COB breakdown_Kris'!M74,2)</f>
        <v>17250</v>
      </c>
      <c r="N75" s="45">
        <f>'OP8 part 1 analysis'!G91</f>
        <v>0</v>
      </c>
      <c r="O75" s="259">
        <f t="shared" si="23"/>
        <v>6396.39</v>
      </c>
      <c r="P75" s="46">
        <f t="shared" si="22"/>
        <v>84.22</v>
      </c>
      <c r="Q75" s="46">
        <f t="shared" si="22"/>
        <v>599.47</v>
      </c>
      <c r="R75" s="46">
        <f t="shared" si="22"/>
        <v>0</v>
      </c>
      <c r="S75" s="46">
        <f t="shared" si="22"/>
        <v>868.71</v>
      </c>
      <c r="T75" s="46">
        <f t="shared" si="22"/>
        <v>382.32</v>
      </c>
      <c r="U75" s="46">
        <f t="shared" si="22"/>
        <v>4922.7299999999996</v>
      </c>
      <c r="V75" s="46">
        <f t="shared" si="22"/>
        <v>289.41000000000003</v>
      </c>
      <c r="W75" s="46">
        <f t="shared" si="22"/>
        <v>271.58999999999997</v>
      </c>
      <c r="X75" s="46">
        <f t="shared" si="22"/>
        <v>1772.67</v>
      </c>
      <c r="Y75" s="46">
        <f t="shared" si="29"/>
        <v>1662.4899999999998</v>
      </c>
      <c r="Z75" s="46">
        <f t="shared" si="30"/>
        <v>17250</v>
      </c>
      <c r="AA75" s="259">
        <f t="shared" si="45"/>
        <v>0</v>
      </c>
      <c r="AB75" s="46">
        <f t="shared" si="21"/>
        <v>0</v>
      </c>
      <c r="AC75" s="46">
        <f t="shared" si="21"/>
        <v>0</v>
      </c>
      <c r="AD75" s="46">
        <f t="shared" si="21"/>
        <v>0</v>
      </c>
      <c r="AE75" s="46">
        <f t="shared" si="21"/>
        <v>0</v>
      </c>
      <c r="AF75" s="46">
        <f t="shared" si="21"/>
        <v>0</v>
      </c>
      <c r="AG75" s="46">
        <f t="shared" si="21"/>
        <v>0</v>
      </c>
      <c r="AH75" s="46">
        <f t="shared" si="21"/>
        <v>0</v>
      </c>
      <c r="AI75" s="46">
        <f t="shared" si="21"/>
        <v>0</v>
      </c>
      <c r="AJ75" s="46">
        <f t="shared" si="21"/>
        <v>0</v>
      </c>
      <c r="AK75" s="46">
        <f t="shared" si="46"/>
        <v>0</v>
      </c>
      <c r="AL75" s="46">
        <f t="shared" si="33"/>
        <v>0</v>
      </c>
    </row>
    <row r="76" spans="1:38" x14ac:dyDescent="0.2">
      <c r="A76" s="43" t="s">
        <v>229</v>
      </c>
      <c r="B76" s="44">
        <f t="shared" si="34"/>
        <v>14026.070000000002</v>
      </c>
      <c r="C76" s="44">
        <f t="shared" si="35"/>
        <v>184.68</v>
      </c>
      <c r="D76" s="44">
        <f t="shared" si="36"/>
        <v>1314.5300000000002</v>
      </c>
      <c r="E76" s="44">
        <f t="shared" si="37"/>
        <v>0</v>
      </c>
      <c r="F76" s="44">
        <f t="shared" si="38"/>
        <v>1904.92</v>
      </c>
      <c r="G76" s="44">
        <f t="shared" si="39"/>
        <v>838.35</v>
      </c>
      <c r="H76" s="44">
        <f t="shared" si="40"/>
        <v>10794.619999999999</v>
      </c>
      <c r="I76" s="44">
        <f t="shared" si="41"/>
        <v>634.62</v>
      </c>
      <c r="J76" s="44">
        <f t="shared" si="42"/>
        <v>595.53</v>
      </c>
      <c r="K76" s="44">
        <f t="shared" si="43"/>
        <v>3887.14</v>
      </c>
      <c r="L76" s="44">
        <f t="shared" si="44"/>
        <v>3645.5299999999961</v>
      </c>
      <c r="M76" s="44">
        <f>ROUND('2026 COB breakdown_Kris'!M75,2)</f>
        <v>37825.99</v>
      </c>
      <c r="N76" s="45">
        <f>'OP8 part 1 analysis'!G92</f>
        <v>0.12790697674418605</v>
      </c>
      <c r="O76" s="259">
        <f t="shared" si="23"/>
        <v>12232.04</v>
      </c>
      <c r="P76" s="46">
        <f t="shared" si="22"/>
        <v>161.06</v>
      </c>
      <c r="Q76" s="46">
        <f t="shared" si="22"/>
        <v>1146.3900000000001</v>
      </c>
      <c r="R76" s="46">
        <f t="shared" si="22"/>
        <v>0</v>
      </c>
      <c r="S76" s="46">
        <f t="shared" si="22"/>
        <v>1661.27</v>
      </c>
      <c r="T76" s="46">
        <f t="shared" si="22"/>
        <v>731.12</v>
      </c>
      <c r="U76" s="46">
        <f t="shared" si="22"/>
        <v>9413.91</v>
      </c>
      <c r="V76" s="46">
        <f t="shared" si="22"/>
        <v>553.45000000000005</v>
      </c>
      <c r="W76" s="46">
        <f t="shared" si="22"/>
        <v>519.36</v>
      </c>
      <c r="X76" s="46">
        <f t="shared" si="22"/>
        <v>3389.95</v>
      </c>
      <c r="Y76" s="46">
        <f t="shared" si="29"/>
        <v>3179.2299999999959</v>
      </c>
      <c r="Z76" s="46">
        <f t="shared" si="30"/>
        <v>32987.78</v>
      </c>
      <c r="AA76" s="259">
        <f t="shared" si="45"/>
        <v>1794.03</v>
      </c>
      <c r="AB76" s="46">
        <f t="shared" si="45"/>
        <v>23.62</v>
      </c>
      <c r="AC76" s="46">
        <f t="shared" si="45"/>
        <v>168.14</v>
      </c>
      <c r="AD76" s="46">
        <f t="shared" si="45"/>
        <v>0</v>
      </c>
      <c r="AE76" s="46">
        <f t="shared" si="45"/>
        <v>243.65</v>
      </c>
      <c r="AF76" s="46">
        <f t="shared" si="45"/>
        <v>107.23</v>
      </c>
      <c r="AG76" s="46">
        <f t="shared" si="45"/>
        <v>1380.71</v>
      </c>
      <c r="AH76" s="46">
        <f t="shared" si="45"/>
        <v>81.17</v>
      </c>
      <c r="AI76" s="46">
        <f t="shared" si="45"/>
        <v>76.17</v>
      </c>
      <c r="AJ76" s="46">
        <f t="shared" si="45"/>
        <v>497.19</v>
      </c>
      <c r="AK76" s="46">
        <f t="shared" si="46"/>
        <v>466.30000000000018</v>
      </c>
      <c r="AL76" s="46">
        <f t="shared" si="33"/>
        <v>4838.21</v>
      </c>
    </row>
    <row r="77" spans="1:38" x14ac:dyDescent="0.2">
      <c r="A77" s="43" t="s">
        <v>230</v>
      </c>
      <c r="B77" s="44">
        <f t="shared" si="34"/>
        <v>5761.94</v>
      </c>
      <c r="C77" s="44">
        <f t="shared" si="35"/>
        <v>75.87</v>
      </c>
      <c r="D77" s="44">
        <f t="shared" si="36"/>
        <v>540.01</v>
      </c>
      <c r="E77" s="44">
        <f t="shared" si="37"/>
        <v>0</v>
      </c>
      <c r="F77" s="44">
        <f t="shared" si="38"/>
        <v>782.55</v>
      </c>
      <c r="G77" s="44">
        <f t="shared" si="39"/>
        <v>344.4</v>
      </c>
      <c r="H77" s="44">
        <f t="shared" si="40"/>
        <v>4434.45</v>
      </c>
      <c r="I77" s="44">
        <f t="shared" si="41"/>
        <v>260.70999999999998</v>
      </c>
      <c r="J77" s="44">
        <f t="shared" si="42"/>
        <v>244.65</v>
      </c>
      <c r="K77" s="44">
        <f t="shared" si="43"/>
        <v>1596.85</v>
      </c>
      <c r="L77" s="44">
        <f t="shared" si="44"/>
        <v>1497.5700000000015</v>
      </c>
      <c r="M77" s="44">
        <f>ROUND('2026 COB breakdown_Kris'!M76,2)</f>
        <v>15539</v>
      </c>
      <c r="N77" s="45">
        <f>'OP8 part 1 analysis'!G93</f>
        <v>0</v>
      </c>
      <c r="O77" s="259">
        <f t="shared" si="23"/>
        <v>5761.94</v>
      </c>
      <c r="P77" s="46">
        <f t="shared" si="22"/>
        <v>75.87</v>
      </c>
      <c r="Q77" s="46">
        <f t="shared" si="22"/>
        <v>540.01</v>
      </c>
      <c r="R77" s="46">
        <f t="shared" si="22"/>
        <v>0</v>
      </c>
      <c r="S77" s="46">
        <f t="shared" si="22"/>
        <v>782.55</v>
      </c>
      <c r="T77" s="46">
        <f t="shared" si="22"/>
        <v>344.4</v>
      </c>
      <c r="U77" s="46">
        <f t="shared" si="22"/>
        <v>4434.45</v>
      </c>
      <c r="V77" s="46">
        <f t="shared" si="22"/>
        <v>260.70999999999998</v>
      </c>
      <c r="W77" s="46">
        <f t="shared" si="22"/>
        <v>244.65</v>
      </c>
      <c r="X77" s="46">
        <f t="shared" si="22"/>
        <v>1596.85</v>
      </c>
      <c r="Y77" s="46">
        <f t="shared" si="29"/>
        <v>1497.5700000000015</v>
      </c>
      <c r="Z77" s="46">
        <f t="shared" si="30"/>
        <v>15539</v>
      </c>
      <c r="AA77" s="259">
        <f t="shared" si="45"/>
        <v>0</v>
      </c>
      <c r="AB77" s="46">
        <f t="shared" si="45"/>
        <v>0</v>
      </c>
      <c r="AC77" s="46">
        <f t="shared" si="45"/>
        <v>0</v>
      </c>
      <c r="AD77" s="46">
        <f t="shared" si="45"/>
        <v>0</v>
      </c>
      <c r="AE77" s="46">
        <f t="shared" si="45"/>
        <v>0</v>
      </c>
      <c r="AF77" s="46">
        <f t="shared" si="45"/>
        <v>0</v>
      </c>
      <c r="AG77" s="46">
        <f t="shared" si="45"/>
        <v>0</v>
      </c>
      <c r="AH77" s="46">
        <f t="shared" si="45"/>
        <v>0</v>
      </c>
      <c r="AI77" s="46">
        <f t="shared" si="45"/>
        <v>0</v>
      </c>
      <c r="AJ77" s="46">
        <f t="shared" si="45"/>
        <v>0</v>
      </c>
      <c r="AK77" s="46">
        <f t="shared" si="46"/>
        <v>0</v>
      </c>
      <c r="AL77" s="46">
        <f t="shared" si="33"/>
        <v>0</v>
      </c>
    </row>
    <row r="78" spans="1:38" x14ac:dyDescent="0.2">
      <c r="A78" s="43" t="s">
        <v>231</v>
      </c>
      <c r="B78" s="44">
        <f t="shared" si="34"/>
        <v>16409.98</v>
      </c>
      <c r="C78" s="44">
        <f t="shared" si="35"/>
        <v>216.07</v>
      </c>
      <c r="D78" s="44">
        <f t="shared" si="36"/>
        <v>1537.95</v>
      </c>
      <c r="E78" s="44">
        <f t="shared" si="37"/>
        <v>0</v>
      </c>
      <c r="F78" s="44">
        <f t="shared" si="38"/>
        <v>2228.6799999999998</v>
      </c>
      <c r="G78" s="44">
        <f t="shared" si="39"/>
        <v>980.83999999999992</v>
      </c>
      <c r="H78" s="44">
        <f t="shared" si="40"/>
        <v>12629.3</v>
      </c>
      <c r="I78" s="44">
        <f t="shared" si="41"/>
        <v>742.49</v>
      </c>
      <c r="J78" s="44">
        <f t="shared" si="42"/>
        <v>696.75</v>
      </c>
      <c r="K78" s="44">
        <f t="shared" si="43"/>
        <v>4547.82</v>
      </c>
      <c r="L78" s="44">
        <f t="shared" si="44"/>
        <v>4265.1100000000006</v>
      </c>
      <c r="M78" s="44">
        <f>ROUND('2026 COB breakdown_Kris'!M77,2)</f>
        <v>44254.99</v>
      </c>
      <c r="N78" s="45">
        <f>'OP8 part 1 analysis'!G94</f>
        <v>0.59444677592486816</v>
      </c>
      <c r="O78" s="259">
        <f t="shared" si="23"/>
        <v>6655.12</v>
      </c>
      <c r="P78" s="46">
        <f t="shared" si="22"/>
        <v>87.63</v>
      </c>
      <c r="Q78" s="46">
        <f t="shared" si="22"/>
        <v>623.72</v>
      </c>
      <c r="R78" s="46">
        <f t="shared" si="22"/>
        <v>0</v>
      </c>
      <c r="S78" s="46">
        <f t="shared" si="22"/>
        <v>903.85</v>
      </c>
      <c r="T78" s="46">
        <f t="shared" si="22"/>
        <v>397.78</v>
      </c>
      <c r="U78" s="46">
        <f t="shared" si="22"/>
        <v>5121.8500000000004</v>
      </c>
      <c r="V78" s="46">
        <f t="shared" si="22"/>
        <v>301.12</v>
      </c>
      <c r="W78" s="46">
        <f t="shared" si="22"/>
        <v>282.57</v>
      </c>
      <c r="X78" s="46">
        <f t="shared" si="22"/>
        <v>1844.38</v>
      </c>
      <c r="Y78" s="46">
        <f t="shared" si="29"/>
        <v>1729.7299999999959</v>
      </c>
      <c r="Z78" s="46">
        <f t="shared" si="30"/>
        <v>17947.749999999996</v>
      </c>
      <c r="AA78" s="259">
        <f t="shared" si="45"/>
        <v>9754.86</v>
      </c>
      <c r="AB78" s="46">
        <f t="shared" si="45"/>
        <v>128.44</v>
      </c>
      <c r="AC78" s="46">
        <f t="shared" si="45"/>
        <v>914.23</v>
      </c>
      <c r="AD78" s="46">
        <f t="shared" si="45"/>
        <v>0</v>
      </c>
      <c r="AE78" s="46">
        <f t="shared" si="45"/>
        <v>1324.83</v>
      </c>
      <c r="AF78" s="46">
        <f t="shared" si="45"/>
        <v>583.05999999999995</v>
      </c>
      <c r="AG78" s="46">
        <f t="shared" si="45"/>
        <v>7507.45</v>
      </c>
      <c r="AH78" s="46">
        <f t="shared" si="45"/>
        <v>441.37</v>
      </c>
      <c r="AI78" s="46">
        <f t="shared" si="45"/>
        <v>414.18</v>
      </c>
      <c r="AJ78" s="46">
        <f t="shared" si="45"/>
        <v>2703.44</v>
      </c>
      <c r="AK78" s="46">
        <f t="shared" si="46"/>
        <v>2535.3800000000047</v>
      </c>
      <c r="AL78" s="46">
        <f t="shared" si="33"/>
        <v>26307.24</v>
      </c>
    </row>
    <row r="79" spans="1:38" x14ac:dyDescent="0.2">
      <c r="A79" s="43" t="s">
        <v>232</v>
      </c>
      <c r="B79" s="44">
        <f t="shared" si="34"/>
        <v>8196.2800000000007</v>
      </c>
      <c r="C79" s="44">
        <f t="shared" si="35"/>
        <v>107.92</v>
      </c>
      <c r="D79" s="44">
        <f t="shared" si="36"/>
        <v>768.16</v>
      </c>
      <c r="E79" s="44">
        <f t="shared" si="37"/>
        <v>0</v>
      </c>
      <c r="F79" s="44">
        <f t="shared" si="38"/>
        <v>1113.1600000000001</v>
      </c>
      <c r="G79" s="44">
        <f t="shared" si="39"/>
        <v>489.9</v>
      </c>
      <c r="H79" s="44">
        <f t="shared" si="40"/>
        <v>6307.95</v>
      </c>
      <c r="I79" s="44">
        <f t="shared" si="41"/>
        <v>370.85</v>
      </c>
      <c r="J79" s="44">
        <f t="shared" si="42"/>
        <v>348.01</v>
      </c>
      <c r="K79" s="44">
        <f t="shared" si="43"/>
        <v>2271.4899999999998</v>
      </c>
      <c r="L79" s="44">
        <f t="shared" si="44"/>
        <v>2130.2800000000061</v>
      </c>
      <c r="M79" s="44">
        <f>ROUND('2026 COB breakdown_Kris'!M78,2)</f>
        <v>22104</v>
      </c>
      <c r="N79" s="45">
        <f>'OP8 part 1 analysis'!G95</f>
        <v>0</v>
      </c>
      <c r="O79" s="259">
        <f t="shared" si="23"/>
        <v>8196.2800000000007</v>
      </c>
      <c r="P79" s="46">
        <f t="shared" si="22"/>
        <v>107.92</v>
      </c>
      <c r="Q79" s="46">
        <f t="shared" si="22"/>
        <v>768.16</v>
      </c>
      <c r="R79" s="46">
        <f t="shared" si="22"/>
        <v>0</v>
      </c>
      <c r="S79" s="46">
        <f t="shared" si="22"/>
        <v>1113.1600000000001</v>
      </c>
      <c r="T79" s="46">
        <f t="shared" si="22"/>
        <v>489.9</v>
      </c>
      <c r="U79" s="46">
        <f t="shared" si="22"/>
        <v>6307.95</v>
      </c>
      <c r="V79" s="46">
        <f t="shared" si="22"/>
        <v>370.85</v>
      </c>
      <c r="W79" s="46">
        <f t="shared" si="22"/>
        <v>348.01</v>
      </c>
      <c r="X79" s="46">
        <f t="shared" si="22"/>
        <v>2271.4899999999998</v>
      </c>
      <c r="Y79" s="46">
        <f t="shared" si="29"/>
        <v>2130.2800000000061</v>
      </c>
      <c r="Z79" s="46">
        <f t="shared" si="30"/>
        <v>22104</v>
      </c>
      <c r="AA79" s="259">
        <f t="shared" si="45"/>
        <v>0</v>
      </c>
      <c r="AB79" s="46">
        <f t="shared" si="45"/>
        <v>0</v>
      </c>
      <c r="AC79" s="46">
        <f t="shared" si="45"/>
        <v>0</v>
      </c>
      <c r="AD79" s="46">
        <f t="shared" si="45"/>
        <v>0</v>
      </c>
      <c r="AE79" s="46">
        <f t="shared" si="45"/>
        <v>0</v>
      </c>
      <c r="AF79" s="46">
        <f t="shared" si="45"/>
        <v>0</v>
      </c>
      <c r="AG79" s="46">
        <f t="shared" si="45"/>
        <v>0</v>
      </c>
      <c r="AH79" s="46">
        <f t="shared" si="45"/>
        <v>0</v>
      </c>
      <c r="AI79" s="46">
        <f t="shared" si="45"/>
        <v>0</v>
      </c>
      <c r="AJ79" s="46">
        <f t="shared" si="45"/>
        <v>0</v>
      </c>
      <c r="AK79" s="46">
        <f t="shared" si="46"/>
        <v>0</v>
      </c>
      <c r="AL79" s="46">
        <f t="shared" si="33"/>
        <v>0</v>
      </c>
    </row>
    <row r="80" spans="1:38" x14ac:dyDescent="0.2">
      <c r="A80" s="43" t="s">
        <v>134</v>
      </c>
      <c r="B80" s="44">
        <f t="shared" si="34"/>
        <v>0</v>
      </c>
      <c r="C80" s="44">
        <f t="shared" si="35"/>
        <v>0</v>
      </c>
      <c r="D80" s="44">
        <f t="shared" si="36"/>
        <v>0</v>
      </c>
      <c r="E80" s="44">
        <f t="shared" si="37"/>
        <v>0</v>
      </c>
      <c r="F80" s="44">
        <f t="shared" si="38"/>
        <v>0</v>
      </c>
      <c r="G80" s="44">
        <f t="shared" si="39"/>
        <v>0</v>
      </c>
      <c r="H80" s="44">
        <f t="shared" si="40"/>
        <v>0</v>
      </c>
      <c r="I80" s="44">
        <f t="shared" si="41"/>
        <v>0</v>
      </c>
      <c r="J80" s="44">
        <f t="shared" si="42"/>
        <v>0</v>
      </c>
      <c r="K80" s="44">
        <f t="shared" si="43"/>
        <v>0</v>
      </c>
      <c r="L80" s="44">
        <f t="shared" si="44"/>
        <v>0</v>
      </c>
      <c r="M80" s="44">
        <f>ROUND('2026 COB breakdown_Kris'!M79,2)</f>
        <v>0</v>
      </c>
      <c r="N80" s="45">
        <f>'OP8 part 1 analysis'!G96</f>
        <v>0.88</v>
      </c>
      <c r="O80" s="259">
        <f t="shared" si="23"/>
        <v>0</v>
      </c>
      <c r="P80" s="46">
        <f t="shared" si="22"/>
        <v>0</v>
      </c>
      <c r="Q80" s="46">
        <f t="shared" si="22"/>
        <v>0</v>
      </c>
      <c r="R80" s="46">
        <f t="shared" si="22"/>
        <v>0</v>
      </c>
      <c r="S80" s="46">
        <f t="shared" si="22"/>
        <v>0</v>
      </c>
      <c r="T80" s="46">
        <f t="shared" si="22"/>
        <v>0</v>
      </c>
      <c r="U80" s="46">
        <f t="shared" si="22"/>
        <v>0</v>
      </c>
      <c r="V80" s="46">
        <f t="shared" si="22"/>
        <v>0</v>
      </c>
      <c r="W80" s="46">
        <f t="shared" si="22"/>
        <v>0</v>
      </c>
      <c r="X80" s="46">
        <f t="shared" si="22"/>
        <v>0</v>
      </c>
      <c r="Y80" s="46">
        <f t="shared" si="29"/>
        <v>0</v>
      </c>
      <c r="Z80" s="46">
        <f t="shared" si="30"/>
        <v>0</v>
      </c>
      <c r="AA80" s="259">
        <f t="shared" si="45"/>
        <v>0</v>
      </c>
      <c r="AB80" s="46">
        <f t="shared" si="45"/>
        <v>0</v>
      </c>
      <c r="AC80" s="46">
        <f t="shared" si="45"/>
        <v>0</v>
      </c>
      <c r="AD80" s="46">
        <f t="shared" si="45"/>
        <v>0</v>
      </c>
      <c r="AE80" s="46">
        <f t="shared" si="45"/>
        <v>0</v>
      </c>
      <c r="AF80" s="46">
        <f t="shared" si="45"/>
        <v>0</v>
      </c>
      <c r="AG80" s="46">
        <f t="shared" si="45"/>
        <v>0</v>
      </c>
      <c r="AH80" s="46">
        <f t="shared" si="45"/>
        <v>0</v>
      </c>
      <c r="AI80" s="46">
        <f t="shared" si="45"/>
        <v>0</v>
      </c>
      <c r="AJ80" s="46">
        <f t="shared" si="45"/>
        <v>0</v>
      </c>
      <c r="AK80" s="46">
        <f t="shared" si="46"/>
        <v>0</v>
      </c>
      <c r="AL80" s="46">
        <f t="shared" si="33"/>
        <v>0</v>
      </c>
    </row>
    <row r="81" spans="1:38" x14ac:dyDescent="0.2">
      <c r="A81" s="43" t="s">
        <v>233</v>
      </c>
      <c r="B81" s="44">
        <f t="shared" si="34"/>
        <v>7377.99</v>
      </c>
      <c r="C81" s="44">
        <f t="shared" si="35"/>
        <v>97.15</v>
      </c>
      <c r="D81" s="44">
        <f t="shared" si="36"/>
        <v>691.47</v>
      </c>
      <c r="E81" s="44">
        <f t="shared" si="37"/>
        <v>0</v>
      </c>
      <c r="F81" s="44">
        <f t="shared" si="38"/>
        <v>1002.03</v>
      </c>
      <c r="G81" s="44">
        <f t="shared" si="39"/>
        <v>441</v>
      </c>
      <c r="H81" s="44">
        <f t="shared" si="40"/>
        <v>5678.1799999999994</v>
      </c>
      <c r="I81" s="44">
        <f t="shared" si="41"/>
        <v>333.83</v>
      </c>
      <c r="J81" s="44">
        <f t="shared" si="42"/>
        <v>313.27</v>
      </c>
      <c r="K81" s="44">
        <f t="shared" si="43"/>
        <v>2044.71</v>
      </c>
      <c r="L81" s="44">
        <f t="shared" si="44"/>
        <v>1917.5699999999993</v>
      </c>
      <c r="M81" s="44">
        <f>ROUND('2026 COB breakdown_Kris'!M80,2)</f>
        <v>19897.2</v>
      </c>
      <c r="N81" s="45">
        <f>'OP8 part 1 analysis'!G97</f>
        <v>0.12790697674418605</v>
      </c>
      <c r="O81" s="259">
        <f t="shared" si="23"/>
        <v>6434.29</v>
      </c>
      <c r="P81" s="46">
        <f t="shared" si="22"/>
        <v>84.72</v>
      </c>
      <c r="Q81" s="46">
        <f t="shared" si="22"/>
        <v>603.03</v>
      </c>
      <c r="R81" s="46">
        <f t="shared" si="22"/>
        <v>0</v>
      </c>
      <c r="S81" s="46">
        <f t="shared" si="22"/>
        <v>873.86</v>
      </c>
      <c r="T81" s="46">
        <f t="shared" si="22"/>
        <v>384.59</v>
      </c>
      <c r="U81" s="46">
        <f t="shared" si="22"/>
        <v>4951.8999999999996</v>
      </c>
      <c r="V81" s="46">
        <f t="shared" si="22"/>
        <v>291.13</v>
      </c>
      <c r="W81" s="46">
        <f t="shared" si="22"/>
        <v>273.2</v>
      </c>
      <c r="X81" s="46">
        <f t="shared" si="22"/>
        <v>1783.18</v>
      </c>
      <c r="Y81" s="46">
        <f t="shared" si="29"/>
        <v>1672.3099999999995</v>
      </c>
      <c r="Z81" s="46">
        <f t="shared" si="30"/>
        <v>17352.21</v>
      </c>
      <c r="AA81" s="259">
        <f t="shared" si="45"/>
        <v>943.7</v>
      </c>
      <c r="AB81" s="46">
        <f t="shared" si="45"/>
        <v>12.43</v>
      </c>
      <c r="AC81" s="46">
        <f t="shared" si="45"/>
        <v>88.44</v>
      </c>
      <c r="AD81" s="46">
        <f t="shared" si="45"/>
        <v>0</v>
      </c>
      <c r="AE81" s="46">
        <f t="shared" si="45"/>
        <v>128.16999999999999</v>
      </c>
      <c r="AF81" s="46">
        <f t="shared" si="45"/>
        <v>56.41</v>
      </c>
      <c r="AG81" s="46">
        <f t="shared" si="45"/>
        <v>726.28</v>
      </c>
      <c r="AH81" s="46">
        <f t="shared" si="45"/>
        <v>42.7</v>
      </c>
      <c r="AI81" s="46">
        <f t="shared" si="45"/>
        <v>40.07</v>
      </c>
      <c r="AJ81" s="46">
        <f t="shared" si="45"/>
        <v>261.52999999999997</v>
      </c>
      <c r="AK81" s="46">
        <f t="shared" si="46"/>
        <v>245.25999999999976</v>
      </c>
      <c r="AL81" s="46">
        <f t="shared" si="33"/>
        <v>2544.9899999999998</v>
      </c>
    </row>
    <row r="82" spans="1:38" x14ac:dyDescent="0.2">
      <c r="A82" s="43" t="s">
        <v>234</v>
      </c>
      <c r="B82" s="44">
        <f t="shared" si="34"/>
        <v>12988.279999999999</v>
      </c>
      <c r="C82" s="44">
        <f t="shared" si="35"/>
        <v>171.01999999999998</v>
      </c>
      <c r="D82" s="44">
        <f t="shared" si="36"/>
        <v>1217.26</v>
      </c>
      <c r="E82" s="44">
        <f t="shared" si="37"/>
        <v>0</v>
      </c>
      <c r="F82" s="44">
        <f t="shared" si="38"/>
        <v>1763.98</v>
      </c>
      <c r="G82" s="44">
        <f t="shared" si="39"/>
        <v>776.31999999999994</v>
      </c>
      <c r="H82" s="44">
        <f t="shared" si="40"/>
        <v>9995.93</v>
      </c>
      <c r="I82" s="44">
        <f t="shared" si="41"/>
        <v>587.66999999999996</v>
      </c>
      <c r="J82" s="44">
        <f t="shared" si="42"/>
        <v>551.47</v>
      </c>
      <c r="K82" s="44">
        <f t="shared" si="43"/>
        <v>3599.54</v>
      </c>
      <c r="L82" s="44">
        <f t="shared" si="44"/>
        <v>3375.7800000000007</v>
      </c>
      <c r="M82" s="44">
        <f>ROUND('2026 COB breakdown_Kris'!M81,2)</f>
        <v>35027.25</v>
      </c>
      <c r="N82" s="45">
        <f>'OP8 part 1 analysis'!G98</f>
        <v>0.53987730061349692</v>
      </c>
      <c r="O82" s="259">
        <f t="shared" si="23"/>
        <v>5976.2</v>
      </c>
      <c r="P82" s="46">
        <f t="shared" si="22"/>
        <v>78.69</v>
      </c>
      <c r="Q82" s="46">
        <f t="shared" si="22"/>
        <v>560.09</v>
      </c>
      <c r="R82" s="46">
        <f t="shared" si="22"/>
        <v>0</v>
      </c>
      <c r="S82" s="46">
        <f t="shared" si="22"/>
        <v>811.65</v>
      </c>
      <c r="T82" s="46">
        <f t="shared" si="22"/>
        <v>357.2</v>
      </c>
      <c r="U82" s="46">
        <f t="shared" si="22"/>
        <v>4599.3500000000004</v>
      </c>
      <c r="V82" s="46">
        <f t="shared" si="22"/>
        <v>270.39999999999998</v>
      </c>
      <c r="W82" s="46">
        <f t="shared" si="22"/>
        <v>253.75</v>
      </c>
      <c r="X82" s="46">
        <f t="shared" si="22"/>
        <v>1656.23</v>
      </c>
      <c r="Y82" s="46">
        <f t="shared" si="29"/>
        <v>1553.2700000000023</v>
      </c>
      <c r="Z82" s="46">
        <f t="shared" si="30"/>
        <v>16116.830000000002</v>
      </c>
      <c r="AA82" s="259">
        <f t="shared" si="45"/>
        <v>7012.08</v>
      </c>
      <c r="AB82" s="46">
        <f t="shared" si="45"/>
        <v>92.33</v>
      </c>
      <c r="AC82" s="46">
        <f t="shared" si="45"/>
        <v>657.17</v>
      </c>
      <c r="AD82" s="46">
        <f t="shared" si="45"/>
        <v>0</v>
      </c>
      <c r="AE82" s="46">
        <f t="shared" si="45"/>
        <v>952.33</v>
      </c>
      <c r="AF82" s="46">
        <f t="shared" si="45"/>
        <v>419.12</v>
      </c>
      <c r="AG82" s="46">
        <f t="shared" si="45"/>
        <v>5396.58</v>
      </c>
      <c r="AH82" s="46">
        <f t="shared" si="45"/>
        <v>317.27</v>
      </c>
      <c r="AI82" s="46">
        <f t="shared" si="45"/>
        <v>297.72000000000003</v>
      </c>
      <c r="AJ82" s="46">
        <f t="shared" si="45"/>
        <v>1943.31</v>
      </c>
      <c r="AK82" s="46">
        <f t="shared" si="46"/>
        <v>1822.5099999999984</v>
      </c>
      <c r="AL82" s="46">
        <f t="shared" si="33"/>
        <v>18910.419999999998</v>
      </c>
    </row>
    <row r="83" spans="1:38" x14ac:dyDescent="0.2">
      <c r="A83" s="43" t="s">
        <v>235</v>
      </c>
      <c r="B83" s="44">
        <f t="shared" si="34"/>
        <v>13216.08</v>
      </c>
      <c r="C83" s="44">
        <f t="shared" si="35"/>
        <v>174.01999999999998</v>
      </c>
      <c r="D83" s="44">
        <f t="shared" si="36"/>
        <v>1238.6199999999999</v>
      </c>
      <c r="E83" s="44">
        <f t="shared" si="37"/>
        <v>0</v>
      </c>
      <c r="F83" s="44">
        <f t="shared" si="38"/>
        <v>1794.9099999999999</v>
      </c>
      <c r="G83" s="44">
        <f t="shared" si="39"/>
        <v>789.94</v>
      </c>
      <c r="H83" s="44">
        <f t="shared" si="40"/>
        <v>10171.24</v>
      </c>
      <c r="I83" s="44">
        <f t="shared" si="41"/>
        <v>597.98</v>
      </c>
      <c r="J83" s="44">
        <f t="shared" si="42"/>
        <v>561.14</v>
      </c>
      <c r="K83" s="44">
        <f t="shared" si="43"/>
        <v>3662.67</v>
      </c>
      <c r="L83" s="44">
        <f t="shared" si="44"/>
        <v>3434.9599999999991</v>
      </c>
      <c r="M83" s="44">
        <f>ROUND('2026 COB breakdown_Kris'!M82,2)</f>
        <v>35641.56</v>
      </c>
      <c r="N83" s="45">
        <f>'OP8 part 1 analysis'!G99</f>
        <v>0.67514185472343735</v>
      </c>
      <c r="O83" s="259">
        <f t="shared" si="23"/>
        <v>4293.3500000000004</v>
      </c>
      <c r="P83" s="46">
        <f t="shared" si="22"/>
        <v>56.53</v>
      </c>
      <c r="Q83" s="46">
        <f t="shared" si="22"/>
        <v>402.38</v>
      </c>
      <c r="R83" s="46">
        <f t="shared" si="22"/>
        <v>0</v>
      </c>
      <c r="S83" s="46">
        <f t="shared" si="22"/>
        <v>583.09</v>
      </c>
      <c r="T83" s="46">
        <f t="shared" si="22"/>
        <v>256.62</v>
      </c>
      <c r="U83" s="46">
        <f t="shared" si="22"/>
        <v>3304.21</v>
      </c>
      <c r="V83" s="46">
        <f t="shared" si="22"/>
        <v>194.26</v>
      </c>
      <c r="W83" s="46">
        <f t="shared" si="22"/>
        <v>182.29</v>
      </c>
      <c r="X83" s="46">
        <f t="shared" si="22"/>
        <v>1189.8499999999999</v>
      </c>
      <c r="Y83" s="46">
        <f t="shared" si="29"/>
        <v>1115.8699999999953</v>
      </c>
      <c r="Z83" s="46">
        <f t="shared" si="30"/>
        <v>11578.449999999997</v>
      </c>
      <c r="AA83" s="259">
        <f t="shared" si="45"/>
        <v>8922.73</v>
      </c>
      <c r="AB83" s="46">
        <f t="shared" si="45"/>
        <v>117.49</v>
      </c>
      <c r="AC83" s="46">
        <f t="shared" si="45"/>
        <v>836.24</v>
      </c>
      <c r="AD83" s="46">
        <f t="shared" si="45"/>
        <v>0</v>
      </c>
      <c r="AE83" s="46">
        <f t="shared" si="45"/>
        <v>1211.82</v>
      </c>
      <c r="AF83" s="46">
        <f t="shared" si="45"/>
        <v>533.32000000000005</v>
      </c>
      <c r="AG83" s="46">
        <f t="shared" si="45"/>
        <v>6867.03</v>
      </c>
      <c r="AH83" s="46">
        <f t="shared" si="45"/>
        <v>403.72</v>
      </c>
      <c r="AI83" s="46">
        <f t="shared" si="45"/>
        <v>378.85</v>
      </c>
      <c r="AJ83" s="46">
        <f t="shared" si="45"/>
        <v>2472.8200000000002</v>
      </c>
      <c r="AK83" s="46">
        <f t="shared" si="46"/>
        <v>2319.0900000000038</v>
      </c>
      <c r="AL83" s="46">
        <f t="shared" si="33"/>
        <v>24063.11</v>
      </c>
    </row>
    <row r="84" spans="1:38" x14ac:dyDescent="0.2">
      <c r="A84" s="43" t="s">
        <v>236</v>
      </c>
      <c r="B84" s="44">
        <f t="shared" si="34"/>
        <v>5637.27</v>
      </c>
      <c r="C84" s="44">
        <f t="shared" si="35"/>
        <v>74.22</v>
      </c>
      <c r="D84" s="44">
        <f t="shared" si="36"/>
        <v>528.32999999999993</v>
      </c>
      <c r="E84" s="44">
        <f t="shared" si="37"/>
        <v>0</v>
      </c>
      <c r="F84" s="44">
        <f t="shared" si="38"/>
        <v>765.61</v>
      </c>
      <c r="G84" s="44">
        <f t="shared" si="39"/>
        <v>336.95</v>
      </c>
      <c r="H84" s="44">
        <f t="shared" si="40"/>
        <v>4338.5199999999995</v>
      </c>
      <c r="I84" s="44">
        <f t="shared" si="41"/>
        <v>255.06</v>
      </c>
      <c r="J84" s="44">
        <f t="shared" si="42"/>
        <v>239.36</v>
      </c>
      <c r="K84" s="44">
        <f t="shared" si="43"/>
        <v>1562.3000000000002</v>
      </c>
      <c r="L84" s="44">
        <f t="shared" si="44"/>
        <v>1465.1800000000003</v>
      </c>
      <c r="M84" s="44">
        <f>ROUND('2026 COB breakdown_Kris'!M83,2)</f>
        <v>15202.8</v>
      </c>
      <c r="N84" s="45">
        <f>'OP8 part 1 analysis'!G100</f>
        <v>0.59459459459459452</v>
      </c>
      <c r="O84" s="259">
        <f t="shared" si="23"/>
        <v>2285.38</v>
      </c>
      <c r="P84" s="46">
        <f t="shared" si="22"/>
        <v>30.09</v>
      </c>
      <c r="Q84" s="46">
        <f t="shared" si="22"/>
        <v>214.19</v>
      </c>
      <c r="R84" s="46">
        <f t="shared" si="22"/>
        <v>0</v>
      </c>
      <c r="S84" s="46">
        <f t="shared" si="22"/>
        <v>310.38</v>
      </c>
      <c r="T84" s="46">
        <f t="shared" si="22"/>
        <v>136.6</v>
      </c>
      <c r="U84" s="46">
        <f t="shared" si="22"/>
        <v>1758.86</v>
      </c>
      <c r="V84" s="46">
        <f t="shared" si="22"/>
        <v>103.4</v>
      </c>
      <c r="W84" s="46">
        <f t="shared" si="22"/>
        <v>97.04</v>
      </c>
      <c r="X84" s="46">
        <f t="shared" si="22"/>
        <v>633.36</v>
      </c>
      <c r="Y84" s="46">
        <f t="shared" si="29"/>
        <v>594</v>
      </c>
      <c r="Z84" s="46">
        <f t="shared" si="30"/>
        <v>6163.2999999999993</v>
      </c>
      <c r="AA84" s="259">
        <f t="shared" si="45"/>
        <v>3351.89</v>
      </c>
      <c r="AB84" s="46">
        <f t="shared" si="45"/>
        <v>44.13</v>
      </c>
      <c r="AC84" s="46">
        <f t="shared" si="45"/>
        <v>314.14</v>
      </c>
      <c r="AD84" s="46">
        <f t="shared" si="45"/>
        <v>0</v>
      </c>
      <c r="AE84" s="46">
        <f t="shared" si="45"/>
        <v>455.23</v>
      </c>
      <c r="AF84" s="46">
        <f t="shared" si="45"/>
        <v>200.35</v>
      </c>
      <c r="AG84" s="46">
        <f t="shared" si="45"/>
        <v>2579.66</v>
      </c>
      <c r="AH84" s="46">
        <f t="shared" si="45"/>
        <v>151.66</v>
      </c>
      <c r="AI84" s="46">
        <f t="shared" si="45"/>
        <v>142.32</v>
      </c>
      <c r="AJ84" s="46">
        <f t="shared" si="45"/>
        <v>928.94</v>
      </c>
      <c r="AK84" s="46">
        <f t="shared" si="46"/>
        <v>871.18000000000029</v>
      </c>
      <c r="AL84" s="46">
        <f t="shared" si="33"/>
        <v>9039.5</v>
      </c>
    </row>
    <row r="85" spans="1:38" x14ac:dyDescent="0.2">
      <c r="A85" s="43" t="s">
        <v>237</v>
      </c>
      <c r="B85" s="44">
        <f t="shared" si="34"/>
        <v>10349.36</v>
      </c>
      <c r="C85" s="44">
        <f t="shared" si="35"/>
        <v>136.27000000000001</v>
      </c>
      <c r="D85" s="44">
        <f t="shared" si="36"/>
        <v>969.94</v>
      </c>
      <c r="E85" s="44">
        <f t="shared" si="37"/>
        <v>0</v>
      </c>
      <c r="F85" s="44">
        <f t="shared" si="38"/>
        <v>1405.58</v>
      </c>
      <c r="G85" s="44">
        <f t="shared" si="39"/>
        <v>618.59</v>
      </c>
      <c r="H85" s="44">
        <f t="shared" si="40"/>
        <v>7964.98</v>
      </c>
      <c r="I85" s="44">
        <f t="shared" si="41"/>
        <v>468.27</v>
      </c>
      <c r="J85" s="44">
        <f t="shared" si="42"/>
        <v>439.41999999999996</v>
      </c>
      <c r="K85" s="44">
        <f t="shared" si="43"/>
        <v>2868.19</v>
      </c>
      <c r="L85" s="44">
        <f t="shared" si="44"/>
        <v>2689.9099999999962</v>
      </c>
      <c r="M85" s="44">
        <f>ROUND('2026 COB breakdown_Kris'!M84,2)</f>
        <v>27910.51</v>
      </c>
      <c r="N85" s="45">
        <f>'OP8 part 1 analysis'!G101</f>
        <v>0.55353034273273005</v>
      </c>
      <c r="O85" s="259">
        <f t="shared" si="23"/>
        <v>4620.68</v>
      </c>
      <c r="P85" s="46">
        <f t="shared" si="22"/>
        <v>60.84</v>
      </c>
      <c r="Q85" s="46">
        <f t="shared" si="22"/>
        <v>433.05</v>
      </c>
      <c r="R85" s="46">
        <f t="shared" si="22"/>
        <v>0</v>
      </c>
      <c r="S85" s="46">
        <f t="shared" si="22"/>
        <v>627.54999999999995</v>
      </c>
      <c r="T85" s="46">
        <f t="shared" si="22"/>
        <v>276.18</v>
      </c>
      <c r="U85" s="46">
        <f t="shared" si="22"/>
        <v>3556.12</v>
      </c>
      <c r="V85" s="46">
        <f t="shared" si="22"/>
        <v>209.07</v>
      </c>
      <c r="W85" s="46">
        <f t="shared" si="22"/>
        <v>196.19</v>
      </c>
      <c r="X85" s="46">
        <f t="shared" si="22"/>
        <v>1280.56</v>
      </c>
      <c r="Y85" s="46">
        <f t="shared" si="29"/>
        <v>1200.9599999999973</v>
      </c>
      <c r="Z85" s="46">
        <f t="shared" si="30"/>
        <v>12461.199999999999</v>
      </c>
      <c r="AA85" s="259">
        <f t="shared" si="45"/>
        <v>5728.68</v>
      </c>
      <c r="AB85" s="46">
        <f t="shared" si="45"/>
        <v>75.430000000000007</v>
      </c>
      <c r="AC85" s="46">
        <f t="shared" si="45"/>
        <v>536.89</v>
      </c>
      <c r="AD85" s="46">
        <f t="shared" si="45"/>
        <v>0</v>
      </c>
      <c r="AE85" s="46">
        <f t="shared" si="45"/>
        <v>778.03</v>
      </c>
      <c r="AF85" s="46">
        <f t="shared" si="45"/>
        <v>342.41</v>
      </c>
      <c r="AG85" s="46">
        <f t="shared" si="45"/>
        <v>4408.8599999999997</v>
      </c>
      <c r="AH85" s="46">
        <f t="shared" si="45"/>
        <v>259.2</v>
      </c>
      <c r="AI85" s="46">
        <f t="shared" si="45"/>
        <v>243.23</v>
      </c>
      <c r="AJ85" s="46">
        <f t="shared" si="45"/>
        <v>1587.63</v>
      </c>
      <c r="AK85" s="46">
        <f t="shared" si="46"/>
        <v>1488.9499999999989</v>
      </c>
      <c r="AL85" s="46">
        <f t="shared" si="33"/>
        <v>15449.31</v>
      </c>
    </row>
    <row r="86" spans="1:38" x14ac:dyDescent="0.2">
      <c r="A86" s="43" t="s">
        <v>238</v>
      </c>
      <c r="B86" s="44">
        <f t="shared" si="34"/>
        <v>14016.44</v>
      </c>
      <c r="C86" s="44">
        <f t="shared" si="35"/>
        <v>184.56</v>
      </c>
      <c r="D86" s="44">
        <f t="shared" si="36"/>
        <v>1313.62</v>
      </c>
      <c r="E86" s="44">
        <f t="shared" si="37"/>
        <v>0</v>
      </c>
      <c r="F86" s="44">
        <f t="shared" si="38"/>
        <v>1903.61</v>
      </c>
      <c r="G86" s="44">
        <f t="shared" si="39"/>
        <v>837.78</v>
      </c>
      <c r="H86" s="44">
        <f t="shared" si="40"/>
        <v>10787.21</v>
      </c>
      <c r="I86" s="44">
        <f t="shared" si="41"/>
        <v>634.19000000000005</v>
      </c>
      <c r="J86" s="44">
        <f t="shared" si="42"/>
        <v>595.12</v>
      </c>
      <c r="K86" s="44">
        <f t="shared" si="43"/>
        <v>3884.4700000000003</v>
      </c>
      <c r="L86" s="44">
        <f t="shared" si="44"/>
        <v>3643.0000000000036</v>
      </c>
      <c r="M86" s="44">
        <f>ROUND('2026 COB breakdown_Kris'!M85,2)</f>
        <v>37800</v>
      </c>
      <c r="N86" s="45">
        <f>'OP8 part 1 analysis'!G102</f>
        <v>0.59459459459459452</v>
      </c>
      <c r="O86" s="259">
        <f t="shared" si="23"/>
        <v>5682.34</v>
      </c>
      <c r="P86" s="46">
        <f t="shared" si="22"/>
        <v>74.819999999999993</v>
      </c>
      <c r="Q86" s="46">
        <f t="shared" si="22"/>
        <v>532.54999999999995</v>
      </c>
      <c r="R86" s="46">
        <f t="shared" si="22"/>
        <v>0</v>
      </c>
      <c r="S86" s="46">
        <f t="shared" si="22"/>
        <v>771.74</v>
      </c>
      <c r="T86" s="46">
        <f t="shared" si="22"/>
        <v>339.64</v>
      </c>
      <c r="U86" s="46">
        <f t="shared" si="22"/>
        <v>4373.1899999999996</v>
      </c>
      <c r="V86" s="46">
        <f t="shared" si="22"/>
        <v>257.10000000000002</v>
      </c>
      <c r="W86" s="46">
        <f t="shared" si="22"/>
        <v>241.27</v>
      </c>
      <c r="X86" s="46">
        <f t="shared" si="22"/>
        <v>1574.78</v>
      </c>
      <c r="Y86" s="46">
        <f t="shared" si="29"/>
        <v>1476.8899999999994</v>
      </c>
      <c r="Z86" s="46">
        <f t="shared" si="30"/>
        <v>15324.32</v>
      </c>
      <c r="AA86" s="259">
        <f t="shared" si="45"/>
        <v>8334.1</v>
      </c>
      <c r="AB86" s="46">
        <f t="shared" si="45"/>
        <v>109.74</v>
      </c>
      <c r="AC86" s="46">
        <f t="shared" si="45"/>
        <v>781.07</v>
      </c>
      <c r="AD86" s="46">
        <f t="shared" si="45"/>
        <v>0</v>
      </c>
      <c r="AE86" s="46">
        <f t="shared" si="45"/>
        <v>1131.8699999999999</v>
      </c>
      <c r="AF86" s="46">
        <f t="shared" si="45"/>
        <v>498.14</v>
      </c>
      <c r="AG86" s="46">
        <f t="shared" si="45"/>
        <v>6414.02</v>
      </c>
      <c r="AH86" s="46">
        <f t="shared" si="45"/>
        <v>377.09</v>
      </c>
      <c r="AI86" s="46">
        <f t="shared" si="45"/>
        <v>353.85</v>
      </c>
      <c r="AJ86" s="46">
        <f t="shared" si="45"/>
        <v>2309.69</v>
      </c>
      <c r="AK86" s="46">
        <f t="shared" si="46"/>
        <v>2166.1100000000042</v>
      </c>
      <c r="AL86" s="46">
        <f t="shared" si="33"/>
        <v>22475.68</v>
      </c>
    </row>
    <row r="87" spans="1:38" x14ac:dyDescent="0.2">
      <c r="A87" s="43" t="s">
        <v>239</v>
      </c>
      <c r="B87" s="44">
        <f t="shared" si="34"/>
        <v>15507.810000000001</v>
      </c>
      <c r="C87" s="44">
        <f t="shared" si="35"/>
        <v>204.19</v>
      </c>
      <c r="D87" s="44">
        <f t="shared" si="36"/>
        <v>1453.4</v>
      </c>
      <c r="E87" s="44">
        <f t="shared" si="37"/>
        <v>0</v>
      </c>
      <c r="F87" s="44">
        <f t="shared" si="38"/>
        <v>2106.16</v>
      </c>
      <c r="G87" s="44">
        <f t="shared" si="39"/>
        <v>926.92</v>
      </c>
      <c r="H87" s="44">
        <f t="shared" si="40"/>
        <v>11934.99</v>
      </c>
      <c r="I87" s="44">
        <f t="shared" si="41"/>
        <v>701.67</v>
      </c>
      <c r="J87" s="44">
        <f t="shared" si="42"/>
        <v>658.45</v>
      </c>
      <c r="K87" s="44">
        <f t="shared" si="43"/>
        <v>4297.7999999999993</v>
      </c>
      <c r="L87" s="44">
        <f t="shared" si="44"/>
        <v>4030.6200000000063</v>
      </c>
      <c r="M87" s="44">
        <f>ROUND('2026 COB breakdown_Kris'!M86,2)</f>
        <v>41822.01</v>
      </c>
      <c r="N87" s="45">
        <f>'OP8 part 1 analysis'!G103</f>
        <v>0.59459459459459452</v>
      </c>
      <c r="O87" s="259">
        <f t="shared" si="23"/>
        <v>6286.95</v>
      </c>
      <c r="P87" s="46">
        <f t="shared" si="22"/>
        <v>82.78</v>
      </c>
      <c r="Q87" s="46">
        <f t="shared" si="22"/>
        <v>589.22</v>
      </c>
      <c r="R87" s="46">
        <f t="shared" si="22"/>
        <v>0</v>
      </c>
      <c r="S87" s="46">
        <f t="shared" si="22"/>
        <v>853.85</v>
      </c>
      <c r="T87" s="46">
        <f t="shared" si="22"/>
        <v>375.78</v>
      </c>
      <c r="U87" s="46">
        <f t="shared" si="22"/>
        <v>4838.51</v>
      </c>
      <c r="V87" s="46">
        <f t="shared" si="22"/>
        <v>284.45999999999998</v>
      </c>
      <c r="W87" s="46">
        <f t="shared" si="22"/>
        <v>266.94</v>
      </c>
      <c r="X87" s="46">
        <f t="shared" si="22"/>
        <v>1742.35</v>
      </c>
      <c r="Y87" s="46">
        <f t="shared" si="29"/>
        <v>1634.0300000000025</v>
      </c>
      <c r="Z87" s="46">
        <f t="shared" si="30"/>
        <v>16954.870000000003</v>
      </c>
      <c r="AA87" s="259">
        <f t="shared" si="45"/>
        <v>9220.86</v>
      </c>
      <c r="AB87" s="46">
        <f t="shared" si="45"/>
        <v>121.41</v>
      </c>
      <c r="AC87" s="46">
        <f t="shared" si="45"/>
        <v>864.18</v>
      </c>
      <c r="AD87" s="46">
        <f t="shared" si="45"/>
        <v>0</v>
      </c>
      <c r="AE87" s="46">
        <f t="shared" si="45"/>
        <v>1252.31</v>
      </c>
      <c r="AF87" s="46">
        <f t="shared" si="45"/>
        <v>551.14</v>
      </c>
      <c r="AG87" s="46">
        <f t="shared" si="45"/>
        <v>7096.48</v>
      </c>
      <c r="AH87" s="46">
        <f t="shared" si="45"/>
        <v>417.21</v>
      </c>
      <c r="AI87" s="46">
        <f t="shared" si="45"/>
        <v>391.51</v>
      </c>
      <c r="AJ87" s="46">
        <f t="shared" si="45"/>
        <v>2555.4499999999998</v>
      </c>
      <c r="AK87" s="46">
        <f t="shared" si="46"/>
        <v>2396.5900000000038</v>
      </c>
      <c r="AL87" s="46">
        <f t="shared" si="33"/>
        <v>24867.14</v>
      </c>
    </row>
    <row r="88" spans="1:38" x14ac:dyDescent="0.2">
      <c r="A88" s="43" t="s">
        <v>240</v>
      </c>
      <c r="B88" s="44">
        <f t="shared" si="34"/>
        <v>11523.29</v>
      </c>
      <c r="C88" s="44">
        <f t="shared" si="35"/>
        <v>151.72999999999999</v>
      </c>
      <c r="D88" s="44">
        <f t="shared" si="36"/>
        <v>1079.97</v>
      </c>
      <c r="E88" s="44">
        <f t="shared" si="37"/>
        <v>0</v>
      </c>
      <c r="F88" s="44">
        <f t="shared" si="38"/>
        <v>1565.01</v>
      </c>
      <c r="G88" s="44">
        <f t="shared" si="39"/>
        <v>688.76</v>
      </c>
      <c r="H88" s="44">
        <f t="shared" si="40"/>
        <v>8868.4500000000007</v>
      </c>
      <c r="I88" s="44">
        <f t="shared" si="41"/>
        <v>521.39</v>
      </c>
      <c r="J88" s="44">
        <f t="shared" si="42"/>
        <v>489.26</v>
      </c>
      <c r="K88" s="44">
        <f t="shared" si="43"/>
        <v>3193.5299999999997</v>
      </c>
      <c r="L88" s="44">
        <f t="shared" si="44"/>
        <v>2995</v>
      </c>
      <c r="M88" s="44">
        <f>ROUND('2026 COB breakdown_Kris'!M87,2)</f>
        <v>31076.39</v>
      </c>
      <c r="N88" s="45">
        <f>'OP8 part 1 analysis'!G104</f>
        <v>0.54314780179778044</v>
      </c>
      <c r="O88" s="259">
        <f t="shared" si="23"/>
        <v>5264.44</v>
      </c>
      <c r="P88" s="46">
        <f t="shared" si="22"/>
        <v>69.319999999999993</v>
      </c>
      <c r="Q88" s="46">
        <f t="shared" si="22"/>
        <v>493.39</v>
      </c>
      <c r="R88" s="46">
        <f t="shared" si="22"/>
        <v>0</v>
      </c>
      <c r="S88" s="46">
        <f t="shared" si="22"/>
        <v>714.98</v>
      </c>
      <c r="T88" s="46">
        <f t="shared" si="22"/>
        <v>314.66000000000003</v>
      </c>
      <c r="U88" s="46">
        <f t="shared" si="22"/>
        <v>4051.57</v>
      </c>
      <c r="V88" s="46">
        <f t="shared" si="22"/>
        <v>238.2</v>
      </c>
      <c r="W88" s="46">
        <f t="shared" si="22"/>
        <v>223.52</v>
      </c>
      <c r="X88" s="46">
        <f t="shared" si="22"/>
        <v>1458.97</v>
      </c>
      <c r="Y88" s="46">
        <f t="shared" si="29"/>
        <v>1368.2700000000004</v>
      </c>
      <c r="Z88" s="46">
        <f t="shared" si="30"/>
        <v>14197.32</v>
      </c>
      <c r="AA88" s="259">
        <f t="shared" si="45"/>
        <v>6258.85</v>
      </c>
      <c r="AB88" s="46">
        <f t="shared" si="45"/>
        <v>82.41</v>
      </c>
      <c r="AC88" s="46">
        <f t="shared" si="45"/>
        <v>586.58000000000004</v>
      </c>
      <c r="AD88" s="46">
        <f t="shared" si="45"/>
        <v>0</v>
      </c>
      <c r="AE88" s="46">
        <f t="shared" si="45"/>
        <v>850.03</v>
      </c>
      <c r="AF88" s="46">
        <f t="shared" si="45"/>
        <v>374.1</v>
      </c>
      <c r="AG88" s="46">
        <f t="shared" si="45"/>
        <v>4816.88</v>
      </c>
      <c r="AH88" s="46">
        <f t="shared" si="45"/>
        <v>283.19</v>
      </c>
      <c r="AI88" s="46">
        <f t="shared" si="45"/>
        <v>265.74</v>
      </c>
      <c r="AJ88" s="46">
        <f t="shared" si="45"/>
        <v>1734.56</v>
      </c>
      <c r="AK88" s="46">
        <f t="shared" si="46"/>
        <v>1626.7299999999996</v>
      </c>
      <c r="AL88" s="46">
        <f t="shared" si="33"/>
        <v>16879.07</v>
      </c>
    </row>
    <row r="89" spans="1:38" x14ac:dyDescent="0.2">
      <c r="A89" s="43" t="s">
        <v>241</v>
      </c>
      <c r="B89" s="44">
        <f t="shared" si="34"/>
        <v>9055.06</v>
      </c>
      <c r="C89" s="44">
        <f t="shared" si="35"/>
        <v>119.23</v>
      </c>
      <c r="D89" s="44">
        <f t="shared" si="36"/>
        <v>848.6400000000001</v>
      </c>
      <c r="E89" s="44">
        <f t="shared" si="37"/>
        <v>0</v>
      </c>
      <c r="F89" s="44">
        <f t="shared" si="38"/>
        <v>1229.8000000000002</v>
      </c>
      <c r="G89" s="44">
        <f t="shared" si="39"/>
        <v>541.23</v>
      </c>
      <c r="H89" s="44">
        <f t="shared" si="40"/>
        <v>6968.88</v>
      </c>
      <c r="I89" s="44">
        <f t="shared" si="41"/>
        <v>409.71000000000004</v>
      </c>
      <c r="J89" s="44">
        <f t="shared" si="42"/>
        <v>384.46000000000004</v>
      </c>
      <c r="K89" s="44">
        <f t="shared" si="43"/>
        <v>2509.4899999999998</v>
      </c>
      <c r="L89" s="44">
        <f t="shared" si="44"/>
        <v>2353.5</v>
      </c>
      <c r="M89" s="44">
        <f>ROUND('2026 COB breakdown_Kris'!M88,2)</f>
        <v>24420</v>
      </c>
      <c r="N89" s="45">
        <f>'OP8 part 1 analysis'!G105</f>
        <v>0.53987730061349692</v>
      </c>
      <c r="O89" s="259">
        <f t="shared" si="23"/>
        <v>4166.4399999999996</v>
      </c>
      <c r="P89" s="46">
        <f t="shared" si="22"/>
        <v>54.86</v>
      </c>
      <c r="Q89" s="46">
        <f t="shared" si="22"/>
        <v>390.48</v>
      </c>
      <c r="R89" s="46">
        <f t="shared" si="22"/>
        <v>0</v>
      </c>
      <c r="S89" s="46">
        <f t="shared" si="22"/>
        <v>565.86</v>
      </c>
      <c r="T89" s="46">
        <f t="shared" si="22"/>
        <v>249.03</v>
      </c>
      <c r="U89" s="46">
        <f t="shared" si="22"/>
        <v>3206.54</v>
      </c>
      <c r="V89" s="46">
        <f t="shared" si="22"/>
        <v>188.52</v>
      </c>
      <c r="W89" s="46">
        <f t="shared" si="22"/>
        <v>176.9</v>
      </c>
      <c r="X89" s="46">
        <f t="shared" si="22"/>
        <v>1154.67</v>
      </c>
      <c r="Y89" s="46">
        <f t="shared" si="29"/>
        <v>1082.9000000000015</v>
      </c>
      <c r="Z89" s="46">
        <f t="shared" si="30"/>
        <v>11236.2</v>
      </c>
      <c r="AA89" s="259">
        <f t="shared" si="45"/>
        <v>4888.62</v>
      </c>
      <c r="AB89" s="46">
        <f t="shared" si="45"/>
        <v>64.37</v>
      </c>
      <c r="AC89" s="46">
        <f t="shared" si="45"/>
        <v>458.16</v>
      </c>
      <c r="AD89" s="46">
        <f t="shared" si="45"/>
        <v>0</v>
      </c>
      <c r="AE89" s="46">
        <f t="shared" si="45"/>
        <v>663.94</v>
      </c>
      <c r="AF89" s="46">
        <f t="shared" si="45"/>
        <v>292.2</v>
      </c>
      <c r="AG89" s="46">
        <f t="shared" si="45"/>
        <v>3762.34</v>
      </c>
      <c r="AH89" s="46">
        <f t="shared" si="45"/>
        <v>221.19</v>
      </c>
      <c r="AI89" s="46">
        <f t="shared" si="45"/>
        <v>207.56</v>
      </c>
      <c r="AJ89" s="46">
        <f t="shared" si="45"/>
        <v>1354.82</v>
      </c>
      <c r="AK89" s="46">
        <f t="shared" si="46"/>
        <v>1270.5999999999985</v>
      </c>
      <c r="AL89" s="46">
        <f t="shared" si="33"/>
        <v>13183.8</v>
      </c>
    </row>
    <row r="90" spans="1:38" x14ac:dyDescent="0.2">
      <c r="A90" s="43" t="s">
        <v>242</v>
      </c>
      <c r="B90" s="44">
        <f t="shared" si="34"/>
        <v>6712.32</v>
      </c>
      <c r="C90" s="44">
        <f t="shared" si="35"/>
        <v>88.38</v>
      </c>
      <c r="D90" s="44">
        <f t="shared" si="36"/>
        <v>629.07999999999993</v>
      </c>
      <c r="E90" s="44">
        <f t="shared" si="37"/>
        <v>0</v>
      </c>
      <c r="F90" s="44">
        <f t="shared" si="38"/>
        <v>911.62</v>
      </c>
      <c r="G90" s="44">
        <f t="shared" si="39"/>
        <v>401.2</v>
      </c>
      <c r="H90" s="44">
        <f t="shared" si="40"/>
        <v>5165.88</v>
      </c>
      <c r="I90" s="44">
        <f t="shared" si="41"/>
        <v>303.70999999999998</v>
      </c>
      <c r="J90" s="44">
        <f t="shared" si="42"/>
        <v>285</v>
      </c>
      <c r="K90" s="44">
        <f t="shared" si="43"/>
        <v>1860.23</v>
      </c>
      <c r="L90" s="44">
        <f t="shared" si="44"/>
        <v>1744.58</v>
      </c>
      <c r="M90" s="44">
        <f>ROUND('2026 COB breakdown_Kris'!M89,2)</f>
        <v>18102</v>
      </c>
      <c r="N90" s="45">
        <f>'OP8 part 1 analysis'!G106</f>
        <v>0.74576271186440679</v>
      </c>
      <c r="O90" s="259">
        <f t="shared" si="23"/>
        <v>1706.52</v>
      </c>
      <c r="P90" s="46">
        <f t="shared" si="22"/>
        <v>22.47</v>
      </c>
      <c r="Q90" s="46">
        <f t="shared" si="22"/>
        <v>159.94</v>
      </c>
      <c r="R90" s="46">
        <f t="shared" si="22"/>
        <v>0</v>
      </c>
      <c r="S90" s="46">
        <f t="shared" si="22"/>
        <v>231.77</v>
      </c>
      <c r="T90" s="46">
        <f t="shared" si="22"/>
        <v>102</v>
      </c>
      <c r="U90" s="46">
        <f t="shared" si="22"/>
        <v>1313.36</v>
      </c>
      <c r="V90" s="46">
        <f t="shared" si="22"/>
        <v>77.209999999999994</v>
      </c>
      <c r="W90" s="46">
        <f t="shared" si="22"/>
        <v>72.459999999999994</v>
      </c>
      <c r="X90" s="46">
        <f t="shared" si="22"/>
        <v>472.94</v>
      </c>
      <c r="Y90" s="46">
        <f t="shared" si="29"/>
        <v>443.53000000000065</v>
      </c>
      <c r="Z90" s="46">
        <f t="shared" si="30"/>
        <v>4602.2000000000007</v>
      </c>
      <c r="AA90" s="259">
        <f t="shared" si="45"/>
        <v>5005.8</v>
      </c>
      <c r="AB90" s="46">
        <f t="shared" si="45"/>
        <v>65.91</v>
      </c>
      <c r="AC90" s="46">
        <f t="shared" si="45"/>
        <v>469.14</v>
      </c>
      <c r="AD90" s="46">
        <f t="shared" si="45"/>
        <v>0</v>
      </c>
      <c r="AE90" s="46">
        <f t="shared" si="45"/>
        <v>679.85</v>
      </c>
      <c r="AF90" s="46">
        <f t="shared" si="45"/>
        <v>299.2</v>
      </c>
      <c r="AG90" s="46">
        <f t="shared" si="45"/>
        <v>3852.52</v>
      </c>
      <c r="AH90" s="46">
        <f t="shared" si="45"/>
        <v>226.5</v>
      </c>
      <c r="AI90" s="46">
        <f t="shared" si="45"/>
        <v>212.54</v>
      </c>
      <c r="AJ90" s="46">
        <f t="shared" si="45"/>
        <v>1387.29</v>
      </c>
      <c r="AK90" s="46">
        <f t="shared" si="46"/>
        <v>1301.0499999999993</v>
      </c>
      <c r="AL90" s="46">
        <f t="shared" si="33"/>
        <v>13499.8</v>
      </c>
    </row>
    <row r="91" spans="1:38" x14ac:dyDescent="0.2">
      <c r="A91" s="43" t="s">
        <v>243</v>
      </c>
      <c r="B91" s="44">
        <f t="shared" si="34"/>
        <v>10928.3</v>
      </c>
      <c r="C91" s="44">
        <f t="shared" si="35"/>
        <v>143.88999999999999</v>
      </c>
      <c r="D91" s="44">
        <f t="shared" si="36"/>
        <v>1024.21</v>
      </c>
      <c r="E91" s="44">
        <f t="shared" si="37"/>
        <v>0</v>
      </c>
      <c r="F91" s="44">
        <f t="shared" si="38"/>
        <v>1484.21</v>
      </c>
      <c r="G91" s="44">
        <f t="shared" si="39"/>
        <v>653.20000000000005</v>
      </c>
      <c r="H91" s="44">
        <f t="shared" si="40"/>
        <v>8410.5400000000009</v>
      </c>
      <c r="I91" s="44">
        <f t="shared" si="41"/>
        <v>494.46</v>
      </c>
      <c r="J91" s="44">
        <f t="shared" si="42"/>
        <v>464.01</v>
      </c>
      <c r="K91" s="44">
        <f t="shared" si="43"/>
        <v>3028.63</v>
      </c>
      <c r="L91" s="44">
        <f t="shared" si="44"/>
        <v>2840.3600000000042</v>
      </c>
      <c r="M91" s="44">
        <f>ROUND('2026 COB breakdown_Kris'!M90,2)</f>
        <v>29471.81</v>
      </c>
      <c r="N91" s="45">
        <f>'OP8 part 1 analysis'!G107</f>
        <v>0</v>
      </c>
      <c r="O91" s="259">
        <f t="shared" si="23"/>
        <v>10928.3</v>
      </c>
      <c r="P91" s="46">
        <f t="shared" si="22"/>
        <v>143.88999999999999</v>
      </c>
      <c r="Q91" s="46">
        <f t="shared" si="22"/>
        <v>1024.21</v>
      </c>
      <c r="R91" s="46">
        <f t="shared" si="22"/>
        <v>0</v>
      </c>
      <c r="S91" s="46">
        <f t="shared" si="22"/>
        <v>1484.21</v>
      </c>
      <c r="T91" s="46">
        <f t="shared" si="22"/>
        <v>653.20000000000005</v>
      </c>
      <c r="U91" s="46">
        <f t="shared" si="22"/>
        <v>8410.5400000000009</v>
      </c>
      <c r="V91" s="46">
        <f t="shared" si="22"/>
        <v>494.46</v>
      </c>
      <c r="W91" s="46">
        <f t="shared" si="22"/>
        <v>464.01</v>
      </c>
      <c r="X91" s="46">
        <f t="shared" si="22"/>
        <v>3028.63</v>
      </c>
      <c r="Y91" s="46">
        <f t="shared" si="29"/>
        <v>2840.3600000000042</v>
      </c>
      <c r="Z91" s="46">
        <f t="shared" si="30"/>
        <v>29471.81</v>
      </c>
      <c r="AA91" s="259">
        <f t="shared" si="45"/>
        <v>0</v>
      </c>
      <c r="AB91" s="46">
        <f t="shared" si="45"/>
        <v>0</v>
      </c>
      <c r="AC91" s="46">
        <f t="shared" si="45"/>
        <v>0</v>
      </c>
      <c r="AD91" s="46">
        <f t="shared" si="45"/>
        <v>0</v>
      </c>
      <c r="AE91" s="46">
        <f t="shared" si="45"/>
        <v>0</v>
      </c>
      <c r="AF91" s="46">
        <f t="shared" si="45"/>
        <v>0</v>
      </c>
      <c r="AG91" s="46">
        <f t="shared" si="45"/>
        <v>0</v>
      </c>
      <c r="AH91" s="46">
        <f t="shared" si="45"/>
        <v>0</v>
      </c>
      <c r="AI91" s="46">
        <f t="shared" si="45"/>
        <v>0</v>
      </c>
      <c r="AJ91" s="46">
        <f t="shared" si="45"/>
        <v>0</v>
      </c>
      <c r="AK91" s="46">
        <f t="shared" si="46"/>
        <v>0</v>
      </c>
      <c r="AL91" s="46">
        <f t="shared" si="33"/>
        <v>0</v>
      </c>
    </row>
    <row r="92" spans="1:38" x14ac:dyDescent="0.2">
      <c r="A92" s="43" t="s">
        <v>244</v>
      </c>
      <c r="B92" s="44">
        <f t="shared" si="34"/>
        <v>5532.0400000000009</v>
      </c>
      <c r="C92" s="44">
        <f t="shared" si="35"/>
        <v>72.84</v>
      </c>
      <c r="D92" s="44">
        <f t="shared" si="36"/>
        <v>518.46</v>
      </c>
      <c r="E92" s="44">
        <f t="shared" si="37"/>
        <v>0</v>
      </c>
      <c r="F92" s="44">
        <f t="shared" si="38"/>
        <v>751.31999999999994</v>
      </c>
      <c r="G92" s="44">
        <f t="shared" si="39"/>
        <v>330.65999999999997</v>
      </c>
      <c r="H92" s="44">
        <f t="shared" si="40"/>
        <v>4257.5200000000004</v>
      </c>
      <c r="I92" s="44">
        <f t="shared" si="41"/>
        <v>250.31</v>
      </c>
      <c r="J92" s="44">
        <f t="shared" si="42"/>
        <v>234.88</v>
      </c>
      <c r="K92" s="44">
        <f t="shared" si="43"/>
        <v>1533.13</v>
      </c>
      <c r="L92" s="44">
        <f t="shared" si="44"/>
        <v>1437.8399999999992</v>
      </c>
      <c r="M92" s="44">
        <f>ROUND('2026 COB breakdown_Kris'!M91,2)</f>
        <v>14919</v>
      </c>
      <c r="N92" s="45">
        <f>'OP8 part 1 analysis'!G108</f>
        <v>0.58446451326943316</v>
      </c>
      <c r="O92" s="259">
        <f t="shared" si="23"/>
        <v>2298.7600000000002</v>
      </c>
      <c r="P92" s="46">
        <f t="shared" si="22"/>
        <v>30.27</v>
      </c>
      <c r="Q92" s="46">
        <f t="shared" si="22"/>
        <v>215.44</v>
      </c>
      <c r="R92" s="46">
        <f t="shared" si="22"/>
        <v>0</v>
      </c>
      <c r="S92" s="46">
        <f t="shared" si="22"/>
        <v>312.2</v>
      </c>
      <c r="T92" s="46">
        <f t="shared" si="22"/>
        <v>137.4</v>
      </c>
      <c r="U92" s="46">
        <f t="shared" si="22"/>
        <v>1769.15</v>
      </c>
      <c r="V92" s="46">
        <f t="shared" si="22"/>
        <v>104.01</v>
      </c>
      <c r="W92" s="46">
        <f t="shared" ref="P92:X104" si="47">ROUND($Z92*W$4,2)</f>
        <v>97.6</v>
      </c>
      <c r="X92" s="46">
        <f t="shared" si="47"/>
        <v>637.07000000000005</v>
      </c>
      <c r="Y92" s="46">
        <f t="shared" si="29"/>
        <v>597.47000000000025</v>
      </c>
      <c r="Z92" s="46">
        <f t="shared" si="30"/>
        <v>6199.3700000000008</v>
      </c>
      <c r="AA92" s="259">
        <f t="shared" si="45"/>
        <v>3233.28</v>
      </c>
      <c r="AB92" s="46">
        <f t="shared" si="45"/>
        <v>42.57</v>
      </c>
      <c r="AC92" s="46">
        <f t="shared" si="45"/>
        <v>303.02</v>
      </c>
      <c r="AD92" s="46">
        <f t="shared" si="45"/>
        <v>0</v>
      </c>
      <c r="AE92" s="46">
        <f t="shared" si="45"/>
        <v>439.12</v>
      </c>
      <c r="AF92" s="46">
        <f t="shared" si="45"/>
        <v>193.26</v>
      </c>
      <c r="AG92" s="46">
        <f t="shared" si="45"/>
        <v>2488.37</v>
      </c>
      <c r="AH92" s="46">
        <f t="shared" si="45"/>
        <v>146.30000000000001</v>
      </c>
      <c r="AI92" s="46">
        <f t="shared" si="45"/>
        <v>137.28</v>
      </c>
      <c r="AJ92" s="46">
        <f t="shared" si="45"/>
        <v>896.06</v>
      </c>
      <c r="AK92" s="46">
        <f t="shared" si="46"/>
        <v>840.36999999999898</v>
      </c>
      <c r="AL92" s="46">
        <f t="shared" si="33"/>
        <v>8719.6299999999992</v>
      </c>
    </row>
    <row r="93" spans="1:38" x14ac:dyDescent="0.2">
      <c r="A93" s="43" t="s">
        <v>245</v>
      </c>
      <c r="B93" s="44">
        <f t="shared" si="34"/>
        <v>9399.91</v>
      </c>
      <c r="C93" s="44">
        <f t="shared" si="35"/>
        <v>123.75999999999999</v>
      </c>
      <c r="D93" s="44">
        <f t="shared" si="36"/>
        <v>880.96</v>
      </c>
      <c r="E93" s="44">
        <f t="shared" si="37"/>
        <v>0</v>
      </c>
      <c r="F93" s="44">
        <f t="shared" si="38"/>
        <v>1276.6300000000001</v>
      </c>
      <c r="G93" s="44">
        <f t="shared" si="39"/>
        <v>561.84</v>
      </c>
      <c r="H93" s="44">
        <f t="shared" si="40"/>
        <v>7234.2800000000007</v>
      </c>
      <c r="I93" s="44">
        <f t="shared" si="41"/>
        <v>425.31</v>
      </c>
      <c r="J93" s="44">
        <f t="shared" si="42"/>
        <v>399.11</v>
      </c>
      <c r="K93" s="44">
        <f t="shared" si="43"/>
        <v>2605.0600000000004</v>
      </c>
      <c r="L93" s="44">
        <f t="shared" si="44"/>
        <v>2443.1399999999994</v>
      </c>
      <c r="M93" s="44">
        <f>ROUND('2026 COB breakdown_Kris'!M92,2)</f>
        <v>25350</v>
      </c>
      <c r="N93" s="45">
        <f>'OP8 part 1 analysis'!G109</f>
        <v>0.46808510638297868</v>
      </c>
      <c r="O93" s="259">
        <f t="shared" si="23"/>
        <v>4999.95</v>
      </c>
      <c r="P93" s="46">
        <f t="shared" si="47"/>
        <v>65.83</v>
      </c>
      <c r="Q93" s="46">
        <f t="shared" si="47"/>
        <v>468.6</v>
      </c>
      <c r="R93" s="46">
        <f t="shared" si="47"/>
        <v>0</v>
      </c>
      <c r="S93" s="46">
        <f t="shared" si="47"/>
        <v>679.06</v>
      </c>
      <c r="T93" s="46">
        <f t="shared" si="47"/>
        <v>298.85000000000002</v>
      </c>
      <c r="U93" s="46">
        <f t="shared" si="47"/>
        <v>3848.02</v>
      </c>
      <c r="V93" s="46">
        <f t="shared" si="47"/>
        <v>226.23</v>
      </c>
      <c r="W93" s="46">
        <f t="shared" si="47"/>
        <v>212.29</v>
      </c>
      <c r="X93" s="46">
        <f t="shared" si="47"/>
        <v>1385.67</v>
      </c>
      <c r="Y93" s="46">
        <f t="shared" si="29"/>
        <v>1299.5399999999991</v>
      </c>
      <c r="Z93" s="46">
        <f t="shared" si="30"/>
        <v>13484.04</v>
      </c>
      <c r="AA93" s="259">
        <f t="shared" si="45"/>
        <v>4399.96</v>
      </c>
      <c r="AB93" s="46">
        <f t="shared" si="45"/>
        <v>57.93</v>
      </c>
      <c r="AC93" s="46">
        <f t="shared" si="45"/>
        <v>412.36</v>
      </c>
      <c r="AD93" s="46">
        <f t="shared" si="45"/>
        <v>0</v>
      </c>
      <c r="AE93" s="46">
        <f t="shared" si="45"/>
        <v>597.57000000000005</v>
      </c>
      <c r="AF93" s="46">
        <f t="shared" si="45"/>
        <v>262.99</v>
      </c>
      <c r="AG93" s="46">
        <f t="shared" si="45"/>
        <v>3386.26</v>
      </c>
      <c r="AH93" s="46">
        <f t="shared" si="45"/>
        <v>199.08</v>
      </c>
      <c r="AI93" s="46">
        <f t="shared" si="45"/>
        <v>186.82</v>
      </c>
      <c r="AJ93" s="46">
        <f t="shared" si="45"/>
        <v>1219.3900000000001</v>
      </c>
      <c r="AK93" s="46">
        <f t="shared" si="46"/>
        <v>1143.6000000000004</v>
      </c>
      <c r="AL93" s="46">
        <f t="shared" si="33"/>
        <v>11865.96</v>
      </c>
    </row>
    <row r="94" spans="1:38" x14ac:dyDescent="0.2">
      <c r="A94" s="43" t="s">
        <v>246</v>
      </c>
      <c r="B94" s="44">
        <f t="shared" ref="B94" si="48">O94+AA94</f>
        <v>12477.96</v>
      </c>
      <c r="C94" s="44">
        <f t="shared" si="35"/>
        <v>164.3</v>
      </c>
      <c r="D94" s="44">
        <f t="shared" si="36"/>
        <v>1169.44</v>
      </c>
      <c r="E94" s="44">
        <f t="shared" si="26"/>
        <v>6730</v>
      </c>
      <c r="F94" s="44">
        <f t="shared" si="38"/>
        <v>1694.67</v>
      </c>
      <c r="G94" s="44">
        <f t="shared" si="39"/>
        <v>745.81999999999994</v>
      </c>
      <c r="H94" s="44">
        <f t="shared" si="40"/>
        <v>9603.18</v>
      </c>
      <c r="I94" s="44">
        <f t="shared" si="41"/>
        <v>564.58999999999992</v>
      </c>
      <c r="J94" s="44">
        <f t="shared" si="42"/>
        <v>529.80999999999995</v>
      </c>
      <c r="K94" s="44">
        <f t="shared" si="43"/>
        <v>3458.11</v>
      </c>
      <c r="L94" s="44">
        <f t="shared" si="44"/>
        <v>3243.1199999999953</v>
      </c>
      <c r="M94" s="44">
        <f>ROUND('2026 COB breakdown_Kris'!M93,2)</f>
        <v>40381</v>
      </c>
      <c r="N94" s="45">
        <f>'OP8 part 1 analysis'!G110</f>
        <v>0.53987730061349692</v>
      </c>
      <c r="O94" s="259">
        <f>ROUND(($Z94-$R$94)*O$4,2)</f>
        <v>5741.39</v>
      </c>
      <c r="P94" s="46">
        <f t="shared" ref="P94:Q94" si="49">ROUND(($Z94-$R$94)*P$4,2)</f>
        <v>75.599999999999994</v>
      </c>
      <c r="Q94" s="46">
        <f t="shared" si="49"/>
        <v>538.09</v>
      </c>
      <c r="R94" s="46">
        <f>E94-AD94</f>
        <v>3096.63</v>
      </c>
      <c r="S94" s="46">
        <f t="shared" ref="S94:X94" si="50">ROUND(($Z94-$R$94)*S$4,2)</f>
        <v>779.76</v>
      </c>
      <c r="T94" s="46">
        <f t="shared" si="50"/>
        <v>343.17</v>
      </c>
      <c r="U94" s="46">
        <f t="shared" si="50"/>
        <v>4418.6400000000003</v>
      </c>
      <c r="V94" s="46">
        <f t="shared" si="50"/>
        <v>259.77999999999997</v>
      </c>
      <c r="W94" s="46">
        <f t="shared" si="50"/>
        <v>243.78</v>
      </c>
      <c r="X94" s="46">
        <f t="shared" si="50"/>
        <v>1591.15</v>
      </c>
      <c r="Y94" s="46">
        <f t="shared" si="29"/>
        <v>1492.2199999999939</v>
      </c>
      <c r="Z94" s="46">
        <f t="shared" si="30"/>
        <v>18580.21</v>
      </c>
      <c r="AA94" s="259">
        <f>ROUND(($AL94-$AD$94)*AA$4,2)</f>
        <v>6736.57</v>
      </c>
      <c r="AB94" s="46">
        <f t="shared" ref="AB94:AC94" si="51">ROUND(($AL94-$AD$94)*AB$4,2)</f>
        <v>88.7</v>
      </c>
      <c r="AC94" s="46">
        <f t="shared" si="51"/>
        <v>631.35</v>
      </c>
      <c r="AD94" s="46">
        <f>ROUND(E94*N94,2)</f>
        <v>3633.37</v>
      </c>
      <c r="AE94" s="46">
        <f t="shared" ref="AE94:AJ94" si="52">ROUND(($AL94-$AD$94)*AE$4,2)</f>
        <v>914.91</v>
      </c>
      <c r="AF94" s="46">
        <f t="shared" si="52"/>
        <v>402.65</v>
      </c>
      <c r="AG94" s="46">
        <f t="shared" si="52"/>
        <v>5184.54</v>
      </c>
      <c r="AH94" s="46">
        <f t="shared" si="52"/>
        <v>304.81</v>
      </c>
      <c r="AI94" s="46">
        <f t="shared" si="52"/>
        <v>286.02999999999997</v>
      </c>
      <c r="AJ94" s="46">
        <f t="shared" si="52"/>
        <v>1866.96</v>
      </c>
      <c r="AK94" s="46">
        <f t="shared" si="46"/>
        <v>1750.9000000000015</v>
      </c>
      <c r="AL94" s="46">
        <f>ROUND(M94*N94,2)</f>
        <v>21800.79</v>
      </c>
    </row>
    <row r="95" spans="1:38" x14ac:dyDescent="0.2">
      <c r="A95" s="43" t="s">
        <v>247</v>
      </c>
      <c r="B95" s="44">
        <f t="shared" ref="B95:B104" si="53">O95+AA95</f>
        <v>9835.6</v>
      </c>
      <c r="C95" s="44">
        <f t="shared" ref="C95:C104" si="54">P95+AB95</f>
        <v>129.5</v>
      </c>
      <c r="D95" s="44">
        <f t="shared" ref="D95:D104" si="55">Q95+AC95</f>
        <v>921.8</v>
      </c>
      <c r="E95" s="44">
        <f t="shared" ref="E95:E104" si="56">R95+AD95</f>
        <v>0</v>
      </c>
      <c r="F95" s="44">
        <f t="shared" ref="F95:F104" si="57">S95+AE95</f>
        <v>1335.8</v>
      </c>
      <c r="G95" s="44">
        <f t="shared" ref="G95:G104" si="58">T95+AF95</f>
        <v>587.89</v>
      </c>
      <c r="H95" s="44">
        <f t="shared" ref="H95:H104" si="59">U95+AG95</f>
        <v>7569.59</v>
      </c>
      <c r="I95" s="44">
        <f t="shared" ref="I95:I104" si="60">V95+AH95</f>
        <v>445.02</v>
      </c>
      <c r="J95" s="44">
        <f t="shared" ref="J95:J104" si="61">W95+AI95</f>
        <v>417.61</v>
      </c>
      <c r="K95" s="44">
        <f t="shared" ref="K95:K104" si="62">X95+AJ95</f>
        <v>2725.81</v>
      </c>
      <c r="L95" s="44">
        <f t="shared" ref="L95:L104" si="63">Y95+AK95</f>
        <v>2556.369999999999</v>
      </c>
      <c r="M95" s="44">
        <f>ROUND('2026 COB breakdown_Kris'!M94,2)</f>
        <v>26524.99</v>
      </c>
      <c r="N95" s="45">
        <f>'OP8 part 1 analysis'!G111</f>
        <v>0</v>
      </c>
      <c r="O95" s="259">
        <f t="shared" si="23"/>
        <v>9835.6</v>
      </c>
      <c r="P95" s="46">
        <f t="shared" si="47"/>
        <v>129.5</v>
      </c>
      <c r="Q95" s="46">
        <f t="shared" si="47"/>
        <v>921.8</v>
      </c>
      <c r="R95" s="46">
        <f t="shared" si="47"/>
        <v>0</v>
      </c>
      <c r="S95" s="46">
        <f t="shared" si="47"/>
        <v>1335.8</v>
      </c>
      <c r="T95" s="46">
        <f t="shared" si="47"/>
        <v>587.89</v>
      </c>
      <c r="U95" s="46">
        <f t="shared" si="47"/>
        <v>7569.59</v>
      </c>
      <c r="V95" s="46">
        <f t="shared" si="47"/>
        <v>445.02</v>
      </c>
      <c r="W95" s="46">
        <f t="shared" si="47"/>
        <v>417.61</v>
      </c>
      <c r="X95" s="46">
        <f t="shared" si="47"/>
        <v>2725.81</v>
      </c>
      <c r="Y95" s="46">
        <f t="shared" si="29"/>
        <v>2556.369999999999</v>
      </c>
      <c r="Z95" s="46">
        <f t="shared" si="30"/>
        <v>26524.99</v>
      </c>
      <c r="AA95" s="259">
        <f t="shared" si="45"/>
        <v>0</v>
      </c>
      <c r="AB95" s="46">
        <f t="shared" si="45"/>
        <v>0</v>
      </c>
      <c r="AC95" s="46">
        <f t="shared" si="45"/>
        <v>0</v>
      </c>
      <c r="AD95" s="46">
        <f t="shared" si="45"/>
        <v>0</v>
      </c>
      <c r="AE95" s="46">
        <f t="shared" si="45"/>
        <v>0</v>
      </c>
      <c r="AF95" s="46">
        <f t="shared" si="45"/>
        <v>0</v>
      </c>
      <c r="AG95" s="46">
        <f t="shared" si="45"/>
        <v>0</v>
      </c>
      <c r="AH95" s="46">
        <f t="shared" si="45"/>
        <v>0</v>
      </c>
      <c r="AI95" s="46">
        <f t="shared" si="45"/>
        <v>0</v>
      </c>
      <c r="AJ95" s="46">
        <f t="shared" si="45"/>
        <v>0</v>
      </c>
      <c r="AK95" s="46">
        <f t="shared" si="46"/>
        <v>0</v>
      </c>
      <c r="AL95" s="46">
        <f t="shared" si="33"/>
        <v>0</v>
      </c>
    </row>
    <row r="96" spans="1:38" x14ac:dyDescent="0.2">
      <c r="A96" s="43" t="s">
        <v>248</v>
      </c>
      <c r="B96" s="44">
        <f t="shared" si="53"/>
        <v>12459.789999999999</v>
      </c>
      <c r="C96" s="44">
        <f t="shared" si="54"/>
        <v>164.06</v>
      </c>
      <c r="D96" s="44">
        <f t="shared" si="55"/>
        <v>1167.73</v>
      </c>
      <c r="E96" s="44">
        <f t="shared" si="56"/>
        <v>0</v>
      </c>
      <c r="F96" s="44">
        <f t="shared" si="57"/>
        <v>1692.1999999999998</v>
      </c>
      <c r="G96" s="44">
        <f t="shared" si="58"/>
        <v>744.74</v>
      </c>
      <c r="H96" s="44">
        <f t="shared" si="59"/>
        <v>9589.19</v>
      </c>
      <c r="I96" s="44">
        <f t="shared" si="60"/>
        <v>563.76</v>
      </c>
      <c r="J96" s="44">
        <f t="shared" si="61"/>
        <v>529.03</v>
      </c>
      <c r="K96" s="44">
        <f t="shared" si="62"/>
        <v>3453.0699999999997</v>
      </c>
      <c r="L96" s="44">
        <f t="shared" si="63"/>
        <v>3238.4300000000003</v>
      </c>
      <c r="M96" s="44">
        <f>ROUND('2026 COB breakdown_Kris'!M95,2)</f>
        <v>33602</v>
      </c>
      <c r="N96" s="45">
        <f>'OP8 part 1 analysis'!G112</f>
        <v>0.34016627809791927</v>
      </c>
      <c r="O96" s="259">
        <f t="shared" si="23"/>
        <v>8221.39</v>
      </c>
      <c r="P96" s="46">
        <f t="shared" si="47"/>
        <v>108.25</v>
      </c>
      <c r="Q96" s="46">
        <f t="shared" si="47"/>
        <v>770.51</v>
      </c>
      <c r="R96" s="46">
        <f t="shared" si="47"/>
        <v>0</v>
      </c>
      <c r="S96" s="46">
        <f t="shared" si="47"/>
        <v>1116.57</v>
      </c>
      <c r="T96" s="46">
        <f t="shared" si="47"/>
        <v>491.4</v>
      </c>
      <c r="U96" s="46">
        <f t="shared" si="47"/>
        <v>6327.27</v>
      </c>
      <c r="V96" s="46">
        <f t="shared" si="47"/>
        <v>371.99</v>
      </c>
      <c r="W96" s="46">
        <f t="shared" si="47"/>
        <v>349.07</v>
      </c>
      <c r="X96" s="46">
        <f t="shared" si="47"/>
        <v>2278.4499999999998</v>
      </c>
      <c r="Y96" s="46">
        <f t="shared" si="29"/>
        <v>2136.8299999999981</v>
      </c>
      <c r="Z96" s="46">
        <f t="shared" si="30"/>
        <v>22171.73</v>
      </c>
      <c r="AA96" s="259">
        <f t="shared" si="45"/>
        <v>4238.3999999999996</v>
      </c>
      <c r="AB96" s="46">
        <f t="shared" si="45"/>
        <v>55.81</v>
      </c>
      <c r="AC96" s="46">
        <f t="shared" si="45"/>
        <v>397.22</v>
      </c>
      <c r="AD96" s="46">
        <f t="shared" si="45"/>
        <v>0</v>
      </c>
      <c r="AE96" s="46">
        <f t="shared" si="45"/>
        <v>575.63</v>
      </c>
      <c r="AF96" s="46">
        <f t="shared" si="45"/>
        <v>253.34</v>
      </c>
      <c r="AG96" s="46">
        <f t="shared" si="45"/>
        <v>3261.92</v>
      </c>
      <c r="AH96" s="46">
        <f t="shared" si="45"/>
        <v>191.77</v>
      </c>
      <c r="AI96" s="46">
        <f t="shared" si="45"/>
        <v>179.96</v>
      </c>
      <c r="AJ96" s="46">
        <f t="shared" si="45"/>
        <v>1174.6199999999999</v>
      </c>
      <c r="AK96" s="46">
        <f t="shared" si="46"/>
        <v>1101.6000000000022</v>
      </c>
      <c r="AL96" s="46">
        <f t="shared" si="33"/>
        <v>11430.27</v>
      </c>
    </row>
    <row r="97" spans="1:38" x14ac:dyDescent="0.2">
      <c r="A97" s="43" t="s">
        <v>249</v>
      </c>
      <c r="B97" s="44">
        <f t="shared" si="53"/>
        <v>5725.23</v>
      </c>
      <c r="C97" s="44">
        <f t="shared" si="54"/>
        <v>75.38</v>
      </c>
      <c r="D97" s="44">
        <f t="shared" si="55"/>
        <v>536.58000000000004</v>
      </c>
      <c r="E97" s="44">
        <f t="shared" si="56"/>
        <v>0</v>
      </c>
      <c r="F97" s="44">
        <f t="shared" si="57"/>
        <v>777.56</v>
      </c>
      <c r="G97" s="44">
        <f t="shared" si="58"/>
        <v>342.2</v>
      </c>
      <c r="H97" s="44">
        <f t="shared" si="59"/>
        <v>4406.21</v>
      </c>
      <c r="I97" s="44">
        <f t="shared" si="60"/>
        <v>259.03999999999996</v>
      </c>
      <c r="J97" s="44">
        <f t="shared" si="61"/>
        <v>243.09</v>
      </c>
      <c r="K97" s="44">
        <f t="shared" si="62"/>
        <v>1586.67</v>
      </c>
      <c r="L97" s="44">
        <f t="shared" si="63"/>
        <v>1488.04</v>
      </c>
      <c r="M97" s="44">
        <f>ROUND('2026 COB breakdown_Kris'!M96,2)</f>
        <v>15440</v>
      </c>
      <c r="N97" s="45">
        <f>'OP8 part 1 analysis'!G113</f>
        <v>0.36974789915966383</v>
      </c>
      <c r="O97" s="259">
        <f t="shared" si="23"/>
        <v>3608.34</v>
      </c>
      <c r="P97" s="46">
        <f t="shared" si="47"/>
        <v>47.51</v>
      </c>
      <c r="Q97" s="46">
        <f t="shared" si="47"/>
        <v>338.18</v>
      </c>
      <c r="R97" s="46">
        <f t="shared" si="47"/>
        <v>0</v>
      </c>
      <c r="S97" s="46">
        <f t="shared" si="47"/>
        <v>490.06</v>
      </c>
      <c r="T97" s="46">
        <f t="shared" si="47"/>
        <v>215.67</v>
      </c>
      <c r="U97" s="46">
        <f t="shared" si="47"/>
        <v>2777.02</v>
      </c>
      <c r="V97" s="46">
        <f t="shared" si="47"/>
        <v>163.26</v>
      </c>
      <c r="W97" s="46">
        <f t="shared" si="47"/>
        <v>153.21</v>
      </c>
      <c r="X97" s="46">
        <f t="shared" si="47"/>
        <v>1000</v>
      </c>
      <c r="Y97" s="46">
        <f t="shared" si="29"/>
        <v>937.84000000000015</v>
      </c>
      <c r="Z97" s="46">
        <f t="shared" si="30"/>
        <v>9731.09</v>
      </c>
      <c r="AA97" s="259">
        <f t="shared" si="45"/>
        <v>2116.89</v>
      </c>
      <c r="AB97" s="46">
        <f t="shared" si="45"/>
        <v>27.87</v>
      </c>
      <c r="AC97" s="46">
        <f t="shared" si="45"/>
        <v>198.4</v>
      </c>
      <c r="AD97" s="46">
        <f t="shared" si="45"/>
        <v>0</v>
      </c>
      <c r="AE97" s="46">
        <f t="shared" si="45"/>
        <v>287.5</v>
      </c>
      <c r="AF97" s="46">
        <f t="shared" si="45"/>
        <v>126.53</v>
      </c>
      <c r="AG97" s="46">
        <f t="shared" si="45"/>
        <v>1629.19</v>
      </c>
      <c r="AH97" s="46">
        <f t="shared" si="45"/>
        <v>95.78</v>
      </c>
      <c r="AI97" s="46">
        <f t="shared" si="45"/>
        <v>89.88</v>
      </c>
      <c r="AJ97" s="46">
        <f t="shared" si="45"/>
        <v>586.66999999999996</v>
      </c>
      <c r="AK97" s="46">
        <f t="shared" si="46"/>
        <v>550.19999999999982</v>
      </c>
      <c r="AL97" s="46">
        <f t="shared" si="33"/>
        <v>5708.91</v>
      </c>
    </row>
    <row r="98" spans="1:38" x14ac:dyDescent="0.2">
      <c r="A98" s="43" t="s">
        <v>250</v>
      </c>
      <c r="B98" s="44">
        <f t="shared" si="53"/>
        <v>19011.55</v>
      </c>
      <c r="C98" s="44">
        <f t="shared" si="54"/>
        <v>250.32</v>
      </c>
      <c r="D98" s="44">
        <f t="shared" si="55"/>
        <v>1781.77</v>
      </c>
      <c r="E98" s="44">
        <f t="shared" si="56"/>
        <v>0</v>
      </c>
      <c r="F98" s="44">
        <f t="shared" si="57"/>
        <v>2582.02</v>
      </c>
      <c r="G98" s="44">
        <f t="shared" si="58"/>
        <v>1136.3399999999999</v>
      </c>
      <c r="H98" s="44">
        <f t="shared" si="59"/>
        <v>14631.5</v>
      </c>
      <c r="I98" s="44">
        <f t="shared" si="60"/>
        <v>860.2</v>
      </c>
      <c r="J98" s="44">
        <f t="shared" si="61"/>
        <v>807.22</v>
      </c>
      <c r="K98" s="44">
        <f t="shared" si="62"/>
        <v>5268.8</v>
      </c>
      <c r="L98" s="44">
        <f t="shared" si="63"/>
        <v>4941.2799999999988</v>
      </c>
      <c r="M98" s="44">
        <f>ROUND('2026 COB breakdown_Kris'!M97,2)</f>
        <v>51271</v>
      </c>
      <c r="N98" s="45">
        <f>'OP8 part 1 analysis'!G114</f>
        <v>0</v>
      </c>
      <c r="O98" s="259">
        <f t="shared" si="23"/>
        <v>19011.55</v>
      </c>
      <c r="P98" s="46">
        <f t="shared" si="47"/>
        <v>250.32</v>
      </c>
      <c r="Q98" s="46">
        <f t="shared" si="47"/>
        <v>1781.77</v>
      </c>
      <c r="R98" s="46">
        <f t="shared" si="47"/>
        <v>0</v>
      </c>
      <c r="S98" s="46">
        <f t="shared" si="47"/>
        <v>2582.02</v>
      </c>
      <c r="T98" s="46">
        <f t="shared" si="47"/>
        <v>1136.3399999999999</v>
      </c>
      <c r="U98" s="46">
        <f t="shared" si="47"/>
        <v>14631.5</v>
      </c>
      <c r="V98" s="46">
        <f t="shared" si="47"/>
        <v>860.2</v>
      </c>
      <c r="W98" s="46">
        <f t="shared" si="47"/>
        <v>807.22</v>
      </c>
      <c r="X98" s="46">
        <f t="shared" si="47"/>
        <v>5268.8</v>
      </c>
      <c r="Y98" s="46">
        <f t="shared" si="29"/>
        <v>4941.2799999999988</v>
      </c>
      <c r="Z98" s="46">
        <f t="shared" si="30"/>
        <v>51271</v>
      </c>
      <c r="AA98" s="259">
        <f t="shared" si="45"/>
        <v>0</v>
      </c>
      <c r="AB98" s="46">
        <f t="shared" si="45"/>
        <v>0</v>
      </c>
      <c r="AC98" s="46">
        <f t="shared" si="45"/>
        <v>0</v>
      </c>
      <c r="AD98" s="46">
        <f t="shared" si="45"/>
        <v>0</v>
      </c>
      <c r="AE98" s="46">
        <f t="shared" si="45"/>
        <v>0</v>
      </c>
      <c r="AF98" s="46">
        <f t="shared" si="45"/>
        <v>0</v>
      </c>
      <c r="AG98" s="46">
        <f t="shared" si="45"/>
        <v>0</v>
      </c>
      <c r="AH98" s="46">
        <f t="shared" si="45"/>
        <v>0</v>
      </c>
      <c r="AI98" s="46">
        <f t="shared" si="45"/>
        <v>0</v>
      </c>
      <c r="AJ98" s="46">
        <f t="shared" si="45"/>
        <v>0</v>
      </c>
      <c r="AK98" s="46">
        <f t="shared" si="46"/>
        <v>0</v>
      </c>
      <c r="AL98" s="46">
        <f t="shared" si="33"/>
        <v>0</v>
      </c>
    </row>
    <row r="99" spans="1:38" x14ac:dyDescent="0.2">
      <c r="A99" s="43" t="s">
        <v>251</v>
      </c>
      <c r="B99" s="44">
        <f t="shared" si="53"/>
        <v>7177.31</v>
      </c>
      <c r="C99" s="44">
        <f t="shared" si="54"/>
        <v>94.5</v>
      </c>
      <c r="D99" s="44">
        <f t="shared" si="55"/>
        <v>672.66</v>
      </c>
      <c r="E99" s="44">
        <f t="shared" si="56"/>
        <v>0</v>
      </c>
      <c r="F99" s="44">
        <f t="shared" si="57"/>
        <v>974.77</v>
      </c>
      <c r="G99" s="44">
        <f t="shared" si="58"/>
        <v>429</v>
      </c>
      <c r="H99" s="44">
        <f t="shared" si="59"/>
        <v>5523.74</v>
      </c>
      <c r="I99" s="44">
        <f t="shared" si="60"/>
        <v>324.74</v>
      </c>
      <c r="J99" s="44">
        <f t="shared" si="61"/>
        <v>304.74</v>
      </c>
      <c r="K99" s="44">
        <f t="shared" si="62"/>
        <v>1989.1</v>
      </c>
      <c r="L99" s="44">
        <f t="shared" si="63"/>
        <v>1865.449999999998</v>
      </c>
      <c r="M99" s="44">
        <f>ROUND('2026 COB breakdown_Kris'!M98,2)</f>
        <v>19356.009999999998</v>
      </c>
      <c r="N99" s="45">
        <f>'OP8 part 1 analysis'!G115</f>
        <v>0.65596330275229353</v>
      </c>
      <c r="O99" s="259">
        <f t="shared" si="23"/>
        <v>2469.2600000000002</v>
      </c>
      <c r="P99" s="46">
        <f t="shared" si="47"/>
        <v>32.51</v>
      </c>
      <c r="Q99" s="46">
        <f t="shared" si="47"/>
        <v>231.42</v>
      </c>
      <c r="R99" s="46">
        <f t="shared" si="47"/>
        <v>0</v>
      </c>
      <c r="S99" s="46">
        <f t="shared" si="47"/>
        <v>335.36</v>
      </c>
      <c r="T99" s="46">
        <f t="shared" si="47"/>
        <v>147.59</v>
      </c>
      <c r="U99" s="46">
        <f t="shared" si="47"/>
        <v>1900.37</v>
      </c>
      <c r="V99" s="46">
        <f t="shared" si="47"/>
        <v>111.72</v>
      </c>
      <c r="W99" s="46">
        <f t="shared" si="47"/>
        <v>104.84</v>
      </c>
      <c r="X99" s="46">
        <f t="shared" si="47"/>
        <v>684.32</v>
      </c>
      <c r="Y99" s="46">
        <f t="shared" si="29"/>
        <v>641.78999999999814</v>
      </c>
      <c r="Z99" s="46">
        <f t="shared" si="30"/>
        <v>6659.1799999999985</v>
      </c>
      <c r="AA99" s="259">
        <f t="shared" si="45"/>
        <v>4708.05</v>
      </c>
      <c r="AB99" s="46">
        <f t="shared" si="45"/>
        <v>61.99</v>
      </c>
      <c r="AC99" s="46">
        <f t="shared" si="45"/>
        <v>441.24</v>
      </c>
      <c r="AD99" s="46">
        <f t="shared" si="45"/>
        <v>0</v>
      </c>
      <c r="AE99" s="46">
        <f t="shared" si="45"/>
        <v>639.41</v>
      </c>
      <c r="AF99" s="46">
        <f t="shared" si="45"/>
        <v>281.41000000000003</v>
      </c>
      <c r="AG99" s="46">
        <f t="shared" si="45"/>
        <v>3623.37</v>
      </c>
      <c r="AH99" s="46">
        <f t="shared" si="45"/>
        <v>213.02</v>
      </c>
      <c r="AI99" s="46">
        <f t="shared" si="45"/>
        <v>199.9</v>
      </c>
      <c r="AJ99" s="46">
        <f t="shared" si="45"/>
        <v>1304.78</v>
      </c>
      <c r="AK99" s="46">
        <f t="shared" si="46"/>
        <v>1223.6599999999999</v>
      </c>
      <c r="AL99" s="46">
        <f t="shared" si="33"/>
        <v>12696.83</v>
      </c>
    </row>
    <row r="100" spans="1:38" x14ac:dyDescent="0.2">
      <c r="A100" s="43" t="s">
        <v>252</v>
      </c>
      <c r="B100" s="44">
        <f t="shared" si="53"/>
        <v>3764.41</v>
      </c>
      <c r="C100" s="44">
        <f t="shared" si="54"/>
        <v>49.569999999999993</v>
      </c>
      <c r="D100" s="44">
        <f t="shared" si="55"/>
        <v>352.81</v>
      </c>
      <c r="E100" s="44">
        <f t="shared" si="56"/>
        <v>0</v>
      </c>
      <c r="F100" s="44">
        <f t="shared" si="57"/>
        <v>511.25</v>
      </c>
      <c r="G100" s="44">
        <f t="shared" si="58"/>
        <v>225</v>
      </c>
      <c r="H100" s="44">
        <f t="shared" si="59"/>
        <v>2897.13</v>
      </c>
      <c r="I100" s="44">
        <f t="shared" si="60"/>
        <v>170.32999999999998</v>
      </c>
      <c r="J100" s="44">
        <f t="shared" si="61"/>
        <v>159.82999999999998</v>
      </c>
      <c r="K100" s="44">
        <f t="shared" si="62"/>
        <v>1043.26</v>
      </c>
      <c r="L100" s="44">
        <f t="shared" si="63"/>
        <v>978.41000000000008</v>
      </c>
      <c r="M100" s="44">
        <f>ROUND('2026 COB breakdown_Kris'!M99,2)</f>
        <v>10152</v>
      </c>
      <c r="N100" s="45">
        <f>'OP8 part 1 analysis'!G116</f>
        <v>0.12790697674418605</v>
      </c>
      <c r="O100" s="259">
        <f t="shared" si="23"/>
        <v>3282.92</v>
      </c>
      <c r="P100" s="46">
        <f t="shared" si="47"/>
        <v>43.23</v>
      </c>
      <c r="Q100" s="46">
        <f t="shared" si="47"/>
        <v>307.68</v>
      </c>
      <c r="R100" s="46">
        <f t="shared" si="47"/>
        <v>0</v>
      </c>
      <c r="S100" s="46">
        <f t="shared" si="47"/>
        <v>445.86</v>
      </c>
      <c r="T100" s="46">
        <f t="shared" si="47"/>
        <v>196.22</v>
      </c>
      <c r="U100" s="46">
        <f t="shared" si="47"/>
        <v>2526.5700000000002</v>
      </c>
      <c r="V100" s="46">
        <f t="shared" si="47"/>
        <v>148.54</v>
      </c>
      <c r="W100" s="46">
        <f t="shared" si="47"/>
        <v>139.38999999999999</v>
      </c>
      <c r="X100" s="46">
        <f t="shared" si="47"/>
        <v>909.82</v>
      </c>
      <c r="Y100" s="46">
        <f t="shared" si="29"/>
        <v>853.26000000000022</v>
      </c>
      <c r="Z100" s="46">
        <f t="shared" si="30"/>
        <v>8853.49</v>
      </c>
      <c r="AA100" s="259">
        <f t="shared" si="45"/>
        <v>481.49</v>
      </c>
      <c r="AB100" s="46">
        <f t="shared" si="45"/>
        <v>6.34</v>
      </c>
      <c r="AC100" s="46">
        <f t="shared" si="45"/>
        <v>45.13</v>
      </c>
      <c r="AD100" s="46">
        <f t="shared" si="45"/>
        <v>0</v>
      </c>
      <c r="AE100" s="46">
        <f t="shared" si="45"/>
        <v>65.39</v>
      </c>
      <c r="AF100" s="46">
        <f t="shared" si="45"/>
        <v>28.78</v>
      </c>
      <c r="AG100" s="46">
        <f t="shared" si="45"/>
        <v>370.56</v>
      </c>
      <c r="AH100" s="46">
        <f t="shared" si="45"/>
        <v>21.79</v>
      </c>
      <c r="AI100" s="46">
        <f t="shared" si="45"/>
        <v>20.440000000000001</v>
      </c>
      <c r="AJ100" s="46">
        <f t="shared" si="45"/>
        <v>133.44</v>
      </c>
      <c r="AK100" s="46">
        <f t="shared" si="46"/>
        <v>125.14999999999986</v>
      </c>
      <c r="AL100" s="46">
        <f t="shared" si="33"/>
        <v>1298.51</v>
      </c>
    </row>
    <row r="101" spans="1:38" x14ac:dyDescent="0.2">
      <c r="A101" s="43" t="s">
        <v>253</v>
      </c>
      <c r="B101" s="44">
        <f t="shared" si="53"/>
        <v>9215.25</v>
      </c>
      <c r="C101" s="44">
        <f t="shared" si="54"/>
        <v>121.34</v>
      </c>
      <c r="D101" s="44">
        <f t="shared" si="55"/>
        <v>863.66</v>
      </c>
      <c r="E101" s="44">
        <f t="shared" si="56"/>
        <v>0</v>
      </c>
      <c r="F101" s="44">
        <f t="shared" si="57"/>
        <v>1251.5500000000002</v>
      </c>
      <c r="G101" s="44">
        <f t="shared" si="58"/>
        <v>550.81000000000006</v>
      </c>
      <c r="H101" s="44">
        <f t="shared" si="59"/>
        <v>7092.16</v>
      </c>
      <c r="I101" s="44">
        <f t="shared" si="60"/>
        <v>416.95</v>
      </c>
      <c r="J101" s="44">
        <f t="shared" si="61"/>
        <v>391.28000000000003</v>
      </c>
      <c r="K101" s="44">
        <f t="shared" si="62"/>
        <v>2553.89</v>
      </c>
      <c r="L101" s="44">
        <f t="shared" si="63"/>
        <v>2395.1100000000065</v>
      </c>
      <c r="M101" s="44">
        <f>ROUND('2026 COB breakdown_Kris'!M100,2)</f>
        <v>24852</v>
      </c>
      <c r="N101" s="45">
        <f>'OP8 part 1 analysis'!G117</f>
        <v>0.13892078071182548</v>
      </c>
      <c r="O101" s="259">
        <f t="shared" si="23"/>
        <v>7935.06</v>
      </c>
      <c r="P101" s="46">
        <f t="shared" si="47"/>
        <v>104.48</v>
      </c>
      <c r="Q101" s="46">
        <f t="shared" si="47"/>
        <v>743.68</v>
      </c>
      <c r="R101" s="46">
        <f t="shared" si="47"/>
        <v>0</v>
      </c>
      <c r="S101" s="46">
        <f t="shared" si="47"/>
        <v>1077.68</v>
      </c>
      <c r="T101" s="46">
        <f t="shared" si="47"/>
        <v>474.29</v>
      </c>
      <c r="U101" s="46">
        <f t="shared" si="47"/>
        <v>6106.91</v>
      </c>
      <c r="V101" s="46">
        <f t="shared" si="47"/>
        <v>359.03</v>
      </c>
      <c r="W101" s="46">
        <f t="shared" si="47"/>
        <v>336.92</v>
      </c>
      <c r="X101" s="46">
        <f t="shared" si="47"/>
        <v>2199.1</v>
      </c>
      <c r="Y101" s="46">
        <f t="shared" si="29"/>
        <v>2062.3900000000067</v>
      </c>
      <c r="Z101" s="46">
        <f t="shared" si="30"/>
        <v>21399.54</v>
      </c>
      <c r="AA101" s="259">
        <f t="shared" ref="AA101:AJ104" si="64">ROUND($AL101*AA$4,2)</f>
        <v>1280.19</v>
      </c>
      <c r="AB101" s="46">
        <f t="shared" si="64"/>
        <v>16.86</v>
      </c>
      <c r="AC101" s="46">
        <f t="shared" si="64"/>
        <v>119.98</v>
      </c>
      <c r="AD101" s="46">
        <f t="shared" si="64"/>
        <v>0</v>
      </c>
      <c r="AE101" s="46">
        <f t="shared" si="64"/>
        <v>173.87</v>
      </c>
      <c r="AF101" s="46">
        <f t="shared" si="64"/>
        <v>76.52</v>
      </c>
      <c r="AG101" s="46">
        <f t="shared" si="64"/>
        <v>985.25</v>
      </c>
      <c r="AH101" s="46">
        <f t="shared" si="64"/>
        <v>57.92</v>
      </c>
      <c r="AI101" s="46">
        <f t="shared" si="64"/>
        <v>54.36</v>
      </c>
      <c r="AJ101" s="46">
        <f t="shared" si="64"/>
        <v>354.79</v>
      </c>
      <c r="AK101" s="46">
        <f t="shared" si="46"/>
        <v>332.7199999999998</v>
      </c>
      <c r="AL101" s="46">
        <f t="shared" si="33"/>
        <v>3452.46</v>
      </c>
    </row>
    <row r="102" spans="1:38" x14ac:dyDescent="0.2">
      <c r="A102" s="43" t="s">
        <v>254</v>
      </c>
      <c r="B102" s="44">
        <f t="shared" si="53"/>
        <v>4978.5</v>
      </c>
      <c r="C102" s="44">
        <f t="shared" si="54"/>
        <v>65.56</v>
      </c>
      <c r="D102" s="44">
        <f t="shared" si="55"/>
        <v>466.58</v>
      </c>
      <c r="E102" s="44">
        <f t="shared" si="56"/>
        <v>0</v>
      </c>
      <c r="F102" s="44">
        <f t="shared" si="57"/>
        <v>676.14</v>
      </c>
      <c r="G102" s="44">
        <f t="shared" si="58"/>
        <v>297.57</v>
      </c>
      <c r="H102" s="44">
        <f t="shared" si="59"/>
        <v>3831.51</v>
      </c>
      <c r="I102" s="44">
        <f t="shared" si="60"/>
        <v>225.26000000000002</v>
      </c>
      <c r="J102" s="44">
        <f t="shared" si="61"/>
        <v>211.38</v>
      </c>
      <c r="K102" s="44">
        <f t="shared" si="62"/>
        <v>1379.73</v>
      </c>
      <c r="L102" s="44">
        <f t="shared" si="63"/>
        <v>1293.9700000000003</v>
      </c>
      <c r="M102" s="44">
        <f>ROUND('2026 COB breakdown_Kris'!M101,2)</f>
        <v>13426.2</v>
      </c>
      <c r="N102" s="45">
        <f>'OP8 part 1 analysis'!G118</f>
        <v>0.74576271186440679</v>
      </c>
      <c r="O102" s="259">
        <f t="shared" si="23"/>
        <v>1265.72</v>
      </c>
      <c r="P102" s="46">
        <f t="shared" si="47"/>
        <v>16.670000000000002</v>
      </c>
      <c r="Q102" s="46">
        <f t="shared" si="47"/>
        <v>118.62</v>
      </c>
      <c r="R102" s="46">
        <f t="shared" si="47"/>
        <v>0</v>
      </c>
      <c r="S102" s="46">
        <f t="shared" si="47"/>
        <v>171.9</v>
      </c>
      <c r="T102" s="46">
        <f t="shared" si="47"/>
        <v>75.650000000000006</v>
      </c>
      <c r="U102" s="46">
        <f t="shared" si="47"/>
        <v>974.11</v>
      </c>
      <c r="V102" s="46">
        <f t="shared" si="47"/>
        <v>57.27</v>
      </c>
      <c r="W102" s="46">
        <f t="shared" si="47"/>
        <v>53.74</v>
      </c>
      <c r="X102" s="46">
        <f t="shared" si="47"/>
        <v>350.78</v>
      </c>
      <c r="Y102" s="46">
        <f t="shared" si="29"/>
        <v>328.98000000000047</v>
      </c>
      <c r="Z102" s="46">
        <f t="shared" si="30"/>
        <v>3413.4400000000005</v>
      </c>
      <c r="AA102" s="259">
        <f t="shared" si="64"/>
        <v>3712.78</v>
      </c>
      <c r="AB102" s="46">
        <f t="shared" si="64"/>
        <v>48.89</v>
      </c>
      <c r="AC102" s="46">
        <f t="shared" si="64"/>
        <v>347.96</v>
      </c>
      <c r="AD102" s="46">
        <f t="shared" si="64"/>
        <v>0</v>
      </c>
      <c r="AE102" s="46">
        <f t="shared" si="64"/>
        <v>504.24</v>
      </c>
      <c r="AF102" s="46">
        <f t="shared" si="64"/>
        <v>221.92</v>
      </c>
      <c r="AG102" s="46">
        <f t="shared" si="64"/>
        <v>2857.4</v>
      </c>
      <c r="AH102" s="46">
        <f t="shared" si="64"/>
        <v>167.99</v>
      </c>
      <c r="AI102" s="46">
        <f t="shared" si="64"/>
        <v>157.63999999999999</v>
      </c>
      <c r="AJ102" s="46">
        <f t="shared" si="64"/>
        <v>1028.95</v>
      </c>
      <c r="AK102" s="46">
        <f t="shared" si="46"/>
        <v>964.98999999999978</v>
      </c>
      <c r="AL102" s="46">
        <f t="shared" si="33"/>
        <v>10012.76</v>
      </c>
    </row>
    <row r="103" spans="1:38" x14ac:dyDescent="0.2">
      <c r="A103" s="43" t="s">
        <v>255</v>
      </c>
      <c r="B103" s="44">
        <f t="shared" si="53"/>
        <v>14643.09</v>
      </c>
      <c r="C103" s="44">
        <f t="shared" si="54"/>
        <v>192.81</v>
      </c>
      <c r="D103" s="44">
        <f t="shared" si="55"/>
        <v>1372.35</v>
      </c>
      <c r="E103" s="44">
        <f t="shared" si="56"/>
        <v>0</v>
      </c>
      <c r="F103" s="44">
        <f t="shared" si="57"/>
        <v>1988.72</v>
      </c>
      <c r="G103" s="44">
        <f t="shared" si="58"/>
        <v>875.24</v>
      </c>
      <c r="H103" s="44">
        <f t="shared" si="59"/>
        <v>11269.49</v>
      </c>
      <c r="I103" s="44">
        <f t="shared" si="60"/>
        <v>662.54</v>
      </c>
      <c r="J103" s="44">
        <f t="shared" si="61"/>
        <v>621.73</v>
      </c>
      <c r="K103" s="44">
        <f t="shared" si="62"/>
        <v>4058.1400000000003</v>
      </c>
      <c r="L103" s="44">
        <f t="shared" si="63"/>
        <v>3805.8799999999919</v>
      </c>
      <c r="M103" s="44">
        <f>ROUND('2026 COB breakdown_Kris'!M102,2)</f>
        <v>39489.99</v>
      </c>
      <c r="N103" s="45">
        <f>'OP8 part 1 analysis'!G119</f>
        <v>0.29840972871842841</v>
      </c>
      <c r="O103" s="259">
        <f t="shared" si="23"/>
        <v>10273.450000000001</v>
      </c>
      <c r="P103" s="46">
        <f t="shared" si="47"/>
        <v>135.27000000000001</v>
      </c>
      <c r="Q103" s="46">
        <f t="shared" si="47"/>
        <v>962.83</v>
      </c>
      <c r="R103" s="46">
        <f t="shared" si="47"/>
        <v>0</v>
      </c>
      <c r="S103" s="46">
        <f t="shared" si="47"/>
        <v>1395.27</v>
      </c>
      <c r="T103" s="46">
        <f t="shared" si="47"/>
        <v>614.05999999999995</v>
      </c>
      <c r="U103" s="46">
        <f t="shared" si="47"/>
        <v>7906.56</v>
      </c>
      <c r="V103" s="46">
        <f t="shared" si="47"/>
        <v>464.83</v>
      </c>
      <c r="W103" s="46">
        <f t="shared" si="47"/>
        <v>436.2</v>
      </c>
      <c r="X103" s="46">
        <f t="shared" si="47"/>
        <v>2847.15</v>
      </c>
      <c r="Y103" s="46">
        <f t="shared" si="29"/>
        <v>2670.169999999991</v>
      </c>
      <c r="Z103" s="46">
        <f t="shared" si="30"/>
        <v>27705.789999999997</v>
      </c>
      <c r="AA103" s="259">
        <f t="shared" si="64"/>
        <v>4369.6400000000003</v>
      </c>
      <c r="AB103" s="46">
        <f t="shared" si="64"/>
        <v>57.54</v>
      </c>
      <c r="AC103" s="46">
        <f t="shared" si="64"/>
        <v>409.52</v>
      </c>
      <c r="AD103" s="46">
        <f t="shared" si="64"/>
        <v>0</v>
      </c>
      <c r="AE103" s="46">
        <f t="shared" si="64"/>
        <v>593.45000000000005</v>
      </c>
      <c r="AF103" s="46">
        <f t="shared" si="64"/>
        <v>261.18</v>
      </c>
      <c r="AG103" s="46">
        <f t="shared" si="64"/>
        <v>3362.93</v>
      </c>
      <c r="AH103" s="46">
        <f t="shared" si="64"/>
        <v>197.71</v>
      </c>
      <c r="AI103" s="46">
        <f t="shared" si="64"/>
        <v>185.53</v>
      </c>
      <c r="AJ103" s="46">
        <f t="shared" si="64"/>
        <v>1210.99</v>
      </c>
      <c r="AK103" s="46">
        <f t="shared" si="46"/>
        <v>1135.7100000000009</v>
      </c>
      <c r="AL103" s="46">
        <f t="shared" si="33"/>
        <v>11784.2</v>
      </c>
    </row>
    <row r="104" spans="1:38" x14ac:dyDescent="0.2">
      <c r="A104" s="43" t="s">
        <v>256</v>
      </c>
      <c r="B104" s="44">
        <f t="shared" si="53"/>
        <v>19588.16</v>
      </c>
      <c r="C104" s="44">
        <f t="shared" si="54"/>
        <v>257.92</v>
      </c>
      <c r="D104" s="44">
        <f t="shared" si="55"/>
        <v>1835.81</v>
      </c>
      <c r="E104" s="44">
        <f t="shared" si="56"/>
        <v>0</v>
      </c>
      <c r="F104" s="44">
        <f t="shared" si="57"/>
        <v>2660.3199999999997</v>
      </c>
      <c r="G104" s="44">
        <f t="shared" si="58"/>
        <v>1170.81</v>
      </c>
      <c r="H104" s="44">
        <f t="shared" si="59"/>
        <v>15075.27</v>
      </c>
      <c r="I104" s="44">
        <f t="shared" si="60"/>
        <v>886.3</v>
      </c>
      <c r="J104" s="44">
        <f t="shared" si="61"/>
        <v>831.7</v>
      </c>
      <c r="K104" s="44">
        <f t="shared" si="62"/>
        <v>5428.6</v>
      </c>
      <c r="L104" s="44">
        <f t="shared" si="63"/>
        <v>5091.1299999999937</v>
      </c>
      <c r="M104" s="44">
        <f>ROUND('2026 COB breakdown_Kris'!M103,2)</f>
        <v>52826.02</v>
      </c>
      <c r="N104" s="45">
        <f>'OP8 part 1 analysis'!G120</f>
        <v>0.59459459459459452</v>
      </c>
      <c r="O104" s="259">
        <f t="shared" si="23"/>
        <v>7941.14</v>
      </c>
      <c r="P104" s="46">
        <f t="shared" si="47"/>
        <v>104.56</v>
      </c>
      <c r="Q104" s="46">
        <f t="shared" si="47"/>
        <v>744.25</v>
      </c>
      <c r="R104" s="46">
        <f t="shared" si="47"/>
        <v>0</v>
      </c>
      <c r="S104" s="46">
        <f t="shared" si="47"/>
        <v>1078.51</v>
      </c>
      <c r="T104" s="46">
        <f t="shared" si="47"/>
        <v>474.65</v>
      </c>
      <c r="U104" s="46">
        <f t="shared" si="47"/>
        <v>6111.59</v>
      </c>
      <c r="V104" s="46">
        <f t="shared" si="47"/>
        <v>359.31</v>
      </c>
      <c r="W104" s="46">
        <f t="shared" si="47"/>
        <v>337.18</v>
      </c>
      <c r="X104" s="46">
        <f t="shared" si="47"/>
        <v>2200.7800000000002</v>
      </c>
      <c r="Y104" s="46">
        <f t="shared" si="29"/>
        <v>2063.9799999999959</v>
      </c>
      <c r="Z104" s="46">
        <f t="shared" si="30"/>
        <v>21415.949999999997</v>
      </c>
      <c r="AA104" s="259">
        <f t="shared" si="64"/>
        <v>11647.02</v>
      </c>
      <c r="AB104" s="46">
        <f t="shared" si="64"/>
        <v>153.36000000000001</v>
      </c>
      <c r="AC104" s="46">
        <f t="shared" si="64"/>
        <v>1091.56</v>
      </c>
      <c r="AD104" s="46">
        <f t="shared" si="64"/>
        <v>0</v>
      </c>
      <c r="AE104" s="46">
        <f t="shared" si="64"/>
        <v>1581.81</v>
      </c>
      <c r="AF104" s="46">
        <f t="shared" si="64"/>
        <v>696.16</v>
      </c>
      <c r="AG104" s="46">
        <f t="shared" si="64"/>
        <v>8963.68</v>
      </c>
      <c r="AH104" s="46">
        <f t="shared" si="64"/>
        <v>526.99</v>
      </c>
      <c r="AI104" s="46">
        <f t="shared" si="64"/>
        <v>494.52</v>
      </c>
      <c r="AJ104" s="46">
        <f t="shared" si="64"/>
        <v>3227.82</v>
      </c>
      <c r="AK104" s="46">
        <f t="shared" si="46"/>
        <v>3027.1499999999978</v>
      </c>
      <c r="AL104" s="46">
        <f t="shared" si="33"/>
        <v>31410.07</v>
      </c>
    </row>
    <row r="105" spans="1:38" s="49" customFormat="1" x14ac:dyDescent="0.2">
      <c r="A105" s="47" t="s">
        <v>156</v>
      </c>
      <c r="B105" s="48">
        <f>SUM(B6:B104)</f>
        <v>954935.9</v>
      </c>
      <c r="C105" s="48">
        <f t="shared" ref="C105:M105" si="65">SUM(C6:C104)</f>
        <v>12573.649999999994</v>
      </c>
      <c r="D105" s="48">
        <f t="shared" si="65"/>
        <v>89496.960000000006</v>
      </c>
      <c r="E105" s="48">
        <f t="shared" si="65"/>
        <v>10730</v>
      </c>
      <c r="F105" s="48">
        <f t="shared" si="65"/>
        <v>129692.55000000002</v>
      </c>
      <c r="G105" s="48">
        <f t="shared" si="65"/>
        <v>57077.729999999967</v>
      </c>
      <c r="H105" s="48">
        <f t="shared" si="65"/>
        <v>734929.41</v>
      </c>
      <c r="I105" s="48">
        <f t="shared" si="65"/>
        <v>43207.269999999975</v>
      </c>
      <c r="J105" s="48">
        <f t="shared" si="65"/>
        <v>40545.739999999983</v>
      </c>
      <c r="K105" s="48">
        <f t="shared" si="65"/>
        <v>264648.07</v>
      </c>
      <c r="L105" s="48">
        <f t="shared" si="65"/>
        <v>248196.41</v>
      </c>
      <c r="M105" s="48">
        <f t="shared" si="65"/>
        <v>2586033.6900000009</v>
      </c>
      <c r="O105" s="50">
        <f>SUM(O6:O104)</f>
        <v>602907.65</v>
      </c>
      <c r="P105" s="50">
        <f t="shared" ref="P105:AL105" si="66">SUM(P6:P104)</f>
        <v>7938.44</v>
      </c>
      <c r="Q105" s="50">
        <f t="shared" si="66"/>
        <v>56504.870000000024</v>
      </c>
      <c r="R105" s="50">
        <f t="shared" si="66"/>
        <v>4937.12</v>
      </c>
      <c r="S105" s="50">
        <f t="shared" si="66"/>
        <v>81882.73000000004</v>
      </c>
      <c r="T105" s="50">
        <f t="shared" si="66"/>
        <v>36036.519999999997</v>
      </c>
      <c r="U105" s="50">
        <f t="shared" si="66"/>
        <v>464004.41000000003</v>
      </c>
      <c r="V105" s="50">
        <f t="shared" si="66"/>
        <v>27279.239999999994</v>
      </c>
      <c r="W105" s="50">
        <f t="shared" si="66"/>
        <v>25599.080000000009</v>
      </c>
      <c r="X105" s="50">
        <f t="shared" si="66"/>
        <v>167087.90000000002</v>
      </c>
      <c r="Y105" s="50">
        <f t="shared" si="66"/>
        <v>156701.13000000006</v>
      </c>
      <c r="Z105" s="50">
        <f t="shared" si="66"/>
        <v>1630879.09</v>
      </c>
      <c r="AA105" s="50">
        <f t="shared" si="66"/>
        <v>352028.25</v>
      </c>
      <c r="AB105" s="50">
        <f t="shared" si="66"/>
        <v>4635.2099999999991</v>
      </c>
      <c r="AC105" s="50">
        <f t="shared" si="66"/>
        <v>32992.090000000004</v>
      </c>
      <c r="AD105" s="50">
        <f t="shared" si="66"/>
        <v>5792.88</v>
      </c>
      <c r="AE105" s="50">
        <f t="shared" si="66"/>
        <v>47809.820000000007</v>
      </c>
      <c r="AF105" s="50">
        <f t="shared" si="66"/>
        <v>21041.21</v>
      </c>
      <c r="AG105" s="50">
        <f t="shared" si="66"/>
        <v>270925.00000000006</v>
      </c>
      <c r="AH105" s="50">
        <f t="shared" si="66"/>
        <v>15928.03</v>
      </c>
      <c r="AI105" s="50">
        <f t="shared" si="66"/>
        <v>14946.660000000002</v>
      </c>
      <c r="AJ105" s="50">
        <f t="shared" si="66"/>
        <v>97560.17</v>
      </c>
      <c r="AK105" s="50">
        <f t="shared" si="66"/>
        <v>91495.280000000013</v>
      </c>
      <c r="AL105" s="50">
        <f t="shared" si="66"/>
        <v>955154.60000000021</v>
      </c>
    </row>
    <row r="106" spans="1:38" s="49" customFormat="1" x14ac:dyDescent="0.2">
      <c r="A106" s="49" t="s">
        <v>362</v>
      </c>
      <c r="B106" s="252">
        <f>O106+AA106</f>
        <v>2782875</v>
      </c>
      <c r="C106" s="252">
        <f t="shared" ref="C106:L106" si="67">P106+AB106</f>
        <v>36642</v>
      </c>
      <c r="D106" s="252">
        <f t="shared" si="67"/>
        <v>260812</v>
      </c>
      <c r="E106" s="252">
        <f t="shared" si="67"/>
        <v>339558</v>
      </c>
      <c r="F106" s="252">
        <f t="shared" si="67"/>
        <v>377950</v>
      </c>
      <c r="G106" s="252">
        <f t="shared" si="67"/>
        <v>166336</v>
      </c>
      <c r="H106" s="252">
        <f t="shared" si="67"/>
        <v>2141732</v>
      </c>
      <c r="I106" s="252">
        <f t="shared" si="67"/>
        <v>125915</v>
      </c>
      <c r="J106" s="252">
        <f t="shared" si="67"/>
        <v>118158</v>
      </c>
      <c r="K106" s="252">
        <f t="shared" si="67"/>
        <v>771238</v>
      </c>
      <c r="L106" s="252">
        <f t="shared" si="67"/>
        <v>723294</v>
      </c>
      <c r="M106" s="252">
        <f>SUM(B106:L106)</f>
        <v>7844510</v>
      </c>
      <c r="O106" s="252">
        <f>breakdown!Q36</f>
        <v>1365708</v>
      </c>
      <c r="P106" s="252">
        <f>breakdown!Q38</f>
        <v>17982</v>
      </c>
      <c r="Q106" s="252">
        <f>breakdown!Q40</f>
        <v>127995</v>
      </c>
      <c r="R106" s="252">
        <f>breakdown!Q46</f>
        <v>166640</v>
      </c>
      <c r="S106" s="252">
        <f>breakdown!Q41</f>
        <v>185481</v>
      </c>
      <c r="T106" s="252">
        <f>breakdown!Q43</f>
        <v>81630</v>
      </c>
      <c r="U106" s="252">
        <f>breakdown!Q44</f>
        <v>1051064</v>
      </c>
      <c r="V106" s="252">
        <f>breakdown!Q45</f>
        <v>61793</v>
      </c>
      <c r="W106" s="252">
        <f>breakdown!Q47</f>
        <v>57987</v>
      </c>
      <c r="X106" s="252">
        <f>breakdown!Q48</f>
        <v>378488</v>
      </c>
      <c r="Y106" s="252">
        <f>breakdown!Q50</f>
        <v>354960</v>
      </c>
      <c r="Z106" s="252">
        <f>SUM(O106:Y106)</f>
        <v>3849728</v>
      </c>
      <c r="AA106" s="252">
        <f>breakdown!H36</f>
        <v>1417167</v>
      </c>
      <c r="AB106" s="252">
        <f>breakdown!H38</f>
        <v>18660</v>
      </c>
      <c r="AC106" s="252">
        <f>breakdown!H40</f>
        <v>132817</v>
      </c>
      <c r="AD106" s="252">
        <f>breakdown!H46</f>
        <v>172918</v>
      </c>
      <c r="AE106" s="252">
        <f>breakdown!H41</f>
        <v>192469</v>
      </c>
      <c r="AF106" s="252">
        <f>breakdown!H43</f>
        <v>84706</v>
      </c>
      <c r="AG106" s="252">
        <f>breakdown!H44</f>
        <v>1090668</v>
      </c>
      <c r="AH106" s="252">
        <f>breakdown!H45</f>
        <v>64122</v>
      </c>
      <c r="AI106" s="252">
        <f>breakdown!H47</f>
        <v>60171</v>
      </c>
      <c r="AJ106" s="252">
        <f>breakdown!H48</f>
        <v>392750</v>
      </c>
      <c r="AK106" s="252">
        <f>breakdown!H50</f>
        <v>368334</v>
      </c>
      <c r="AL106" s="252">
        <f>SUM(AA106:AK106)</f>
        <v>3994782</v>
      </c>
    </row>
    <row r="107" spans="1:38" s="49" customFormat="1" x14ac:dyDescent="0.2">
      <c r="A107" s="49" t="s">
        <v>363</v>
      </c>
      <c r="B107" s="253">
        <f>B106/B105</f>
        <v>2.9142008379829472</v>
      </c>
      <c r="C107" s="253">
        <f t="shared" ref="C107:M107" si="68">C106/C105</f>
        <v>2.9141895949068104</v>
      </c>
      <c r="D107" s="253">
        <f t="shared" si="68"/>
        <v>2.9141995437610393</v>
      </c>
      <c r="E107" s="253">
        <f t="shared" si="68"/>
        <v>31.645666356011183</v>
      </c>
      <c r="F107" s="253">
        <f t="shared" si="68"/>
        <v>2.9141997747750348</v>
      </c>
      <c r="G107" s="253">
        <f t="shared" si="68"/>
        <v>2.9142013881771418</v>
      </c>
      <c r="H107" s="253">
        <f t="shared" si="68"/>
        <v>2.9142009706755374</v>
      </c>
      <c r="I107" s="253">
        <f t="shared" si="68"/>
        <v>2.9142086505349694</v>
      </c>
      <c r="J107" s="254">
        <f t="shared" si="68"/>
        <v>2.9141902453870627</v>
      </c>
      <c r="K107" s="253">
        <f t="shared" si="68"/>
        <v>2.9142022460243142</v>
      </c>
      <c r="L107" s="253">
        <f t="shared" si="68"/>
        <v>2.9142000885508375</v>
      </c>
      <c r="M107" s="253">
        <f t="shared" si="68"/>
        <v>3.0334136907551259</v>
      </c>
      <c r="O107" s="253">
        <f t="shared" ref="O107:AL107" si="69">O106/O105</f>
        <v>2.26520263924334</v>
      </c>
      <c r="P107" s="254">
        <f t="shared" si="69"/>
        <v>2.265180564443392</v>
      </c>
      <c r="Q107" s="253">
        <f t="shared" si="69"/>
        <v>2.2652029816191055</v>
      </c>
      <c r="R107" s="253">
        <f t="shared" si="69"/>
        <v>33.752471076254984</v>
      </c>
      <c r="S107" s="253">
        <f t="shared" si="69"/>
        <v>2.2652029310698349</v>
      </c>
      <c r="T107" s="253">
        <f t="shared" si="69"/>
        <v>2.2652020783360882</v>
      </c>
      <c r="U107" s="253">
        <f t="shared" si="69"/>
        <v>2.2652026087424471</v>
      </c>
      <c r="V107" s="254">
        <f t="shared" si="69"/>
        <v>2.2652024029994977</v>
      </c>
      <c r="W107" s="254">
        <f t="shared" si="69"/>
        <v>2.2651985930744378</v>
      </c>
      <c r="X107" s="253">
        <f t="shared" si="69"/>
        <v>2.2652029261245126</v>
      </c>
      <c r="Y107" s="253">
        <f t="shared" si="69"/>
        <v>2.2652038310125771</v>
      </c>
      <c r="Z107" s="253">
        <f t="shared" si="69"/>
        <v>2.3605232439395611</v>
      </c>
      <c r="AA107" s="253">
        <f t="shared" si="69"/>
        <v>4.025719526770934</v>
      </c>
      <c r="AB107" s="253">
        <f t="shared" si="69"/>
        <v>4.0257075731196652</v>
      </c>
      <c r="AC107" s="253">
        <f t="shared" si="69"/>
        <v>4.0257225292486769</v>
      </c>
      <c r="AD107" s="253">
        <f t="shared" si="69"/>
        <v>29.850091836875613</v>
      </c>
      <c r="AE107" s="253">
        <f t="shared" si="69"/>
        <v>4.0257210757120605</v>
      </c>
      <c r="AF107" s="253">
        <f t="shared" si="69"/>
        <v>4.0257190532293539</v>
      </c>
      <c r="AG107" s="253">
        <f t="shared" si="69"/>
        <v>4.0257192950078426</v>
      </c>
      <c r="AH107" s="253">
        <f t="shared" si="69"/>
        <v>4.0257332513813697</v>
      </c>
      <c r="AI107" s="253">
        <f t="shared" si="69"/>
        <v>4.0257154441192879</v>
      </c>
      <c r="AJ107" s="253">
        <f t="shared" si="69"/>
        <v>4.02572074238903</v>
      </c>
      <c r="AK107" s="253">
        <f t="shared" si="69"/>
        <v>4.0257158620641409</v>
      </c>
      <c r="AL107" s="253">
        <f t="shared" si="69"/>
        <v>4.1823407435822419</v>
      </c>
    </row>
    <row r="108" spans="1:38" x14ac:dyDescent="0.2">
      <c r="L108" s="51" t="s">
        <v>364</v>
      </c>
      <c r="M108" s="46">
        <f>SUM([2]RPA_Kris!B5:B6)</f>
        <v>978310</v>
      </c>
    </row>
    <row r="109" spans="1:38" x14ac:dyDescent="0.2">
      <c r="A109" s="49" t="s">
        <v>365</v>
      </c>
      <c r="L109" s="51" t="s">
        <v>366</v>
      </c>
      <c r="M109" s="46">
        <f>SUM([2]RPA_Kris!C5:C6)</f>
        <v>1223317</v>
      </c>
    </row>
    <row r="110" spans="1:38" x14ac:dyDescent="0.2">
      <c r="L110" s="51" t="s">
        <v>367</v>
      </c>
      <c r="M110" s="46">
        <f>SUM([2]RPA_Kris!D5:D6)</f>
        <v>1223317</v>
      </c>
    </row>
    <row r="111" spans="1:38" x14ac:dyDescent="0.2">
      <c r="L111" s="51" t="s">
        <v>368</v>
      </c>
      <c r="M111" s="46">
        <f>SUM([2]RPA_Kris!E5:E6)</f>
        <v>218100</v>
      </c>
    </row>
    <row r="112" spans="1:38" x14ac:dyDescent="0.2">
      <c r="M112" s="50">
        <f>SUM(M105:M111)</f>
        <v>14073590.723413693</v>
      </c>
      <c r="N112" s="49"/>
    </row>
  </sheetData>
  <mergeCells count="3">
    <mergeCell ref="A1:M1"/>
    <mergeCell ref="O2:Z2"/>
    <mergeCell ref="AA2:AL2"/>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C0E16-7626-443B-A194-FD8A83979C1C}">
  <dimension ref="A1:AL111"/>
  <sheetViews>
    <sheetView workbookViewId="0">
      <pane xSplit="1" ySplit="4" topLeftCell="B98" activePane="bottomRight" state="frozen"/>
      <selection pane="topRight" activeCell="S7" sqref="S7:S79"/>
      <selection pane="bottomLeft" activeCell="S7" sqref="S7:S79"/>
      <selection pane="bottomRight" activeCell="S7" sqref="S7:S79"/>
    </sheetView>
  </sheetViews>
  <sheetFormatPr defaultColWidth="8.7109375" defaultRowHeight="12" x14ac:dyDescent="0.2"/>
  <cols>
    <col min="1" max="1" width="16.85546875" style="22" bestFit="1" customWidth="1"/>
    <col min="2" max="2" width="9.85546875" style="22" bestFit="1" customWidth="1"/>
    <col min="3" max="3" width="8.7109375" style="22"/>
    <col min="4" max="4" width="8.85546875" style="22" customWidth="1"/>
    <col min="5" max="5" width="9.85546875" style="22" customWidth="1"/>
    <col min="6" max="6" width="8.7109375" style="22"/>
    <col min="7" max="7" width="9.7109375" style="22" customWidth="1"/>
    <col min="8" max="8" width="10.5703125" style="22" bestFit="1" customWidth="1"/>
    <col min="9" max="9" width="9.85546875" style="22" customWidth="1"/>
    <col min="10" max="10" width="9.5703125" style="22" customWidth="1"/>
    <col min="11" max="11" width="11" style="22" customWidth="1"/>
    <col min="12" max="12" width="9.85546875" style="22" bestFit="1" customWidth="1"/>
    <col min="13" max="13" width="11.42578125" style="22" bestFit="1" customWidth="1"/>
    <col min="14" max="14" width="8" style="22" bestFit="1" customWidth="1"/>
    <col min="15" max="15" width="10" style="22" bestFit="1" customWidth="1"/>
    <col min="16" max="16" width="13.28515625" style="22" bestFit="1" customWidth="1"/>
    <col min="17" max="20" width="8.85546875" style="22" bestFit="1" customWidth="1"/>
    <col min="21" max="21" width="9.42578125" style="22" bestFit="1" customWidth="1"/>
    <col min="22" max="24" width="8.85546875" style="22" bestFit="1" customWidth="1"/>
    <col min="25" max="25" width="9.42578125" style="22" bestFit="1" customWidth="1"/>
    <col min="26" max="26" width="10.5703125" style="22" bestFit="1" customWidth="1"/>
    <col min="27" max="27" width="9.5703125" style="22" customWidth="1"/>
    <col min="28" max="32" width="8.85546875" style="22" bestFit="1" customWidth="1"/>
    <col min="33" max="33" width="9.5703125" style="22" customWidth="1"/>
    <col min="34" max="36" width="8.85546875" style="22" bestFit="1" customWidth="1"/>
    <col min="37" max="37" width="9.85546875" style="22" customWidth="1"/>
    <col min="38" max="38" width="10" style="22" customWidth="1"/>
    <col min="39" max="16384" width="8.7109375" style="22"/>
  </cols>
  <sheetData>
    <row r="1" spans="1:38" ht="15" x14ac:dyDescent="0.25">
      <c r="A1" s="282" t="s">
        <v>356</v>
      </c>
      <c r="B1" s="282"/>
      <c r="C1" s="282"/>
      <c r="D1" s="282"/>
      <c r="E1" s="282"/>
      <c r="F1" s="282"/>
      <c r="G1" s="282"/>
      <c r="H1" s="282"/>
      <c r="I1" s="282"/>
      <c r="J1" s="282"/>
      <c r="K1" s="282"/>
      <c r="L1" s="282"/>
      <c r="M1" s="282"/>
    </row>
    <row r="2" spans="1:38" ht="15" x14ac:dyDescent="0.25">
      <c r="O2" s="283" t="s">
        <v>357</v>
      </c>
      <c r="P2" s="283"/>
      <c r="Q2" s="283"/>
      <c r="R2" s="283"/>
      <c r="S2" s="283"/>
      <c r="T2" s="283"/>
      <c r="U2" s="283"/>
      <c r="V2" s="283"/>
      <c r="W2" s="283"/>
      <c r="X2" s="283"/>
      <c r="Y2" s="283"/>
      <c r="Z2" s="283"/>
      <c r="AA2" s="284" t="s">
        <v>358</v>
      </c>
      <c r="AB2" s="284"/>
      <c r="AC2" s="284"/>
      <c r="AD2" s="284"/>
      <c r="AE2" s="284"/>
      <c r="AF2" s="284"/>
      <c r="AG2" s="284"/>
      <c r="AH2" s="284"/>
      <c r="AI2" s="284"/>
      <c r="AJ2" s="284"/>
      <c r="AK2" s="284"/>
      <c r="AL2" s="284"/>
    </row>
    <row r="3" spans="1:38" x14ac:dyDescent="0.2">
      <c r="A3" s="22">
        <v>1</v>
      </c>
      <c r="B3" s="22">
        <v>2</v>
      </c>
      <c r="C3" s="22">
        <v>3</v>
      </c>
      <c r="D3" s="22">
        <v>4</v>
      </c>
      <c r="E3" s="22">
        <v>5</v>
      </c>
      <c r="F3" s="22">
        <v>6</v>
      </c>
      <c r="G3" s="22">
        <v>7</v>
      </c>
      <c r="H3" s="22">
        <v>8</v>
      </c>
      <c r="I3" s="22">
        <v>9</v>
      </c>
      <c r="J3" s="22">
        <v>10</v>
      </c>
      <c r="K3" s="22">
        <v>11</v>
      </c>
      <c r="L3" s="22">
        <v>12</v>
      </c>
      <c r="M3" s="22">
        <v>13</v>
      </c>
      <c r="N3" s="22">
        <v>14</v>
      </c>
      <c r="O3" s="22">
        <v>15</v>
      </c>
      <c r="P3" s="22">
        <v>16</v>
      </c>
      <c r="Q3" s="22">
        <v>17</v>
      </c>
      <c r="R3" s="22">
        <v>18</v>
      </c>
      <c r="S3" s="22">
        <v>19</v>
      </c>
      <c r="T3" s="22">
        <v>20</v>
      </c>
      <c r="U3" s="22">
        <v>21</v>
      </c>
      <c r="V3" s="22">
        <v>22</v>
      </c>
      <c r="W3" s="22">
        <v>23</v>
      </c>
      <c r="X3" s="22">
        <v>24</v>
      </c>
      <c r="Y3" s="22">
        <v>25</v>
      </c>
      <c r="Z3" s="22">
        <v>26</v>
      </c>
      <c r="AA3" s="22">
        <v>27</v>
      </c>
      <c r="AB3" s="22">
        <v>28</v>
      </c>
      <c r="AC3" s="22">
        <v>29</v>
      </c>
      <c r="AD3" s="22">
        <v>30</v>
      </c>
      <c r="AE3" s="22">
        <v>31</v>
      </c>
      <c r="AF3" s="22">
        <v>32</v>
      </c>
      <c r="AG3" s="22">
        <v>33</v>
      </c>
      <c r="AH3" s="22">
        <v>34</v>
      </c>
      <c r="AI3" s="22">
        <v>35</v>
      </c>
      <c r="AJ3" s="22">
        <v>36</v>
      </c>
      <c r="AK3" s="22">
        <v>37</v>
      </c>
      <c r="AL3" s="22">
        <v>38</v>
      </c>
    </row>
    <row r="4" spans="1:38" ht="60" x14ac:dyDescent="0.2">
      <c r="A4" s="39" t="s">
        <v>122</v>
      </c>
      <c r="B4" s="40" t="s">
        <v>144</v>
      </c>
      <c r="C4" s="40" t="s">
        <v>145</v>
      </c>
      <c r="D4" s="40" t="s">
        <v>146</v>
      </c>
      <c r="E4" s="40" t="s">
        <v>147</v>
      </c>
      <c r="F4" s="40" t="s">
        <v>148</v>
      </c>
      <c r="G4" s="40" t="s">
        <v>149</v>
      </c>
      <c r="H4" s="40" t="s">
        <v>150</v>
      </c>
      <c r="I4" s="40" t="s">
        <v>151</v>
      </c>
      <c r="J4" s="40" t="s">
        <v>152</v>
      </c>
      <c r="K4" s="40" t="s">
        <v>153</v>
      </c>
      <c r="L4" s="40" t="s">
        <v>154</v>
      </c>
      <c r="M4" s="41" t="s">
        <v>360</v>
      </c>
      <c r="N4" s="42" t="s">
        <v>361</v>
      </c>
      <c r="O4" s="40" t="s">
        <v>144</v>
      </c>
      <c r="P4" s="40" t="s">
        <v>145</v>
      </c>
      <c r="Q4" s="40" t="s">
        <v>146</v>
      </c>
      <c r="R4" s="40" t="s">
        <v>147</v>
      </c>
      <c r="S4" s="40" t="s">
        <v>148</v>
      </c>
      <c r="T4" s="40" t="s">
        <v>149</v>
      </c>
      <c r="U4" s="40" t="s">
        <v>150</v>
      </c>
      <c r="V4" s="40" t="s">
        <v>151</v>
      </c>
      <c r="W4" s="40" t="s">
        <v>152</v>
      </c>
      <c r="X4" s="40" t="s">
        <v>153</v>
      </c>
      <c r="Y4" s="40" t="s">
        <v>154</v>
      </c>
      <c r="Z4" s="41" t="s">
        <v>360</v>
      </c>
      <c r="AA4" s="40" t="s">
        <v>144</v>
      </c>
      <c r="AB4" s="40" t="s">
        <v>145</v>
      </c>
      <c r="AC4" s="40" t="s">
        <v>146</v>
      </c>
      <c r="AD4" s="40" t="s">
        <v>147</v>
      </c>
      <c r="AE4" s="40" t="s">
        <v>148</v>
      </c>
      <c r="AF4" s="40" t="s">
        <v>149</v>
      </c>
      <c r="AG4" s="40" t="s">
        <v>150</v>
      </c>
      <c r="AH4" s="40" t="s">
        <v>151</v>
      </c>
      <c r="AI4" s="40" t="s">
        <v>152</v>
      </c>
      <c r="AJ4" s="40" t="s">
        <v>153</v>
      </c>
      <c r="AK4" s="40" t="s">
        <v>154</v>
      </c>
      <c r="AL4" s="41" t="s">
        <v>360</v>
      </c>
    </row>
    <row r="5" spans="1:38" x14ac:dyDescent="0.2">
      <c r="A5" s="43" t="s">
        <v>157</v>
      </c>
      <c r="B5" s="44">
        <f t="shared" ref="B5:B34" si="0">ROUND(VLOOKUP($A5, cobdata, 14, FALSE),2)</f>
        <v>1104.3699999999999</v>
      </c>
      <c r="C5" s="44">
        <f t="shared" ref="C5:C34" si="1">ROUND(VLOOKUP($A5, cobdata, 15, FALSE),2)</f>
        <v>140.27000000000001</v>
      </c>
      <c r="D5" s="44">
        <f t="shared" ref="D5:D34" si="2">ROUND(VLOOKUP($A5, cobdata, 16, FALSE),2)</f>
        <v>448.85</v>
      </c>
      <c r="E5" s="44">
        <f t="shared" ref="E5:E34" si="3">ROUND(VLOOKUP($A5, cobdata, 17, FALSE),2)</f>
        <v>0</v>
      </c>
      <c r="F5" s="44">
        <f t="shared" ref="F5:F34" si="4">ROUND(VLOOKUP($A5, cobdata, 18, FALSE),2)</f>
        <v>93.51</v>
      </c>
      <c r="G5" s="44">
        <f t="shared" ref="G5:G34" si="5">ROUND(VLOOKUP($A5, cobdata, 19, FALSE),2)</f>
        <v>561.07000000000005</v>
      </c>
      <c r="H5" s="44">
        <f t="shared" ref="H5:H34" si="6">ROUND(VLOOKUP($A5, cobdata, 20, FALSE),2)</f>
        <v>11402.78</v>
      </c>
      <c r="I5" s="44">
        <f t="shared" ref="I5:I34" si="7">ROUND(VLOOKUP($A5, cobdata, 21, FALSE),2)</f>
        <v>504.96</v>
      </c>
      <c r="J5" s="44">
        <f t="shared" ref="J5:J34" si="8">ROUND(VLOOKUP($A5, cobdata, 22, FALSE),2)</f>
        <v>757.44</v>
      </c>
      <c r="K5" s="44">
        <f t="shared" ref="K5:K34" si="9">ROUND(VLOOKUP($A5, cobdata, 23, FALSE),2)</f>
        <v>392.75</v>
      </c>
      <c r="L5" s="44">
        <f t="shared" ref="L5:L34" si="10">ROUND(VLOOKUP($A5, cobdata, 24, FALSE),2)</f>
        <v>0</v>
      </c>
      <c r="M5" s="44">
        <f>SUM(B5:L5)</f>
        <v>15406</v>
      </c>
      <c r="N5" s="45">
        <f>'OP8 part 1 analysis'!G22</f>
        <v>0.53987730061349692</v>
      </c>
      <c r="O5" s="46">
        <f>B5-AA5</f>
        <v>508.14999999999986</v>
      </c>
      <c r="P5" s="46">
        <f t="shared" ref="P5:Y20" si="11">C5-AB5</f>
        <v>64.540000000000006</v>
      </c>
      <c r="Q5" s="46">
        <f t="shared" si="11"/>
        <v>206.53000000000003</v>
      </c>
      <c r="R5" s="46">
        <f t="shared" si="11"/>
        <v>0</v>
      </c>
      <c r="S5" s="46">
        <f t="shared" si="11"/>
        <v>43.030000000000008</v>
      </c>
      <c r="T5" s="46">
        <f t="shared" si="11"/>
        <v>258.16000000000003</v>
      </c>
      <c r="U5" s="46">
        <f t="shared" si="11"/>
        <v>5246.68</v>
      </c>
      <c r="V5" s="46">
        <f t="shared" si="11"/>
        <v>232.33999999999997</v>
      </c>
      <c r="W5" s="46">
        <f t="shared" si="11"/>
        <v>348.52000000000004</v>
      </c>
      <c r="X5" s="46">
        <f t="shared" si="11"/>
        <v>180.71</v>
      </c>
      <c r="Y5" s="46">
        <f t="shared" si="11"/>
        <v>0</v>
      </c>
      <c r="Z5" s="46">
        <f>SUM(O5:Y5)</f>
        <v>7088.6600000000008</v>
      </c>
      <c r="AA5" s="46">
        <f>ROUND(B5*$N5,2)</f>
        <v>596.22</v>
      </c>
      <c r="AB5" s="46">
        <f t="shared" ref="AB5:AK20" si="12">ROUND(C5*$N5,2)</f>
        <v>75.73</v>
      </c>
      <c r="AC5" s="46">
        <f t="shared" si="12"/>
        <v>242.32</v>
      </c>
      <c r="AD5" s="46">
        <f t="shared" si="12"/>
        <v>0</v>
      </c>
      <c r="AE5" s="46">
        <f t="shared" si="12"/>
        <v>50.48</v>
      </c>
      <c r="AF5" s="46">
        <f t="shared" si="12"/>
        <v>302.91000000000003</v>
      </c>
      <c r="AG5" s="46">
        <f t="shared" si="12"/>
        <v>6156.1</v>
      </c>
      <c r="AH5" s="46">
        <f t="shared" si="12"/>
        <v>272.62</v>
      </c>
      <c r="AI5" s="46">
        <f t="shared" si="12"/>
        <v>408.92</v>
      </c>
      <c r="AJ5" s="46">
        <f t="shared" si="12"/>
        <v>212.04</v>
      </c>
      <c r="AK5" s="46">
        <f t="shared" si="12"/>
        <v>0</v>
      </c>
      <c r="AL5" s="46">
        <f>SUM(AA5:AK5)</f>
        <v>8317.34</v>
      </c>
    </row>
    <row r="6" spans="1:38" x14ac:dyDescent="0.2">
      <c r="A6" s="43" t="s">
        <v>161</v>
      </c>
      <c r="B6" s="44">
        <f t="shared" si="0"/>
        <v>3600</v>
      </c>
      <c r="C6" s="44">
        <f t="shared" si="1"/>
        <v>450</v>
      </c>
      <c r="D6" s="44">
        <f t="shared" si="2"/>
        <v>1440</v>
      </c>
      <c r="E6" s="44">
        <f t="shared" si="3"/>
        <v>0</v>
      </c>
      <c r="F6" s="44">
        <f t="shared" si="4"/>
        <v>0</v>
      </c>
      <c r="G6" s="44">
        <f t="shared" si="5"/>
        <v>1800</v>
      </c>
      <c r="H6" s="44">
        <f t="shared" si="6"/>
        <v>5778.6</v>
      </c>
      <c r="I6" s="44">
        <f t="shared" si="7"/>
        <v>1620</v>
      </c>
      <c r="J6" s="44">
        <f t="shared" si="8"/>
        <v>2430</v>
      </c>
      <c r="K6" s="44">
        <f t="shared" si="9"/>
        <v>1260</v>
      </c>
      <c r="L6" s="44">
        <f t="shared" si="10"/>
        <v>7200</v>
      </c>
      <c r="M6" s="44">
        <f t="shared" ref="M6:M69" si="13">SUM(B6:L6)</f>
        <v>25578.6</v>
      </c>
      <c r="N6" s="45">
        <f>'OP8 part 1 analysis'!G23</f>
        <v>0.12790697674418605</v>
      </c>
      <c r="O6" s="46">
        <f t="shared" ref="O6:Y42" si="14">B6-AA6</f>
        <v>3139.5299999999997</v>
      </c>
      <c r="P6" s="46">
        <f t="shared" si="11"/>
        <v>392.44</v>
      </c>
      <c r="Q6" s="46">
        <f t="shared" si="11"/>
        <v>1255.81</v>
      </c>
      <c r="R6" s="46">
        <f t="shared" si="11"/>
        <v>0</v>
      </c>
      <c r="S6" s="46">
        <f t="shared" si="11"/>
        <v>0</v>
      </c>
      <c r="T6" s="46">
        <f t="shared" si="11"/>
        <v>1569.77</v>
      </c>
      <c r="U6" s="46">
        <f t="shared" si="11"/>
        <v>5039.4800000000005</v>
      </c>
      <c r="V6" s="46">
        <f t="shared" si="11"/>
        <v>1412.79</v>
      </c>
      <c r="W6" s="46">
        <f t="shared" si="11"/>
        <v>2119.19</v>
      </c>
      <c r="X6" s="46">
        <f t="shared" si="11"/>
        <v>1098.8399999999999</v>
      </c>
      <c r="Y6" s="46">
        <f t="shared" si="11"/>
        <v>6279.07</v>
      </c>
      <c r="Z6" s="46">
        <f t="shared" ref="Z6:Z69" si="15">SUM(O6:Y6)</f>
        <v>22306.92</v>
      </c>
      <c r="AA6" s="46">
        <f t="shared" ref="AA6:AK42" si="16">ROUND(B6*$N6,2)</f>
        <v>460.47</v>
      </c>
      <c r="AB6" s="46">
        <f t="shared" si="12"/>
        <v>57.56</v>
      </c>
      <c r="AC6" s="46">
        <f t="shared" si="12"/>
        <v>184.19</v>
      </c>
      <c r="AD6" s="46">
        <f t="shared" si="12"/>
        <v>0</v>
      </c>
      <c r="AE6" s="46">
        <f t="shared" si="12"/>
        <v>0</v>
      </c>
      <c r="AF6" s="46">
        <f t="shared" si="12"/>
        <v>230.23</v>
      </c>
      <c r="AG6" s="46">
        <f t="shared" si="12"/>
        <v>739.12</v>
      </c>
      <c r="AH6" s="46">
        <f t="shared" si="12"/>
        <v>207.21</v>
      </c>
      <c r="AI6" s="46">
        <f t="shared" si="12"/>
        <v>310.81</v>
      </c>
      <c r="AJ6" s="46">
        <f t="shared" si="12"/>
        <v>161.16</v>
      </c>
      <c r="AK6" s="46">
        <f t="shared" si="12"/>
        <v>920.93</v>
      </c>
      <c r="AL6" s="46">
        <f t="shared" ref="AL6:AL69" si="17">SUM(AA6:AK6)</f>
        <v>3271.68</v>
      </c>
    </row>
    <row r="7" spans="1:38" x14ac:dyDescent="0.2">
      <c r="A7" s="43" t="s">
        <v>162</v>
      </c>
      <c r="B7" s="44">
        <f t="shared" si="0"/>
        <v>4304.3999999999996</v>
      </c>
      <c r="C7" s="44">
        <f t="shared" si="1"/>
        <v>142.35</v>
      </c>
      <c r="D7" s="44">
        <f t="shared" si="2"/>
        <v>455.52</v>
      </c>
      <c r="E7" s="44">
        <f t="shared" si="3"/>
        <v>0</v>
      </c>
      <c r="F7" s="44">
        <f t="shared" si="4"/>
        <v>570</v>
      </c>
      <c r="G7" s="44">
        <f t="shared" si="5"/>
        <v>569.4</v>
      </c>
      <c r="H7" s="44">
        <f t="shared" si="6"/>
        <v>4742.3999999999996</v>
      </c>
      <c r="I7" s="44">
        <f t="shared" si="7"/>
        <v>512.46</v>
      </c>
      <c r="J7" s="44">
        <f t="shared" si="8"/>
        <v>768.69</v>
      </c>
      <c r="K7" s="44">
        <f t="shared" si="9"/>
        <v>398.58</v>
      </c>
      <c r="L7" s="44">
        <f t="shared" si="10"/>
        <v>2581.1999999999998</v>
      </c>
      <c r="M7" s="44">
        <f t="shared" si="13"/>
        <v>15045</v>
      </c>
      <c r="N7" s="45">
        <f>'OP8 part 1 analysis'!G24</f>
        <v>0.26829268292682923</v>
      </c>
      <c r="O7" s="46">
        <f t="shared" si="14"/>
        <v>3149.5599999999995</v>
      </c>
      <c r="P7" s="46">
        <f t="shared" si="11"/>
        <v>104.16</v>
      </c>
      <c r="Q7" s="46">
        <f t="shared" si="11"/>
        <v>333.31</v>
      </c>
      <c r="R7" s="46">
        <f t="shared" si="11"/>
        <v>0</v>
      </c>
      <c r="S7" s="46">
        <f t="shared" si="11"/>
        <v>417.07</v>
      </c>
      <c r="T7" s="46">
        <f t="shared" si="11"/>
        <v>416.63</v>
      </c>
      <c r="U7" s="46">
        <f t="shared" si="11"/>
        <v>3470.0499999999997</v>
      </c>
      <c r="V7" s="46">
        <f t="shared" si="11"/>
        <v>374.97</v>
      </c>
      <c r="W7" s="46">
        <f t="shared" si="11"/>
        <v>562.46</v>
      </c>
      <c r="X7" s="46">
        <f t="shared" si="11"/>
        <v>291.64</v>
      </c>
      <c r="Y7" s="46">
        <f t="shared" si="11"/>
        <v>1888.6799999999998</v>
      </c>
      <c r="Z7" s="46">
        <f t="shared" si="15"/>
        <v>11008.529999999999</v>
      </c>
      <c r="AA7" s="46">
        <f t="shared" si="16"/>
        <v>1154.8399999999999</v>
      </c>
      <c r="AB7" s="46">
        <f t="shared" si="12"/>
        <v>38.19</v>
      </c>
      <c r="AC7" s="46">
        <f t="shared" si="12"/>
        <v>122.21</v>
      </c>
      <c r="AD7" s="46">
        <f t="shared" si="12"/>
        <v>0</v>
      </c>
      <c r="AE7" s="46">
        <f t="shared" si="12"/>
        <v>152.93</v>
      </c>
      <c r="AF7" s="46">
        <f t="shared" si="12"/>
        <v>152.77000000000001</v>
      </c>
      <c r="AG7" s="46">
        <f t="shared" si="12"/>
        <v>1272.3499999999999</v>
      </c>
      <c r="AH7" s="46">
        <f t="shared" si="12"/>
        <v>137.49</v>
      </c>
      <c r="AI7" s="46">
        <f t="shared" si="12"/>
        <v>206.23</v>
      </c>
      <c r="AJ7" s="46">
        <f t="shared" si="12"/>
        <v>106.94</v>
      </c>
      <c r="AK7" s="46">
        <f t="shared" si="12"/>
        <v>692.52</v>
      </c>
      <c r="AL7" s="46">
        <f t="shared" si="17"/>
        <v>4036.47</v>
      </c>
    </row>
    <row r="8" spans="1:38" x14ac:dyDescent="0.2">
      <c r="A8" s="43" t="s">
        <v>163</v>
      </c>
      <c r="B8" s="44">
        <f t="shared" si="0"/>
        <v>37482</v>
      </c>
      <c r="C8" s="44">
        <f t="shared" si="1"/>
        <v>500.85</v>
      </c>
      <c r="D8" s="44">
        <f t="shared" si="2"/>
        <v>1602.72</v>
      </c>
      <c r="E8" s="44">
        <f t="shared" si="3"/>
        <v>0</v>
      </c>
      <c r="F8" s="44">
        <f t="shared" si="4"/>
        <v>150</v>
      </c>
      <c r="G8" s="44">
        <f t="shared" si="5"/>
        <v>2003.4</v>
      </c>
      <c r="H8" s="44">
        <f t="shared" si="6"/>
        <v>11198</v>
      </c>
      <c r="I8" s="44">
        <f t="shared" si="7"/>
        <v>1803.06</v>
      </c>
      <c r="J8" s="44">
        <f t="shared" si="8"/>
        <v>2704.59</v>
      </c>
      <c r="K8" s="44">
        <f t="shared" si="9"/>
        <v>1402.38</v>
      </c>
      <c r="L8" s="44">
        <f t="shared" si="10"/>
        <v>1695</v>
      </c>
      <c r="M8" s="44">
        <f t="shared" si="13"/>
        <v>60541.999999999993</v>
      </c>
      <c r="N8" s="45">
        <f>'OP8 part 1 analysis'!G25</f>
        <v>0.65067536096879364</v>
      </c>
      <c r="O8" s="46">
        <f t="shared" si="14"/>
        <v>13093.39</v>
      </c>
      <c r="P8" s="46">
        <f t="shared" si="11"/>
        <v>174.96000000000004</v>
      </c>
      <c r="Q8" s="46">
        <f t="shared" si="11"/>
        <v>559.87000000000012</v>
      </c>
      <c r="R8" s="46">
        <f t="shared" si="11"/>
        <v>0</v>
      </c>
      <c r="S8" s="46">
        <f t="shared" si="11"/>
        <v>52.400000000000006</v>
      </c>
      <c r="T8" s="46">
        <f t="shared" si="11"/>
        <v>699.84000000000015</v>
      </c>
      <c r="U8" s="46">
        <f t="shared" si="11"/>
        <v>3911.74</v>
      </c>
      <c r="V8" s="46">
        <f t="shared" si="11"/>
        <v>629.84999999999991</v>
      </c>
      <c r="W8" s="46">
        <f t="shared" si="11"/>
        <v>944.7800000000002</v>
      </c>
      <c r="X8" s="46">
        <f t="shared" si="11"/>
        <v>489.8900000000001</v>
      </c>
      <c r="Y8" s="46">
        <f t="shared" si="11"/>
        <v>592.1099999999999</v>
      </c>
      <c r="Z8" s="46">
        <f t="shared" si="15"/>
        <v>21148.829999999994</v>
      </c>
      <c r="AA8" s="46">
        <f t="shared" si="16"/>
        <v>24388.61</v>
      </c>
      <c r="AB8" s="46">
        <f t="shared" si="12"/>
        <v>325.89</v>
      </c>
      <c r="AC8" s="46">
        <f t="shared" si="12"/>
        <v>1042.8499999999999</v>
      </c>
      <c r="AD8" s="46">
        <f t="shared" si="12"/>
        <v>0</v>
      </c>
      <c r="AE8" s="46">
        <f t="shared" si="12"/>
        <v>97.6</v>
      </c>
      <c r="AF8" s="46">
        <f t="shared" si="12"/>
        <v>1303.56</v>
      </c>
      <c r="AG8" s="46">
        <f t="shared" si="12"/>
        <v>7286.26</v>
      </c>
      <c r="AH8" s="46">
        <f t="shared" si="12"/>
        <v>1173.21</v>
      </c>
      <c r="AI8" s="46">
        <f t="shared" si="12"/>
        <v>1759.81</v>
      </c>
      <c r="AJ8" s="46">
        <f t="shared" si="12"/>
        <v>912.49</v>
      </c>
      <c r="AK8" s="46">
        <f t="shared" si="12"/>
        <v>1102.8900000000001</v>
      </c>
      <c r="AL8" s="46">
        <f t="shared" si="17"/>
        <v>39393.169999999991</v>
      </c>
    </row>
    <row r="9" spans="1:38" x14ac:dyDescent="0.2">
      <c r="A9" s="43" t="s">
        <v>164</v>
      </c>
      <c r="B9" s="44">
        <f t="shared" si="0"/>
        <v>12183.24</v>
      </c>
      <c r="C9" s="44">
        <f t="shared" si="1"/>
        <v>606.89</v>
      </c>
      <c r="D9" s="44">
        <f t="shared" si="2"/>
        <v>1942.04</v>
      </c>
      <c r="E9" s="44">
        <f t="shared" si="3"/>
        <v>0</v>
      </c>
      <c r="F9" s="44">
        <f t="shared" si="4"/>
        <v>181.84</v>
      </c>
      <c r="G9" s="44">
        <f t="shared" si="5"/>
        <v>2427.56</v>
      </c>
      <c r="H9" s="44">
        <f t="shared" si="6"/>
        <v>3454.95</v>
      </c>
      <c r="I9" s="44">
        <f t="shared" si="7"/>
        <v>2184.8000000000002</v>
      </c>
      <c r="J9" s="44">
        <f t="shared" si="8"/>
        <v>3277.2</v>
      </c>
      <c r="K9" s="44">
        <f t="shared" si="9"/>
        <v>1699.29</v>
      </c>
      <c r="L9" s="44">
        <f t="shared" si="10"/>
        <v>909.2</v>
      </c>
      <c r="M9" s="44">
        <f t="shared" si="13"/>
        <v>28867.010000000002</v>
      </c>
      <c r="N9" s="45">
        <f>'OP8 part 1 analysis'!G26</f>
        <v>7.4016914624359526E-2</v>
      </c>
      <c r="O9" s="46">
        <f t="shared" si="14"/>
        <v>11281.47</v>
      </c>
      <c r="P9" s="46">
        <f t="shared" si="11"/>
        <v>561.97</v>
      </c>
      <c r="Q9" s="46">
        <f t="shared" si="11"/>
        <v>1798.3</v>
      </c>
      <c r="R9" s="46">
        <f t="shared" si="11"/>
        <v>0</v>
      </c>
      <c r="S9" s="46">
        <f t="shared" si="11"/>
        <v>168.38</v>
      </c>
      <c r="T9" s="46">
        <f t="shared" si="11"/>
        <v>2247.88</v>
      </c>
      <c r="U9" s="46">
        <f t="shared" si="11"/>
        <v>3199.23</v>
      </c>
      <c r="V9" s="46">
        <f t="shared" si="11"/>
        <v>2023.0900000000001</v>
      </c>
      <c r="W9" s="46">
        <f t="shared" si="11"/>
        <v>3034.6299999999997</v>
      </c>
      <c r="X9" s="46">
        <f t="shared" si="11"/>
        <v>1573.51</v>
      </c>
      <c r="Y9" s="46">
        <f t="shared" si="11"/>
        <v>841.90000000000009</v>
      </c>
      <c r="Z9" s="46">
        <f t="shared" si="15"/>
        <v>26730.359999999997</v>
      </c>
      <c r="AA9" s="46">
        <f t="shared" si="16"/>
        <v>901.77</v>
      </c>
      <c r="AB9" s="46">
        <f t="shared" si="12"/>
        <v>44.92</v>
      </c>
      <c r="AC9" s="46">
        <f t="shared" si="12"/>
        <v>143.74</v>
      </c>
      <c r="AD9" s="46">
        <f t="shared" si="12"/>
        <v>0</v>
      </c>
      <c r="AE9" s="46">
        <f t="shared" si="12"/>
        <v>13.46</v>
      </c>
      <c r="AF9" s="46">
        <f t="shared" si="12"/>
        <v>179.68</v>
      </c>
      <c r="AG9" s="46">
        <f t="shared" si="12"/>
        <v>255.72</v>
      </c>
      <c r="AH9" s="46">
        <f t="shared" si="12"/>
        <v>161.71</v>
      </c>
      <c r="AI9" s="46">
        <f t="shared" si="12"/>
        <v>242.57</v>
      </c>
      <c r="AJ9" s="46">
        <f t="shared" si="12"/>
        <v>125.78</v>
      </c>
      <c r="AK9" s="46">
        <f t="shared" si="12"/>
        <v>67.3</v>
      </c>
      <c r="AL9" s="46">
        <f t="shared" si="17"/>
        <v>2136.65</v>
      </c>
    </row>
    <row r="10" spans="1:38" x14ac:dyDescent="0.2">
      <c r="A10" s="43" t="s">
        <v>165</v>
      </c>
      <c r="B10" s="44">
        <f t="shared" si="0"/>
        <v>19439.77</v>
      </c>
      <c r="C10" s="44">
        <f t="shared" si="1"/>
        <v>237.6</v>
      </c>
      <c r="D10" s="44">
        <f t="shared" si="2"/>
        <v>760.31</v>
      </c>
      <c r="E10" s="44">
        <f t="shared" si="3"/>
        <v>0</v>
      </c>
      <c r="F10" s="44">
        <f t="shared" si="4"/>
        <v>431.99</v>
      </c>
      <c r="G10" s="44">
        <f t="shared" si="5"/>
        <v>950.39</v>
      </c>
      <c r="H10" s="44">
        <f t="shared" si="6"/>
        <v>16000</v>
      </c>
      <c r="I10" s="44">
        <f t="shared" si="7"/>
        <v>855.35</v>
      </c>
      <c r="J10" s="44">
        <f t="shared" si="8"/>
        <v>1283.02</v>
      </c>
      <c r="K10" s="44">
        <f t="shared" si="9"/>
        <v>665.27</v>
      </c>
      <c r="L10" s="44">
        <f t="shared" si="10"/>
        <v>2073.58</v>
      </c>
      <c r="M10" s="44">
        <f t="shared" si="13"/>
        <v>42697.279999999992</v>
      </c>
      <c r="N10" s="45">
        <f>'OP8 part 1 analysis'!G27</f>
        <v>0.58421110987914404</v>
      </c>
      <c r="O10" s="46">
        <f t="shared" si="14"/>
        <v>8082.84</v>
      </c>
      <c r="P10" s="46">
        <f t="shared" si="11"/>
        <v>98.789999999999992</v>
      </c>
      <c r="Q10" s="46">
        <f t="shared" si="11"/>
        <v>316.12999999999994</v>
      </c>
      <c r="R10" s="46">
        <f t="shared" si="11"/>
        <v>0</v>
      </c>
      <c r="S10" s="46">
        <f t="shared" si="11"/>
        <v>179.62</v>
      </c>
      <c r="T10" s="46">
        <f t="shared" si="11"/>
        <v>395.15999999999997</v>
      </c>
      <c r="U10" s="46">
        <f t="shared" si="11"/>
        <v>6652.6200000000008</v>
      </c>
      <c r="V10" s="46">
        <f t="shared" si="11"/>
        <v>355.65000000000003</v>
      </c>
      <c r="W10" s="46">
        <f t="shared" si="11"/>
        <v>533.47</v>
      </c>
      <c r="X10" s="46">
        <f t="shared" si="11"/>
        <v>276.60999999999996</v>
      </c>
      <c r="Y10" s="46">
        <f t="shared" si="11"/>
        <v>862.16999999999985</v>
      </c>
      <c r="Z10" s="46">
        <f t="shared" si="15"/>
        <v>17753.060000000001</v>
      </c>
      <c r="AA10" s="46">
        <f t="shared" si="16"/>
        <v>11356.93</v>
      </c>
      <c r="AB10" s="46">
        <f t="shared" si="12"/>
        <v>138.81</v>
      </c>
      <c r="AC10" s="46">
        <f t="shared" si="12"/>
        <v>444.18</v>
      </c>
      <c r="AD10" s="46">
        <f t="shared" si="12"/>
        <v>0</v>
      </c>
      <c r="AE10" s="46">
        <f t="shared" si="12"/>
        <v>252.37</v>
      </c>
      <c r="AF10" s="46">
        <f t="shared" si="12"/>
        <v>555.23</v>
      </c>
      <c r="AG10" s="46">
        <f t="shared" si="12"/>
        <v>9347.3799999999992</v>
      </c>
      <c r="AH10" s="46">
        <f t="shared" si="12"/>
        <v>499.7</v>
      </c>
      <c r="AI10" s="46">
        <f t="shared" si="12"/>
        <v>749.55</v>
      </c>
      <c r="AJ10" s="46">
        <f t="shared" si="12"/>
        <v>388.66</v>
      </c>
      <c r="AK10" s="46">
        <f t="shared" si="12"/>
        <v>1211.4100000000001</v>
      </c>
      <c r="AL10" s="46">
        <f t="shared" si="17"/>
        <v>24944.22</v>
      </c>
    </row>
    <row r="11" spans="1:38" x14ac:dyDescent="0.2">
      <c r="A11" s="43" t="s">
        <v>166</v>
      </c>
      <c r="B11" s="44">
        <f t="shared" si="0"/>
        <v>3902.94</v>
      </c>
      <c r="C11" s="44">
        <f t="shared" si="1"/>
        <v>38.409999999999997</v>
      </c>
      <c r="D11" s="44">
        <f t="shared" si="2"/>
        <v>122.9</v>
      </c>
      <c r="E11" s="44">
        <f t="shared" si="3"/>
        <v>0</v>
      </c>
      <c r="F11" s="44">
        <f t="shared" si="4"/>
        <v>384.07</v>
      </c>
      <c r="G11" s="44">
        <f t="shared" si="5"/>
        <v>153.63</v>
      </c>
      <c r="H11" s="44">
        <f t="shared" si="6"/>
        <v>11708.05</v>
      </c>
      <c r="I11" s="44">
        <f t="shared" si="7"/>
        <v>138.27000000000001</v>
      </c>
      <c r="J11" s="44">
        <f t="shared" si="8"/>
        <v>207.4</v>
      </c>
      <c r="K11" s="44">
        <f t="shared" si="9"/>
        <v>107.54</v>
      </c>
      <c r="L11" s="44">
        <f t="shared" si="10"/>
        <v>4224.79</v>
      </c>
      <c r="M11" s="44">
        <f t="shared" si="13"/>
        <v>20988.000000000004</v>
      </c>
      <c r="N11" s="45">
        <f>'OP8 part 1 analysis'!G28</f>
        <v>0.22680412371134018</v>
      </c>
      <c r="O11" s="46">
        <f t="shared" si="14"/>
        <v>3017.74</v>
      </c>
      <c r="P11" s="46">
        <f t="shared" si="11"/>
        <v>29.699999999999996</v>
      </c>
      <c r="Q11" s="46">
        <f t="shared" si="11"/>
        <v>95.03</v>
      </c>
      <c r="R11" s="46">
        <f t="shared" si="11"/>
        <v>0</v>
      </c>
      <c r="S11" s="46">
        <f t="shared" si="11"/>
        <v>296.95999999999998</v>
      </c>
      <c r="T11" s="46">
        <f t="shared" si="11"/>
        <v>118.78999999999999</v>
      </c>
      <c r="U11" s="46">
        <f t="shared" si="11"/>
        <v>9052.619999999999</v>
      </c>
      <c r="V11" s="46">
        <f t="shared" si="11"/>
        <v>106.91000000000001</v>
      </c>
      <c r="W11" s="46">
        <f t="shared" si="11"/>
        <v>160.36000000000001</v>
      </c>
      <c r="X11" s="46">
        <f t="shared" si="11"/>
        <v>83.15</v>
      </c>
      <c r="Y11" s="46">
        <f t="shared" si="11"/>
        <v>3266.59</v>
      </c>
      <c r="Z11" s="46">
        <f t="shared" si="15"/>
        <v>16227.849999999999</v>
      </c>
      <c r="AA11" s="46">
        <f t="shared" si="16"/>
        <v>885.2</v>
      </c>
      <c r="AB11" s="46">
        <f t="shared" si="12"/>
        <v>8.7100000000000009</v>
      </c>
      <c r="AC11" s="46">
        <f t="shared" si="12"/>
        <v>27.87</v>
      </c>
      <c r="AD11" s="46">
        <f t="shared" si="12"/>
        <v>0</v>
      </c>
      <c r="AE11" s="46">
        <f t="shared" si="12"/>
        <v>87.11</v>
      </c>
      <c r="AF11" s="46">
        <f t="shared" si="12"/>
        <v>34.840000000000003</v>
      </c>
      <c r="AG11" s="46">
        <f t="shared" si="12"/>
        <v>2655.43</v>
      </c>
      <c r="AH11" s="46">
        <f t="shared" si="12"/>
        <v>31.36</v>
      </c>
      <c r="AI11" s="46">
        <f t="shared" si="12"/>
        <v>47.04</v>
      </c>
      <c r="AJ11" s="46">
        <f t="shared" si="12"/>
        <v>24.39</v>
      </c>
      <c r="AK11" s="46">
        <f t="shared" si="12"/>
        <v>958.2</v>
      </c>
      <c r="AL11" s="46">
        <f t="shared" si="17"/>
        <v>4760.1499999999996</v>
      </c>
    </row>
    <row r="12" spans="1:38" x14ac:dyDescent="0.2">
      <c r="A12" s="43" t="s">
        <v>167</v>
      </c>
      <c r="B12" s="44">
        <f t="shared" si="0"/>
        <v>4704</v>
      </c>
      <c r="C12" s="44">
        <f t="shared" si="1"/>
        <v>354.36</v>
      </c>
      <c r="D12" s="44">
        <f t="shared" si="2"/>
        <v>1133.95</v>
      </c>
      <c r="E12" s="44">
        <f t="shared" si="3"/>
        <v>0</v>
      </c>
      <c r="F12" s="44">
        <f t="shared" si="4"/>
        <v>120</v>
      </c>
      <c r="G12" s="44">
        <f t="shared" si="5"/>
        <v>1417.44</v>
      </c>
      <c r="H12" s="44">
        <f t="shared" si="6"/>
        <v>9975</v>
      </c>
      <c r="I12" s="44">
        <f t="shared" si="7"/>
        <v>1275.7</v>
      </c>
      <c r="J12" s="44">
        <f t="shared" si="8"/>
        <v>1913.54</v>
      </c>
      <c r="K12" s="44">
        <f t="shared" si="9"/>
        <v>992.21</v>
      </c>
      <c r="L12" s="44">
        <f t="shared" si="10"/>
        <v>1500</v>
      </c>
      <c r="M12" s="44">
        <f t="shared" si="13"/>
        <v>23386.2</v>
      </c>
      <c r="N12" s="45">
        <f>'OP8 part 1 analysis'!G29</f>
        <v>0</v>
      </c>
      <c r="O12" s="46">
        <f t="shared" si="14"/>
        <v>4704</v>
      </c>
      <c r="P12" s="46">
        <f t="shared" si="11"/>
        <v>354.36</v>
      </c>
      <c r="Q12" s="46">
        <f t="shared" si="11"/>
        <v>1133.95</v>
      </c>
      <c r="R12" s="46">
        <f t="shared" si="11"/>
        <v>0</v>
      </c>
      <c r="S12" s="46">
        <f t="shared" si="11"/>
        <v>120</v>
      </c>
      <c r="T12" s="46">
        <f t="shared" si="11"/>
        <v>1417.44</v>
      </c>
      <c r="U12" s="46">
        <f t="shared" si="11"/>
        <v>9975</v>
      </c>
      <c r="V12" s="46">
        <f t="shared" si="11"/>
        <v>1275.7</v>
      </c>
      <c r="W12" s="46">
        <f t="shared" si="11"/>
        <v>1913.54</v>
      </c>
      <c r="X12" s="46">
        <f t="shared" si="11"/>
        <v>992.21</v>
      </c>
      <c r="Y12" s="46">
        <f t="shared" si="11"/>
        <v>1500</v>
      </c>
      <c r="Z12" s="46">
        <f t="shared" si="15"/>
        <v>23386.2</v>
      </c>
      <c r="AA12" s="46">
        <f t="shared" si="16"/>
        <v>0</v>
      </c>
      <c r="AB12" s="46">
        <f t="shared" si="12"/>
        <v>0</v>
      </c>
      <c r="AC12" s="46">
        <f t="shared" si="12"/>
        <v>0</v>
      </c>
      <c r="AD12" s="46">
        <f t="shared" si="12"/>
        <v>0</v>
      </c>
      <c r="AE12" s="46">
        <f t="shared" si="12"/>
        <v>0</v>
      </c>
      <c r="AF12" s="46">
        <f t="shared" si="12"/>
        <v>0</v>
      </c>
      <c r="AG12" s="46">
        <f t="shared" si="12"/>
        <v>0</v>
      </c>
      <c r="AH12" s="46">
        <f t="shared" si="12"/>
        <v>0</v>
      </c>
      <c r="AI12" s="46">
        <f t="shared" si="12"/>
        <v>0</v>
      </c>
      <c r="AJ12" s="46">
        <f t="shared" si="12"/>
        <v>0</v>
      </c>
      <c r="AK12" s="46">
        <f t="shared" si="12"/>
        <v>0</v>
      </c>
      <c r="AL12" s="46">
        <f t="shared" si="17"/>
        <v>0</v>
      </c>
    </row>
    <row r="13" spans="1:38" x14ac:dyDescent="0.2">
      <c r="A13" s="43" t="s">
        <v>168</v>
      </c>
      <c r="B13" s="44">
        <f t="shared" si="0"/>
        <v>7357.94</v>
      </c>
      <c r="C13" s="44">
        <f t="shared" si="1"/>
        <v>767.23</v>
      </c>
      <c r="D13" s="44">
        <f t="shared" si="2"/>
        <v>2455.13</v>
      </c>
      <c r="E13" s="44">
        <f t="shared" si="3"/>
        <v>0</v>
      </c>
      <c r="F13" s="44">
        <f t="shared" si="4"/>
        <v>476.98</v>
      </c>
      <c r="G13" s="44">
        <f t="shared" si="5"/>
        <v>3068.91</v>
      </c>
      <c r="H13" s="44">
        <f t="shared" si="6"/>
        <v>17805.78</v>
      </c>
      <c r="I13" s="44">
        <f t="shared" si="7"/>
        <v>2762.02</v>
      </c>
      <c r="J13" s="44">
        <f t="shared" si="8"/>
        <v>4143.03</v>
      </c>
      <c r="K13" s="44">
        <f t="shared" si="9"/>
        <v>2148.2399999999998</v>
      </c>
      <c r="L13" s="44">
        <f t="shared" si="10"/>
        <v>1144.76</v>
      </c>
      <c r="M13" s="44">
        <f t="shared" si="13"/>
        <v>42130.02</v>
      </c>
      <c r="N13" s="45">
        <f>'OP8 part 1 analysis'!G30</f>
        <v>0.53987730061349692</v>
      </c>
      <c r="O13" s="46">
        <f t="shared" si="14"/>
        <v>3385.5599999999995</v>
      </c>
      <c r="P13" s="46">
        <f t="shared" si="11"/>
        <v>353.02000000000004</v>
      </c>
      <c r="Q13" s="46">
        <f t="shared" si="11"/>
        <v>1129.6600000000001</v>
      </c>
      <c r="R13" s="46">
        <f t="shared" si="11"/>
        <v>0</v>
      </c>
      <c r="S13" s="46">
        <f t="shared" si="11"/>
        <v>219.47000000000003</v>
      </c>
      <c r="T13" s="46">
        <f t="shared" si="11"/>
        <v>1412.08</v>
      </c>
      <c r="U13" s="46">
        <f t="shared" si="11"/>
        <v>8192.8399999999983</v>
      </c>
      <c r="V13" s="46">
        <f t="shared" si="11"/>
        <v>1270.8699999999999</v>
      </c>
      <c r="W13" s="46">
        <f t="shared" si="11"/>
        <v>1906.2999999999997</v>
      </c>
      <c r="X13" s="46">
        <f t="shared" si="11"/>
        <v>988.44999999999982</v>
      </c>
      <c r="Y13" s="46">
        <f t="shared" si="11"/>
        <v>526.73</v>
      </c>
      <c r="Z13" s="46">
        <f t="shared" si="15"/>
        <v>19384.979999999996</v>
      </c>
      <c r="AA13" s="46">
        <f t="shared" si="16"/>
        <v>3972.38</v>
      </c>
      <c r="AB13" s="46">
        <f t="shared" si="12"/>
        <v>414.21</v>
      </c>
      <c r="AC13" s="46">
        <f t="shared" si="12"/>
        <v>1325.47</v>
      </c>
      <c r="AD13" s="46">
        <f t="shared" si="12"/>
        <v>0</v>
      </c>
      <c r="AE13" s="46">
        <f t="shared" si="12"/>
        <v>257.51</v>
      </c>
      <c r="AF13" s="46">
        <f t="shared" si="12"/>
        <v>1656.83</v>
      </c>
      <c r="AG13" s="46">
        <f t="shared" si="12"/>
        <v>9612.94</v>
      </c>
      <c r="AH13" s="46">
        <f t="shared" si="12"/>
        <v>1491.15</v>
      </c>
      <c r="AI13" s="46">
        <f t="shared" si="12"/>
        <v>2236.73</v>
      </c>
      <c r="AJ13" s="46">
        <f t="shared" si="12"/>
        <v>1159.79</v>
      </c>
      <c r="AK13" s="46">
        <f t="shared" si="12"/>
        <v>618.03</v>
      </c>
      <c r="AL13" s="46">
        <f t="shared" si="17"/>
        <v>22745.040000000001</v>
      </c>
    </row>
    <row r="14" spans="1:38" x14ac:dyDescent="0.2">
      <c r="A14" s="43" t="s">
        <v>169</v>
      </c>
      <c r="B14" s="44">
        <f t="shared" si="0"/>
        <v>6750</v>
      </c>
      <c r="C14" s="44">
        <f t="shared" si="1"/>
        <v>157.5</v>
      </c>
      <c r="D14" s="44">
        <f t="shared" si="2"/>
        <v>504</v>
      </c>
      <c r="E14" s="44">
        <f t="shared" si="3"/>
        <v>0</v>
      </c>
      <c r="F14" s="44">
        <f t="shared" si="4"/>
        <v>513.75</v>
      </c>
      <c r="G14" s="44">
        <f t="shared" si="5"/>
        <v>630</v>
      </c>
      <c r="H14" s="44">
        <f t="shared" si="6"/>
        <v>9086.25</v>
      </c>
      <c r="I14" s="44">
        <f t="shared" si="7"/>
        <v>567</v>
      </c>
      <c r="J14" s="44">
        <f t="shared" si="8"/>
        <v>850.5</v>
      </c>
      <c r="K14" s="44">
        <f t="shared" si="9"/>
        <v>441</v>
      </c>
      <c r="L14" s="44">
        <f t="shared" si="10"/>
        <v>3000</v>
      </c>
      <c r="M14" s="44">
        <f t="shared" si="13"/>
        <v>22500</v>
      </c>
      <c r="N14" s="45">
        <f>'OP8 part 1 analysis'!G31</f>
        <v>0.48024948024948022</v>
      </c>
      <c r="O14" s="46">
        <f t="shared" si="14"/>
        <v>3508.32</v>
      </c>
      <c r="P14" s="46">
        <f t="shared" si="11"/>
        <v>81.86</v>
      </c>
      <c r="Q14" s="46">
        <f t="shared" si="11"/>
        <v>261.95</v>
      </c>
      <c r="R14" s="46">
        <f t="shared" si="11"/>
        <v>0</v>
      </c>
      <c r="S14" s="46">
        <f t="shared" si="11"/>
        <v>267.02</v>
      </c>
      <c r="T14" s="46">
        <f t="shared" si="11"/>
        <v>327.44</v>
      </c>
      <c r="U14" s="46">
        <f t="shared" si="11"/>
        <v>4722.58</v>
      </c>
      <c r="V14" s="46">
        <f t="shared" si="11"/>
        <v>294.7</v>
      </c>
      <c r="W14" s="46">
        <f t="shared" si="11"/>
        <v>442.05</v>
      </c>
      <c r="X14" s="46">
        <f t="shared" si="11"/>
        <v>229.21</v>
      </c>
      <c r="Y14" s="46">
        <f t="shared" si="11"/>
        <v>1559.25</v>
      </c>
      <c r="Z14" s="46">
        <f t="shared" si="15"/>
        <v>11694.379999999997</v>
      </c>
      <c r="AA14" s="46">
        <f t="shared" si="16"/>
        <v>3241.68</v>
      </c>
      <c r="AB14" s="46">
        <f t="shared" si="12"/>
        <v>75.64</v>
      </c>
      <c r="AC14" s="46">
        <f t="shared" si="12"/>
        <v>242.05</v>
      </c>
      <c r="AD14" s="46">
        <f t="shared" si="12"/>
        <v>0</v>
      </c>
      <c r="AE14" s="46">
        <f t="shared" si="12"/>
        <v>246.73</v>
      </c>
      <c r="AF14" s="46">
        <f t="shared" si="12"/>
        <v>302.56</v>
      </c>
      <c r="AG14" s="46">
        <f t="shared" si="12"/>
        <v>4363.67</v>
      </c>
      <c r="AH14" s="46">
        <f t="shared" si="12"/>
        <v>272.3</v>
      </c>
      <c r="AI14" s="46">
        <f t="shared" si="12"/>
        <v>408.45</v>
      </c>
      <c r="AJ14" s="46">
        <f t="shared" si="12"/>
        <v>211.79</v>
      </c>
      <c r="AK14" s="46">
        <f t="shared" si="12"/>
        <v>1440.75</v>
      </c>
      <c r="AL14" s="46">
        <f t="shared" si="17"/>
        <v>10805.62</v>
      </c>
    </row>
    <row r="15" spans="1:38" x14ac:dyDescent="0.2">
      <c r="A15" s="43" t="s">
        <v>170</v>
      </c>
      <c r="B15" s="44">
        <f t="shared" si="0"/>
        <v>6958.2</v>
      </c>
      <c r="C15" s="44">
        <f t="shared" si="1"/>
        <v>75</v>
      </c>
      <c r="D15" s="44">
        <f t="shared" si="2"/>
        <v>240</v>
      </c>
      <c r="E15" s="44">
        <f t="shared" si="3"/>
        <v>0</v>
      </c>
      <c r="F15" s="44">
        <f t="shared" si="4"/>
        <v>0</v>
      </c>
      <c r="G15" s="44">
        <f t="shared" si="5"/>
        <v>300</v>
      </c>
      <c r="H15" s="44">
        <f t="shared" si="6"/>
        <v>3000</v>
      </c>
      <c r="I15" s="44">
        <f t="shared" si="7"/>
        <v>270</v>
      </c>
      <c r="J15" s="44">
        <f t="shared" si="8"/>
        <v>405</v>
      </c>
      <c r="K15" s="44">
        <f t="shared" si="9"/>
        <v>210</v>
      </c>
      <c r="L15" s="44">
        <f t="shared" si="10"/>
        <v>3194.4</v>
      </c>
      <c r="M15" s="44">
        <f t="shared" si="13"/>
        <v>14652.6</v>
      </c>
      <c r="N15" s="45">
        <f>'OP8 part 1 analysis'!G32</f>
        <v>0</v>
      </c>
      <c r="O15" s="46">
        <f t="shared" si="14"/>
        <v>6958.2</v>
      </c>
      <c r="P15" s="46">
        <f t="shared" si="11"/>
        <v>75</v>
      </c>
      <c r="Q15" s="46">
        <f t="shared" si="11"/>
        <v>240</v>
      </c>
      <c r="R15" s="46">
        <f t="shared" si="11"/>
        <v>0</v>
      </c>
      <c r="S15" s="46">
        <f t="shared" si="11"/>
        <v>0</v>
      </c>
      <c r="T15" s="46">
        <f t="shared" si="11"/>
        <v>300</v>
      </c>
      <c r="U15" s="46">
        <f t="shared" si="11"/>
        <v>3000</v>
      </c>
      <c r="V15" s="46">
        <f t="shared" si="11"/>
        <v>270</v>
      </c>
      <c r="W15" s="46">
        <f t="shared" si="11"/>
        <v>405</v>
      </c>
      <c r="X15" s="46">
        <f t="shared" si="11"/>
        <v>210</v>
      </c>
      <c r="Y15" s="46">
        <f t="shared" si="11"/>
        <v>3194.4</v>
      </c>
      <c r="Z15" s="46">
        <f t="shared" si="15"/>
        <v>14652.6</v>
      </c>
      <c r="AA15" s="46">
        <f t="shared" si="16"/>
        <v>0</v>
      </c>
      <c r="AB15" s="46">
        <f t="shared" si="12"/>
        <v>0</v>
      </c>
      <c r="AC15" s="46">
        <f t="shared" si="12"/>
        <v>0</v>
      </c>
      <c r="AD15" s="46">
        <f t="shared" si="12"/>
        <v>0</v>
      </c>
      <c r="AE15" s="46">
        <f t="shared" si="12"/>
        <v>0</v>
      </c>
      <c r="AF15" s="46">
        <f t="shared" si="12"/>
        <v>0</v>
      </c>
      <c r="AG15" s="46">
        <f t="shared" si="12"/>
        <v>0</v>
      </c>
      <c r="AH15" s="46">
        <f t="shared" si="12"/>
        <v>0</v>
      </c>
      <c r="AI15" s="46">
        <f t="shared" si="12"/>
        <v>0</v>
      </c>
      <c r="AJ15" s="46">
        <f t="shared" si="12"/>
        <v>0</v>
      </c>
      <c r="AK15" s="46">
        <f t="shared" si="12"/>
        <v>0</v>
      </c>
      <c r="AL15" s="46">
        <f t="shared" si="17"/>
        <v>0</v>
      </c>
    </row>
    <row r="16" spans="1:38" x14ac:dyDescent="0.2">
      <c r="A16" s="43" t="s">
        <v>171</v>
      </c>
      <c r="B16" s="44">
        <f t="shared" si="0"/>
        <v>10500</v>
      </c>
      <c r="C16" s="44">
        <f t="shared" si="1"/>
        <v>223.5</v>
      </c>
      <c r="D16" s="44">
        <f t="shared" si="2"/>
        <v>715.2</v>
      </c>
      <c r="E16" s="44">
        <f t="shared" si="3"/>
        <v>0</v>
      </c>
      <c r="F16" s="44">
        <f t="shared" si="4"/>
        <v>180</v>
      </c>
      <c r="G16" s="44">
        <f t="shared" si="5"/>
        <v>894</v>
      </c>
      <c r="H16" s="44">
        <f t="shared" si="6"/>
        <v>6000</v>
      </c>
      <c r="I16" s="44">
        <f t="shared" si="7"/>
        <v>804.6</v>
      </c>
      <c r="J16" s="44">
        <f t="shared" si="8"/>
        <v>1206.9000000000001</v>
      </c>
      <c r="K16" s="44">
        <f t="shared" si="9"/>
        <v>625.79999999999995</v>
      </c>
      <c r="L16" s="44">
        <f t="shared" si="10"/>
        <v>12600</v>
      </c>
      <c r="M16" s="44">
        <f t="shared" si="13"/>
        <v>33750</v>
      </c>
      <c r="N16" s="45">
        <f>'OP8 part 1 analysis'!G33</f>
        <v>0</v>
      </c>
      <c r="O16" s="46">
        <f t="shared" si="14"/>
        <v>10500</v>
      </c>
      <c r="P16" s="46">
        <f t="shared" si="11"/>
        <v>223.5</v>
      </c>
      <c r="Q16" s="46">
        <f t="shared" si="11"/>
        <v>715.2</v>
      </c>
      <c r="R16" s="46">
        <f t="shared" si="11"/>
        <v>0</v>
      </c>
      <c r="S16" s="46">
        <f t="shared" si="11"/>
        <v>180</v>
      </c>
      <c r="T16" s="46">
        <f t="shared" si="11"/>
        <v>894</v>
      </c>
      <c r="U16" s="46">
        <f t="shared" si="11"/>
        <v>6000</v>
      </c>
      <c r="V16" s="46">
        <f t="shared" si="11"/>
        <v>804.6</v>
      </c>
      <c r="W16" s="46">
        <f t="shared" si="11"/>
        <v>1206.9000000000001</v>
      </c>
      <c r="X16" s="46">
        <f t="shared" si="11"/>
        <v>625.79999999999995</v>
      </c>
      <c r="Y16" s="46">
        <f t="shared" si="11"/>
        <v>12600</v>
      </c>
      <c r="Z16" s="46">
        <f t="shared" si="15"/>
        <v>33750</v>
      </c>
      <c r="AA16" s="46">
        <f t="shared" si="16"/>
        <v>0</v>
      </c>
      <c r="AB16" s="46">
        <f t="shared" si="12"/>
        <v>0</v>
      </c>
      <c r="AC16" s="46">
        <f t="shared" si="12"/>
        <v>0</v>
      </c>
      <c r="AD16" s="46">
        <f t="shared" si="12"/>
        <v>0</v>
      </c>
      <c r="AE16" s="46">
        <f t="shared" si="12"/>
        <v>0</v>
      </c>
      <c r="AF16" s="46">
        <f t="shared" si="12"/>
        <v>0</v>
      </c>
      <c r="AG16" s="46">
        <f t="shared" si="12"/>
        <v>0</v>
      </c>
      <c r="AH16" s="46">
        <f t="shared" si="12"/>
        <v>0</v>
      </c>
      <c r="AI16" s="46">
        <f t="shared" si="12"/>
        <v>0</v>
      </c>
      <c r="AJ16" s="46">
        <f t="shared" si="12"/>
        <v>0</v>
      </c>
      <c r="AK16" s="46">
        <f t="shared" si="12"/>
        <v>0</v>
      </c>
      <c r="AL16" s="46">
        <f t="shared" si="17"/>
        <v>0</v>
      </c>
    </row>
    <row r="17" spans="1:38" x14ac:dyDescent="0.2">
      <c r="A17" s="43" t="s">
        <v>126</v>
      </c>
      <c r="B17" s="44">
        <f t="shared" si="0"/>
        <v>0</v>
      </c>
      <c r="C17" s="44">
        <f t="shared" si="1"/>
        <v>0</v>
      </c>
      <c r="D17" s="44">
        <f t="shared" si="2"/>
        <v>0</v>
      </c>
      <c r="E17" s="44">
        <f t="shared" si="3"/>
        <v>0</v>
      </c>
      <c r="F17" s="44">
        <f t="shared" si="4"/>
        <v>0</v>
      </c>
      <c r="G17" s="44">
        <f t="shared" si="5"/>
        <v>0</v>
      </c>
      <c r="H17" s="44">
        <f t="shared" si="6"/>
        <v>0</v>
      </c>
      <c r="I17" s="44">
        <f t="shared" si="7"/>
        <v>0</v>
      </c>
      <c r="J17" s="44">
        <f t="shared" si="8"/>
        <v>0</v>
      </c>
      <c r="K17" s="44">
        <f t="shared" si="9"/>
        <v>0</v>
      </c>
      <c r="L17" s="44">
        <f t="shared" si="10"/>
        <v>0</v>
      </c>
      <c r="M17" s="44">
        <f t="shared" si="13"/>
        <v>0</v>
      </c>
      <c r="N17" s="45">
        <f>'OP8 part 1 analysis'!G34</f>
        <v>0.85436893203883502</v>
      </c>
      <c r="O17" s="46">
        <f t="shared" si="14"/>
        <v>0</v>
      </c>
      <c r="P17" s="46">
        <f t="shared" si="11"/>
        <v>0</v>
      </c>
      <c r="Q17" s="46">
        <f t="shared" si="11"/>
        <v>0</v>
      </c>
      <c r="R17" s="46">
        <f t="shared" si="11"/>
        <v>0</v>
      </c>
      <c r="S17" s="46">
        <f t="shared" si="11"/>
        <v>0</v>
      </c>
      <c r="T17" s="46">
        <f t="shared" si="11"/>
        <v>0</v>
      </c>
      <c r="U17" s="46">
        <f t="shared" si="11"/>
        <v>0</v>
      </c>
      <c r="V17" s="46">
        <f t="shared" si="11"/>
        <v>0</v>
      </c>
      <c r="W17" s="46">
        <f t="shared" si="11"/>
        <v>0</v>
      </c>
      <c r="X17" s="46">
        <f t="shared" si="11"/>
        <v>0</v>
      </c>
      <c r="Y17" s="46">
        <f t="shared" si="11"/>
        <v>0</v>
      </c>
      <c r="Z17" s="46">
        <f t="shared" si="15"/>
        <v>0</v>
      </c>
      <c r="AA17" s="46">
        <f t="shared" si="16"/>
        <v>0</v>
      </c>
      <c r="AB17" s="46">
        <f t="shared" si="12"/>
        <v>0</v>
      </c>
      <c r="AC17" s="46">
        <f t="shared" si="12"/>
        <v>0</v>
      </c>
      <c r="AD17" s="46">
        <f t="shared" si="12"/>
        <v>0</v>
      </c>
      <c r="AE17" s="46">
        <f t="shared" si="12"/>
        <v>0</v>
      </c>
      <c r="AF17" s="46">
        <f t="shared" si="12"/>
        <v>0</v>
      </c>
      <c r="AG17" s="46">
        <f t="shared" si="12"/>
        <v>0</v>
      </c>
      <c r="AH17" s="46">
        <f t="shared" si="12"/>
        <v>0</v>
      </c>
      <c r="AI17" s="46">
        <f t="shared" si="12"/>
        <v>0</v>
      </c>
      <c r="AJ17" s="46">
        <f t="shared" si="12"/>
        <v>0</v>
      </c>
      <c r="AK17" s="46">
        <f t="shared" si="12"/>
        <v>0</v>
      </c>
      <c r="AL17" s="46">
        <f t="shared" si="17"/>
        <v>0</v>
      </c>
    </row>
    <row r="18" spans="1:38" x14ac:dyDescent="0.2">
      <c r="A18" s="43" t="s">
        <v>172</v>
      </c>
      <c r="B18" s="44">
        <f t="shared" si="0"/>
        <v>6166.41</v>
      </c>
      <c r="C18" s="44">
        <f t="shared" si="1"/>
        <v>324.44</v>
      </c>
      <c r="D18" s="44">
        <f t="shared" si="2"/>
        <v>1038.2</v>
      </c>
      <c r="E18" s="44">
        <f t="shared" si="3"/>
        <v>0</v>
      </c>
      <c r="F18" s="44">
        <f t="shared" si="4"/>
        <v>424.1</v>
      </c>
      <c r="G18" s="44">
        <f t="shared" si="5"/>
        <v>1297.75</v>
      </c>
      <c r="H18" s="44">
        <f t="shared" si="6"/>
        <v>15640.81</v>
      </c>
      <c r="I18" s="44">
        <f t="shared" si="7"/>
        <v>1167.97</v>
      </c>
      <c r="J18" s="44">
        <f t="shared" si="8"/>
        <v>1751.96</v>
      </c>
      <c r="K18" s="44">
        <f t="shared" si="9"/>
        <v>908.42</v>
      </c>
      <c r="L18" s="44">
        <f t="shared" si="10"/>
        <v>5207.95</v>
      </c>
      <c r="M18" s="44">
        <f t="shared" si="13"/>
        <v>33928.009999999995</v>
      </c>
      <c r="N18" s="45">
        <f>'OP8 part 1 analysis'!G35</f>
        <v>0.66832397070867267</v>
      </c>
      <c r="O18" s="46">
        <f t="shared" si="14"/>
        <v>2045.25</v>
      </c>
      <c r="P18" s="46">
        <f t="shared" si="11"/>
        <v>107.60999999999999</v>
      </c>
      <c r="Q18" s="46">
        <f t="shared" si="11"/>
        <v>344.35</v>
      </c>
      <c r="R18" s="46">
        <f t="shared" si="11"/>
        <v>0</v>
      </c>
      <c r="S18" s="46">
        <f t="shared" si="11"/>
        <v>140.66000000000003</v>
      </c>
      <c r="T18" s="46">
        <f t="shared" si="11"/>
        <v>430.42999999999995</v>
      </c>
      <c r="U18" s="46">
        <f t="shared" si="11"/>
        <v>5187.68</v>
      </c>
      <c r="V18" s="46">
        <f t="shared" si="11"/>
        <v>387.39</v>
      </c>
      <c r="W18" s="46">
        <f t="shared" si="11"/>
        <v>581.07999999999993</v>
      </c>
      <c r="X18" s="46">
        <f t="shared" si="11"/>
        <v>301.29999999999995</v>
      </c>
      <c r="Y18" s="46">
        <f t="shared" si="11"/>
        <v>1727.35</v>
      </c>
      <c r="Z18" s="46">
        <f t="shared" si="15"/>
        <v>11253.099999999999</v>
      </c>
      <c r="AA18" s="46">
        <f t="shared" si="16"/>
        <v>4121.16</v>
      </c>
      <c r="AB18" s="46">
        <f t="shared" si="12"/>
        <v>216.83</v>
      </c>
      <c r="AC18" s="46">
        <f t="shared" si="12"/>
        <v>693.85</v>
      </c>
      <c r="AD18" s="46">
        <f t="shared" si="12"/>
        <v>0</v>
      </c>
      <c r="AE18" s="46">
        <f t="shared" si="12"/>
        <v>283.44</v>
      </c>
      <c r="AF18" s="46">
        <f t="shared" si="12"/>
        <v>867.32</v>
      </c>
      <c r="AG18" s="46">
        <f t="shared" si="12"/>
        <v>10453.129999999999</v>
      </c>
      <c r="AH18" s="46">
        <f t="shared" si="12"/>
        <v>780.58</v>
      </c>
      <c r="AI18" s="46">
        <f t="shared" si="12"/>
        <v>1170.8800000000001</v>
      </c>
      <c r="AJ18" s="46">
        <f t="shared" si="12"/>
        <v>607.12</v>
      </c>
      <c r="AK18" s="46">
        <f t="shared" si="12"/>
        <v>3480.6</v>
      </c>
      <c r="AL18" s="46">
        <f t="shared" si="17"/>
        <v>22674.91</v>
      </c>
    </row>
    <row r="19" spans="1:38" x14ac:dyDescent="0.2">
      <c r="A19" s="43" t="s">
        <v>173</v>
      </c>
      <c r="B19" s="44">
        <f t="shared" si="0"/>
        <v>6000</v>
      </c>
      <c r="C19" s="44">
        <f t="shared" si="1"/>
        <v>243.75</v>
      </c>
      <c r="D19" s="44">
        <f t="shared" si="2"/>
        <v>780</v>
      </c>
      <c r="E19" s="44">
        <f t="shared" si="3"/>
        <v>0</v>
      </c>
      <c r="F19" s="44">
        <f t="shared" si="4"/>
        <v>1875</v>
      </c>
      <c r="G19" s="44">
        <f t="shared" si="5"/>
        <v>975</v>
      </c>
      <c r="H19" s="44">
        <f t="shared" si="6"/>
        <v>18298.5</v>
      </c>
      <c r="I19" s="44">
        <f t="shared" si="7"/>
        <v>877.5</v>
      </c>
      <c r="J19" s="44">
        <f t="shared" si="8"/>
        <v>1316.25</v>
      </c>
      <c r="K19" s="44">
        <f t="shared" si="9"/>
        <v>682.5</v>
      </c>
      <c r="L19" s="44">
        <f t="shared" si="10"/>
        <v>4125</v>
      </c>
      <c r="M19" s="44">
        <f t="shared" si="13"/>
        <v>35173.5</v>
      </c>
      <c r="N19" s="45">
        <f>'OP8 part 1 analysis'!G36</f>
        <v>0.36974789915966383</v>
      </c>
      <c r="O19" s="46">
        <f t="shared" si="14"/>
        <v>3781.51</v>
      </c>
      <c r="P19" s="46">
        <f t="shared" si="11"/>
        <v>153.62</v>
      </c>
      <c r="Q19" s="46">
        <f t="shared" si="11"/>
        <v>491.6</v>
      </c>
      <c r="R19" s="46">
        <f t="shared" si="11"/>
        <v>0</v>
      </c>
      <c r="S19" s="46">
        <f t="shared" si="11"/>
        <v>1181.72</v>
      </c>
      <c r="T19" s="46">
        <f t="shared" si="11"/>
        <v>614.5</v>
      </c>
      <c r="U19" s="46">
        <f t="shared" si="11"/>
        <v>11532.67</v>
      </c>
      <c r="V19" s="46">
        <f t="shared" si="11"/>
        <v>553.04999999999995</v>
      </c>
      <c r="W19" s="46">
        <f t="shared" si="11"/>
        <v>829.56999999999994</v>
      </c>
      <c r="X19" s="46">
        <f t="shared" si="11"/>
        <v>430.15</v>
      </c>
      <c r="Y19" s="46">
        <f t="shared" si="11"/>
        <v>2599.79</v>
      </c>
      <c r="Z19" s="46">
        <f t="shared" si="15"/>
        <v>22168.180000000004</v>
      </c>
      <c r="AA19" s="46">
        <f t="shared" si="16"/>
        <v>2218.4899999999998</v>
      </c>
      <c r="AB19" s="46">
        <f t="shared" si="12"/>
        <v>90.13</v>
      </c>
      <c r="AC19" s="46">
        <f t="shared" si="12"/>
        <v>288.39999999999998</v>
      </c>
      <c r="AD19" s="46">
        <f t="shared" si="12"/>
        <v>0</v>
      </c>
      <c r="AE19" s="46">
        <f t="shared" si="12"/>
        <v>693.28</v>
      </c>
      <c r="AF19" s="46">
        <f t="shared" si="12"/>
        <v>360.5</v>
      </c>
      <c r="AG19" s="46">
        <f t="shared" si="12"/>
        <v>6765.83</v>
      </c>
      <c r="AH19" s="46">
        <f t="shared" si="12"/>
        <v>324.45</v>
      </c>
      <c r="AI19" s="46">
        <f t="shared" si="12"/>
        <v>486.68</v>
      </c>
      <c r="AJ19" s="46">
        <f t="shared" si="12"/>
        <v>252.35</v>
      </c>
      <c r="AK19" s="46">
        <f t="shared" si="12"/>
        <v>1525.21</v>
      </c>
      <c r="AL19" s="46">
        <f t="shared" si="17"/>
        <v>13005.320000000003</v>
      </c>
    </row>
    <row r="20" spans="1:38" x14ac:dyDescent="0.2">
      <c r="A20" s="43" t="s">
        <v>174</v>
      </c>
      <c r="B20" s="44">
        <f t="shared" si="0"/>
        <v>6867.31</v>
      </c>
      <c r="C20" s="44">
        <f t="shared" si="1"/>
        <v>83.62</v>
      </c>
      <c r="D20" s="44">
        <f t="shared" si="2"/>
        <v>267.58999999999997</v>
      </c>
      <c r="E20" s="44">
        <f t="shared" si="3"/>
        <v>0</v>
      </c>
      <c r="F20" s="44">
        <f t="shared" si="4"/>
        <v>0</v>
      </c>
      <c r="G20" s="44">
        <f t="shared" si="5"/>
        <v>334.49</v>
      </c>
      <c r="H20" s="44">
        <f t="shared" si="6"/>
        <v>10584.07</v>
      </c>
      <c r="I20" s="44">
        <f t="shared" si="7"/>
        <v>301.04000000000002</v>
      </c>
      <c r="J20" s="44">
        <f t="shared" si="8"/>
        <v>451.56</v>
      </c>
      <c r="K20" s="44">
        <f t="shared" si="9"/>
        <v>234.14</v>
      </c>
      <c r="L20" s="44">
        <f t="shared" si="10"/>
        <v>3924.18</v>
      </c>
      <c r="M20" s="44">
        <f t="shared" si="13"/>
        <v>23048.000000000004</v>
      </c>
      <c r="N20" s="45">
        <f>'OP8 part 1 analysis'!G37</f>
        <v>0.5821727019498607</v>
      </c>
      <c r="O20" s="46">
        <f t="shared" si="14"/>
        <v>2869.3500000000004</v>
      </c>
      <c r="P20" s="46">
        <f t="shared" si="11"/>
        <v>34.940000000000005</v>
      </c>
      <c r="Q20" s="46">
        <f t="shared" si="11"/>
        <v>111.80999999999997</v>
      </c>
      <c r="R20" s="46">
        <f t="shared" si="11"/>
        <v>0</v>
      </c>
      <c r="S20" s="46">
        <f t="shared" si="11"/>
        <v>0</v>
      </c>
      <c r="T20" s="46">
        <f t="shared" si="11"/>
        <v>139.76000000000002</v>
      </c>
      <c r="U20" s="46">
        <f t="shared" si="11"/>
        <v>4422.3099999999995</v>
      </c>
      <c r="V20" s="46">
        <f t="shared" si="11"/>
        <v>125.78000000000003</v>
      </c>
      <c r="W20" s="46">
        <f t="shared" si="11"/>
        <v>188.67000000000002</v>
      </c>
      <c r="X20" s="46">
        <f t="shared" si="11"/>
        <v>97.829999999999984</v>
      </c>
      <c r="Y20" s="46">
        <f t="shared" si="11"/>
        <v>1639.6299999999997</v>
      </c>
      <c r="Z20" s="46">
        <f t="shared" si="15"/>
        <v>9630.08</v>
      </c>
      <c r="AA20" s="46">
        <f t="shared" si="16"/>
        <v>3997.96</v>
      </c>
      <c r="AB20" s="46">
        <f t="shared" si="12"/>
        <v>48.68</v>
      </c>
      <c r="AC20" s="46">
        <f t="shared" si="12"/>
        <v>155.78</v>
      </c>
      <c r="AD20" s="46">
        <f t="shared" si="12"/>
        <v>0</v>
      </c>
      <c r="AE20" s="46">
        <f t="shared" si="12"/>
        <v>0</v>
      </c>
      <c r="AF20" s="46">
        <f t="shared" si="12"/>
        <v>194.73</v>
      </c>
      <c r="AG20" s="46">
        <f t="shared" si="12"/>
        <v>6161.76</v>
      </c>
      <c r="AH20" s="46">
        <f t="shared" si="12"/>
        <v>175.26</v>
      </c>
      <c r="AI20" s="46">
        <f t="shared" si="12"/>
        <v>262.89</v>
      </c>
      <c r="AJ20" s="46">
        <f t="shared" si="12"/>
        <v>136.31</v>
      </c>
      <c r="AK20" s="46">
        <f t="shared" si="12"/>
        <v>2284.5500000000002</v>
      </c>
      <c r="AL20" s="46">
        <f t="shared" si="17"/>
        <v>13417.919999999998</v>
      </c>
    </row>
    <row r="21" spans="1:38" x14ac:dyDescent="0.2">
      <c r="A21" s="43" t="s">
        <v>175</v>
      </c>
      <c r="B21" s="44">
        <f t="shared" si="0"/>
        <v>8146.5</v>
      </c>
      <c r="C21" s="44">
        <f t="shared" si="1"/>
        <v>68.25</v>
      </c>
      <c r="D21" s="44">
        <f t="shared" si="2"/>
        <v>218.4</v>
      </c>
      <c r="E21" s="44">
        <f t="shared" si="3"/>
        <v>0</v>
      </c>
      <c r="F21" s="44">
        <f t="shared" si="4"/>
        <v>166.5</v>
      </c>
      <c r="G21" s="44">
        <f t="shared" si="5"/>
        <v>273</v>
      </c>
      <c r="H21" s="44">
        <f t="shared" si="6"/>
        <v>9192</v>
      </c>
      <c r="I21" s="44">
        <f t="shared" si="7"/>
        <v>245.7</v>
      </c>
      <c r="J21" s="44">
        <f t="shared" si="8"/>
        <v>368.55</v>
      </c>
      <c r="K21" s="44">
        <f t="shared" si="9"/>
        <v>191.1</v>
      </c>
      <c r="L21" s="44">
        <f t="shared" si="10"/>
        <v>5617.5</v>
      </c>
      <c r="M21" s="44">
        <f t="shared" si="13"/>
        <v>24487.5</v>
      </c>
      <c r="N21" s="45">
        <f>'OP8 part 1 analysis'!G38</f>
        <v>0.11671306082243199</v>
      </c>
      <c r="O21" s="46">
        <f t="shared" si="14"/>
        <v>7195.7</v>
      </c>
      <c r="P21" s="46">
        <f t="shared" si="14"/>
        <v>60.28</v>
      </c>
      <c r="Q21" s="46">
        <f t="shared" si="14"/>
        <v>192.91</v>
      </c>
      <c r="R21" s="46">
        <f t="shared" si="14"/>
        <v>0</v>
      </c>
      <c r="S21" s="46">
        <f t="shared" si="14"/>
        <v>147.07</v>
      </c>
      <c r="T21" s="46">
        <f t="shared" si="14"/>
        <v>241.14</v>
      </c>
      <c r="U21" s="46">
        <f t="shared" si="14"/>
        <v>8119.17</v>
      </c>
      <c r="V21" s="46">
        <f t="shared" si="14"/>
        <v>217.01999999999998</v>
      </c>
      <c r="W21" s="46">
        <f t="shared" si="14"/>
        <v>325.54000000000002</v>
      </c>
      <c r="X21" s="46">
        <f t="shared" si="14"/>
        <v>168.79999999999998</v>
      </c>
      <c r="Y21" s="46">
        <f t="shared" si="14"/>
        <v>4961.8599999999997</v>
      </c>
      <c r="Z21" s="46">
        <f t="shared" si="15"/>
        <v>21629.49</v>
      </c>
      <c r="AA21" s="46">
        <f t="shared" si="16"/>
        <v>950.8</v>
      </c>
      <c r="AB21" s="46">
        <f t="shared" si="16"/>
        <v>7.97</v>
      </c>
      <c r="AC21" s="46">
        <f t="shared" si="16"/>
        <v>25.49</v>
      </c>
      <c r="AD21" s="46">
        <f t="shared" si="16"/>
        <v>0</v>
      </c>
      <c r="AE21" s="46">
        <f t="shared" si="16"/>
        <v>19.43</v>
      </c>
      <c r="AF21" s="46">
        <f t="shared" si="16"/>
        <v>31.86</v>
      </c>
      <c r="AG21" s="46">
        <f t="shared" si="16"/>
        <v>1072.83</v>
      </c>
      <c r="AH21" s="46">
        <f t="shared" si="16"/>
        <v>28.68</v>
      </c>
      <c r="AI21" s="46">
        <f t="shared" si="16"/>
        <v>43.01</v>
      </c>
      <c r="AJ21" s="46">
        <f t="shared" si="16"/>
        <v>22.3</v>
      </c>
      <c r="AK21" s="46">
        <f t="shared" si="16"/>
        <v>655.64</v>
      </c>
      <c r="AL21" s="46">
        <f t="shared" si="17"/>
        <v>2858.01</v>
      </c>
    </row>
    <row r="22" spans="1:38" x14ac:dyDescent="0.2">
      <c r="A22" s="43" t="s">
        <v>177</v>
      </c>
      <c r="B22" s="44">
        <f t="shared" si="0"/>
        <v>4356.1099999999997</v>
      </c>
      <c r="C22" s="44">
        <f t="shared" si="1"/>
        <v>163.05000000000001</v>
      </c>
      <c r="D22" s="44">
        <f t="shared" si="2"/>
        <v>521.75</v>
      </c>
      <c r="E22" s="44">
        <f t="shared" si="3"/>
        <v>0</v>
      </c>
      <c r="F22" s="44">
        <f t="shared" si="4"/>
        <v>0</v>
      </c>
      <c r="G22" s="44">
        <f t="shared" si="5"/>
        <v>652.19000000000005</v>
      </c>
      <c r="H22" s="44">
        <f t="shared" si="6"/>
        <v>12323.94</v>
      </c>
      <c r="I22" s="44">
        <f t="shared" si="7"/>
        <v>586.97</v>
      </c>
      <c r="J22" s="44">
        <f t="shared" si="8"/>
        <v>880.46</v>
      </c>
      <c r="K22" s="44">
        <f t="shared" si="9"/>
        <v>456.53</v>
      </c>
      <c r="L22" s="44">
        <f t="shared" si="10"/>
        <v>0</v>
      </c>
      <c r="M22" s="44">
        <f t="shared" si="13"/>
        <v>19941</v>
      </c>
      <c r="N22" s="45">
        <f>'OP8 part 1 analysis'!G39</f>
        <v>0.50657894736842102</v>
      </c>
      <c r="O22" s="46">
        <f t="shared" si="14"/>
        <v>2149.3999999999996</v>
      </c>
      <c r="P22" s="46">
        <f t="shared" si="14"/>
        <v>80.450000000000017</v>
      </c>
      <c r="Q22" s="46">
        <f t="shared" si="14"/>
        <v>257.44</v>
      </c>
      <c r="R22" s="46">
        <f t="shared" si="14"/>
        <v>0</v>
      </c>
      <c r="S22" s="46">
        <f t="shared" si="14"/>
        <v>0</v>
      </c>
      <c r="T22" s="46">
        <f t="shared" si="14"/>
        <v>321.80000000000007</v>
      </c>
      <c r="U22" s="46">
        <f t="shared" si="14"/>
        <v>6080.89</v>
      </c>
      <c r="V22" s="46">
        <f t="shared" si="14"/>
        <v>289.62</v>
      </c>
      <c r="W22" s="46">
        <f t="shared" si="14"/>
        <v>434.44000000000005</v>
      </c>
      <c r="X22" s="46">
        <f t="shared" si="14"/>
        <v>225.25999999999996</v>
      </c>
      <c r="Y22" s="46">
        <f t="shared" si="14"/>
        <v>0</v>
      </c>
      <c r="Z22" s="46">
        <f t="shared" si="15"/>
        <v>9839.3000000000011</v>
      </c>
      <c r="AA22" s="46">
        <f t="shared" si="16"/>
        <v>2206.71</v>
      </c>
      <c r="AB22" s="46">
        <f t="shared" si="16"/>
        <v>82.6</v>
      </c>
      <c r="AC22" s="46">
        <f t="shared" si="16"/>
        <v>264.31</v>
      </c>
      <c r="AD22" s="46">
        <f t="shared" si="16"/>
        <v>0</v>
      </c>
      <c r="AE22" s="46">
        <f t="shared" si="16"/>
        <v>0</v>
      </c>
      <c r="AF22" s="46">
        <f t="shared" si="16"/>
        <v>330.39</v>
      </c>
      <c r="AG22" s="46">
        <f t="shared" si="16"/>
        <v>6243.05</v>
      </c>
      <c r="AH22" s="46">
        <f t="shared" si="16"/>
        <v>297.35000000000002</v>
      </c>
      <c r="AI22" s="46">
        <f t="shared" si="16"/>
        <v>446.02</v>
      </c>
      <c r="AJ22" s="46">
        <f t="shared" si="16"/>
        <v>231.27</v>
      </c>
      <c r="AK22" s="46">
        <f t="shared" si="16"/>
        <v>0</v>
      </c>
      <c r="AL22" s="46">
        <f t="shared" si="17"/>
        <v>10101.700000000001</v>
      </c>
    </row>
    <row r="23" spans="1:38" x14ac:dyDescent="0.2">
      <c r="A23" s="43" t="s">
        <v>178</v>
      </c>
      <c r="B23" s="44">
        <f t="shared" si="0"/>
        <v>4200</v>
      </c>
      <c r="C23" s="44">
        <f t="shared" si="1"/>
        <v>187.5</v>
      </c>
      <c r="D23" s="44">
        <f t="shared" si="2"/>
        <v>2100</v>
      </c>
      <c r="E23" s="44">
        <f t="shared" si="3"/>
        <v>0</v>
      </c>
      <c r="F23" s="44">
        <f t="shared" si="4"/>
        <v>2400</v>
      </c>
      <c r="G23" s="44">
        <f t="shared" si="5"/>
        <v>750</v>
      </c>
      <c r="H23" s="44">
        <f t="shared" si="6"/>
        <v>15986.4</v>
      </c>
      <c r="I23" s="44">
        <f t="shared" si="7"/>
        <v>675</v>
      </c>
      <c r="J23" s="44">
        <f t="shared" si="8"/>
        <v>1012.5</v>
      </c>
      <c r="K23" s="44">
        <f t="shared" si="9"/>
        <v>525</v>
      </c>
      <c r="L23" s="44">
        <f t="shared" si="10"/>
        <v>3450</v>
      </c>
      <c r="M23" s="44">
        <f t="shared" si="13"/>
        <v>31286.400000000001</v>
      </c>
      <c r="N23" s="45">
        <f>'OP8 part 1 analysis'!G40</f>
        <v>0.56584898664811978</v>
      </c>
      <c r="O23" s="46">
        <f t="shared" si="14"/>
        <v>1823.4299999999998</v>
      </c>
      <c r="P23" s="46">
        <f t="shared" si="14"/>
        <v>81.400000000000006</v>
      </c>
      <c r="Q23" s="46">
        <f t="shared" si="14"/>
        <v>911.72</v>
      </c>
      <c r="R23" s="46">
        <f t="shared" si="14"/>
        <v>0</v>
      </c>
      <c r="S23" s="46">
        <f t="shared" si="14"/>
        <v>1041.96</v>
      </c>
      <c r="T23" s="46">
        <f t="shared" si="14"/>
        <v>325.61</v>
      </c>
      <c r="U23" s="46">
        <f t="shared" si="14"/>
        <v>6940.51</v>
      </c>
      <c r="V23" s="46">
        <f t="shared" si="14"/>
        <v>293.05</v>
      </c>
      <c r="W23" s="46">
        <f t="shared" si="14"/>
        <v>439.58000000000004</v>
      </c>
      <c r="X23" s="46">
        <f t="shared" si="14"/>
        <v>227.93</v>
      </c>
      <c r="Y23" s="46">
        <f t="shared" si="14"/>
        <v>1497.82</v>
      </c>
      <c r="Z23" s="46">
        <f t="shared" si="15"/>
        <v>13583.01</v>
      </c>
      <c r="AA23" s="46">
        <f t="shared" si="16"/>
        <v>2376.5700000000002</v>
      </c>
      <c r="AB23" s="46">
        <f t="shared" si="16"/>
        <v>106.1</v>
      </c>
      <c r="AC23" s="46">
        <f t="shared" si="16"/>
        <v>1188.28</v>
      </c>
      <c r="AD23" s="46">
        <f t="shared" si="16"/>
        <v>0</v>
      </c>
      <c r="AE23" s="46">
        <f t="shared" si="16"/>
        <v>1358.04</v>
      </c>
      <c r="AF23" s="46">
        <f t="shared" si="16"/>
        <v>424.39</v>
      </c>
      <c r="AG23" s="46">
        <f t="shared" si="16"/>
        <v>9045.89</v>
      </c>
      <c r="AH23" s="46">
        <f t="shared" si="16"/>
        <v>381.95</v>
      </c>
      <c r="AI23" s="46">
        <f t="shared" si="16"/>
        <v>572.91999999999996</v>
      </c>
      <c r="AJ23" s="46">
        <f t="shared" si="16"/>
        <v>297.07</v>
      </c>
      <c r="AK23" s="46">
        <f t="shared" si="16"/>
        <v>1952.18</v>
      </c>
      <c r="AL23" s="46">
        <f t="shared" si="17"/>
        <v>17703.39</v>
      </c>
    </row>
    <row r="24" spans="1:38" x14ac:dyDescent="0.2">
      <c r="A24" s="43" t="s">
        <v>179</v>
      </c>
      <c r="B24" s="44">
        <f t="shared" si="0"/>
        <v>16577</v>
      </c>
      <c r="C24" s="44">
        <f t="shared" si="1"/>
        <v>0</v>
      </c>
      <c r="D24" s="44">
        <f t="shared" si="2"/>
        <v>0</v>
      </c>
      <c r="E24" s="44">
        <f t="shared" si="3"/>
        <v>0</v>
      </c>
      <c r="F24" s="44">
        <f t="shared" si="4"/>
        <v>900</v>
      </c>
      <c r="G24" s="44">
        <f t="shared" si="5"/>
        <v>0</v>
      </c>
      <c r="H24" s="44">
        <f t="shared" si="6"/>
        <v>6000</v>
      </c>
      <c r="I24" s="44">
        <f t="shared" si="7"/>
        <v>0</v>
      </c>
      <c r="J24" s="44">
        <f t="shared" si="8"/>
        <v>7000</v>
      </c>
      <c r="K24" s="44">
        <f t="shared" si="9"/>
        <v>500</v>
      </c>
      <c r="L24" s="44">
        <f t="shared" si="10"/>
        <v>17500</v>
      </c>
      <c r="M24" s="44">
        <f t="shared" si="13"/>
        <v>48477</v>
      </c>
      <c r="N24" s="45">
        <f>'OP8 part 1 analysis'!G41</f>
        <v>0.74576271186440679</v>
      </c>
      <c r="O24" s="46">
        <f t="shared" si="14"/>
        <v>4214.49</v>
      </c>
      <c r="P24" s="46">
        <f t="shared" si="14"/>
        <v>0</v>
      </c>
      <c r="Q24" s="46">
        <f t="shared" si="14"/>
        <v>0</v>
      </c>
      <c r="R24" s="46">
        <f t="shared" si="14"/>
        <v>0</v>
      </c>
      <c r="S24" s="46">
        <f t="shared" si="14"/>
        <v>228.80999999999995</v>
      </c>
      <c r="T24" s="46">
        <f t="shared" si="14"/>
        <v>0</v>
      </c>
      <c r="U24" s="46">
        <f t="shared" si="14"/>
        <v>1525.42</v>
      </c>
      <c r="V24" s="46">
        <f t="shared" si="14"/>
        <v>0</v>
      </c>
      <c r="W24" s="46">
        <f t="shared" si="14"/>
        <v>1779.6599999999999</v>
      </c>
      <c r="X24" s="46">
        <f t="shared" si="14"/>
        <v>127.12</v>
      </c>
      <c r="Y24" s="46">
        <f t="shared" si="14"/>
        <v>4449.1499999999996</v>
      </c>
      <c r="Z24" s="46">
        <f t="shared" si="15"/>
        <v>12324.649999999998</v>
      </c>
      <c r="AA24" s="46">
        <f t="shared" si="16"/>
        <v>12362.51</v>
      </c>
      <c r="AB24" s="46">
        <f t="shared" si="16"/>
        <v>0</v>
      </c>
      <c r="AC24" s="46">
        <f t="shared" si="16"/>
        <v>0</v>
      </c>
      <c r="AD24" s="46">
        <f t="shared" si="16"/>
        <v>0</v>
      </c>
      <c r="AE24" s="46">
        <f t="shared" si="16"/>
        <v>671.19</v>
      </c>
      <c r="AF24" s="46">
        <f t="shared" si="16"/>
        <v>0</v>
      </c>
      <c r="AG24" s="46">
        <f t="shared" si="16"/>
        <v>4474.58</v>
      </c>
      <c r="AH24" s="46">
        <f t="shared" si="16"/>
        <v>0</v>
      </c>
      <c r="AI24" s="46">
        <f t="shared" si="16"/>
        <v>5220.34</v>
      </c>
      <c r="AJ24" s="46">
        <f t="shared" si="16"/>
        <v>372.88</v>
      </c>
      <c r="AK24" s="46">
        <f t="shared" si="16"/>
        <v>13050.85</v>
      </c>
      <c r="AL24" s="46">
        <f t="shared" si="17"/>
        <v>36152.35</v>
      </c>
    </row>
    <row r="25" spans="1:38" x14ac:dyDescent="0.2">
      <c r="A25" s="43" t="s">
        <v>180</v>
      </c>
      <c r="B25" s="44">
        <f t="shared" si="0"/>
        <v>12579</v>
      </c>
      <c r="C25" s="44">
        <f t="shared" si="1"/>
        <v>319.89999999999998</v>
      </c>
      <c r="D25" s="44">
        <f t="shared" si="2"/>
        <v>1023.68</v>
      </c>
      <c r="E25" s="44">
        <f t="shared" si="3"/>
        <v>0</v>
      </c>
      <c r="F25" s="44">
        <f t="shared" si="4"/>
        <v>1000</v>
      </c>
      <c r="G25" s="44">
        <f t="shared" si="5"/>
        <v>1279.5999999999999</v>
      </c>
      <c r="H25" s="44">
        <f t="shared" si="6"/>
        <v>0</v>
      </c>
      <c r="I25" s="44">
        <f t="shared" si="7"/>
        <v>1151.6400000000001</v>
      </c>
      <c r="J25" s="44">
        <f t="shared" si="8"/>
        <v>1727.46</v>
      </c>
      <c r="K25" s="44">
        <f t="shared" si="9"/>
        <v>895.72</v>
      </c>
      <c r="L25" s="44">
        <f t="shared" si="10"/>
        <v>6752</v>
      </c>
      <c r="M25" s="44">
        <f t="shared" si="13"/>
        <v>26729</v>
      </c>
      <c r="N25" s="45">
        <f>'OP8 part 1 analysis'!G42</f>
        <v>0.54228169766375689</v>
      </c>
      <c r="O25" s="46">
        <f t="shared" si="14"/>
        <v>5757.64</v>
      </c>
      <c r="P25" s="46">
        <f t="shared" si="14"/>
        <v>146.41999999999999</v>
      </c>
      <c r="Q25" s="46">
        <f t="shared" si="14"/>
        <v>468.55999999999995</v>
      </c>
      <c r="R25" s="46">
        <f t="shared" si="14"/>
        <v>0</v>
      </c>
      <c r="S25" s="46">
        <f t="shared" si="14"/>
        <v>457.72</v>
      </c>
      <c r="T25" s="46">
        <f t="shared" si="14"/>
        <v>585.69999999999993</v>
      </c>
      <c r="U25" s="46">
        <f t="shared" si="14"/>
        <v>0</v>
      </c>
      <c r="V25" s="46">
        <f t="shared" si="14"/>
        <v>527.13000000000011</v>
      </c>
      <c r="W25" s="46">
        <f t="shared" si="14"/>
        <v>790.69</v>
      </c>
      <c r="X25" s="46">
        <f t="shared" si="14"/>
        <v>409.99</v>
      </c>
      <c r="Y25" s="46">
        <f t="shared" si="14"/>
        <v>3090.51</v>
      </c>
      <c r="Z25" s="46">
        <f t="shared" si="15"/>
        <v>12234.36</v>
      </c>
      <c r="AA25" s="46">
        <f t="shared" si="16"/>
        <v>6821.36</v>
      </c>
      <c r="AB25" s="46">
        <f t="shared" si="16"/>
        <v>173.48</v>
      </c>
      <c r="AC25" s="46">
        <f t="shared" si="16"/>
        <v>555.12</v>
      </c>
      <c r="AD25" s="46">
        <f t="shared" si="16"/>
        <v>0</v>
      </c>
      <c r="AE25" s="46">
        <f t="shared" si="16"/>
        <v>542.28</v>
      </c>
      <c r="AF25" s="46">
        <f t="shared" si="16"/>
        <v>693.9</v>
      </c>
      <c r="AG25" s="46">
        <f t="shared" si="16"/>
        <v>0</v>
      </c>
      <c r="AH25" s="46">
        <f t="shared" si="16"/>
        <v>624.51</v>
      </c>
      <c r="AI25" s="46">
        <f t="shared" si="16"/>
        <v>936.77</v>
      </c>
      <c r="AJ25" s="46">
        <f t="shared" si="16"/>
        <v>485.73</v>
      </c>
      <c r="AK25" s="46">
        <f t="shared" si="16"/>
        <v>3661.49</v>
      </c>
      <c r="AL25" s="46">
        <f t="shared" si="17"/>
        <v>14494.64</v>
      </c>
    </row>
    <row r="26" spans="1:38" x14ac:dyDescent="0.2">
      <c r="A26" s="43" t="s">
        <v>181</v>
      </c>
      <c r="B26" s="44">
        <f t="shared" si="0"/>
        <v>3458</v>
      </c>
      <c r="C26" s="44">
        <f t="shared" si="1"/>
        <v>25</v>
      </c>
      <c r="D26" s="44">
        <f t="shared" si="2"/>
        <v>80</v>
      </c>
      <c r="E26" s="44">
        <f t="shared" si="3"/>
        <v>0</v>
      </c>
      <c r="F26" s="44">
        <f t="shared" si="4"/>
        <v>200</v>
      </c>
      <c r="G26" s="44">
        <f t="shared" si="5"/>
        <v>100</v>
      </c>
      <c r="H26" s="44">
        <f t="shared" si="6"/>
        <v>6193</v>
      </c>
      <c r="I26" s="44">
        <f t="shared" si="7"/>
        <v>90</v>
      </c>
      <c r="J26" s="44">
        <f t="shared" si="8"/>
        <v>135</v>
      </c>
      <c r="K26" s="44">
        <f t="shared" si="9"/>
        <v>70</v>
      </c>
      <c r="L26" s="44">
        <f t="shared" si="10"/>
        <v>1500</v>
      </c>
      <c r="M26" s="44">
        <f t="shared" si="13"/>
        <v>11851</v>
      </c>
      <c r="N26" s="45">
        <f>'OP8 part 1 analysis'!G43</f>
        <v>0.41765665036105282</v>
      </c>
      <c r="O26" s="46">
        <f t="shared" si="14"/>
        <v>2013.74</v>
      </c>
      <c r="P26" s="46">
        <f t="shared" si="14"/>
        <v>14.56</v>
      </c>
      <c r="Q26" s="46">
        <f t="shared" si="14"/>
        <v>46.59</v>
      </c>
      <c r="R26" s="46">
        <f t="shared" si="14"/>
        <v>0</v>
      </c>
      <c r="S26" s="46">
        <f t="shared" si="14"/>
        <v>116.47</v>
      </c>
      <c r="T26" s="46">
        <f t="shared" si="14"/>
        <v>58.23</v>
      </c>
      <c r="U26" s="46">
        <f t="shared" si="14"/>
        <v>3606.45</v>
      </c>
      <c r="V26" s="46">
        <f t="shared" si="14"/>
        <v>52.41</v>
      </c>
      <c r="W26" s="46">
        <f t="shared" si="14"/>
        <v>78.62</v>
      </c>
      <c r="X26" s="46">
        <f t="shared" si="14"/>
        <v>40.760000000000005</v>
      </c>
      <c r="Y26" s="46">
        <f t="shared" si="14"/>
        <v>873.52</v>
      </c>
      <c r="Z26" s="46">
        <f t="shared" si="15"/>
        <v>6901.3499999999985</v>
      </c>
      <c r="AA26" s="46">
        <f t="shared" si="16"/>
        <v>1444.26</v>
      </c>
      <c r="AB26" s="46">
        <f t="shared" si="16"/>
        <v>10.44</v>
      </c>
      <c r="AC26" s="46">
        <f t="shared" si="16"/>
        <v>33.409999999999997</v>
      </c>
      <c r="AD26" s="46">
        <f t="shared" si="16"/>
        <v>0</v>
      </c>
      <c r="AE26" s="46">
        <f t="shared" si="16"/>
        <v>83.53</v>
      </c>
      <c r="AF26" s="46">
        <f t="shared" si="16"/>
        <v>41.77</v>
      </c>
      <c r="AG26" s="46">
        <f t="shared" si="16"/>
        <v>2586.5500000000002</v>
      </c>
      <c r="AH26" s="46">
        <f t="shared" si="16"/>
        <v>37.590000000000003</v>
      </c>
      <c r="AI26" s="46">
        <f t="shared" si="16"/>
        <v>56.38</v>
      </c>
      <c r="AJ26" s="46">
        <f t="shared" si="16"/>
        <v>29.24</v>
      </c>
      <c r="AK26" s="46">
        <f t="shared" si="16"/>
        <v>626.48</v>
      </c>
      <c r="AL26" s="46">
        <f t="shared" si="17"/>
        <v>4949.6499999999996</v>
      </c>
    </row>
    <row r="27" spans="1:38" x14ac:dyDescent="0.2">
      <c r="A27" s="43" t="s">
        <v>182</v>
      </c>
      <c r="B27" s="44">
        <f t="shared" si="0"/>
        <v>12000</v>
      </c>
      <c r="C27" s="44">
        <f t="shared" si="1"/>
        <v>56.7</v>
      </c>
      <c r="D27" s="44">
        <f t="shared" si="2"/>
        <v>181.44</v>
      </c>
      <c r="E27" s="44">
        <f t="shared" si="3"/>
        <v>0</v>
      </c>
      <c r="F27" s="44">
        <f t="shared" si="4"/>
        <v>420</v>
      </c>
      <c r="G27" s="44">
        <f t="shared" si="5"/>
        <v>226.8</v>
      </c>
      <c r="H27" s="44">
        <f t="shared" si="6"/>
        <v>9600</v>
      </c>
      <c r="I27" s="44">
        <f t="shared" si="7"/>
        <v>204.12</v>
      </c>
      <c r="J27" s="44">
        <f t="shared" si="8"/>
        <v>306.18</v>
      </c>
      <c r="K27" s="44">
        <f t="shared" si="9"/>
        <v>158.76</v>
      </c>
      <c r="L27" s="44">
        <f t="shared" si="10"/>
        <v>0</v>
      </c>
      <c r="M27" s="44">
        <f t="shared" si="13"/>
        <v>23154</v>
      </c>
      <c r="N27" s="45">
        <f>'OP8 part 1 analysis'!G44</f>
        <v>0.44033680680210163</v>
      </c>
      <c r="O27" s="46">
        <f t="shared" si="14"/>
        <v>6715.96</v>
      </c>
      <c r="P27" s="46">
        <f t="shared" si="14"/>
        <v>31.730000000000004</v>
      </c>
      <c r="Q27" s="46">
        <f t="shared" si="14"/>
        <v>101.55</v>
      </c>
      <c r="R27" s="46">
        <f t="shared" si="14"/>
        <v>0</v>
      </c>
      <c r="S27" s="46">
        <f t="shared" si="14"/>
        <v>235.06</v>
      </c>
      <c r="T27" s="46">
        <f t="shared" si="14"/>
        <v>126.93</v>
      </c>
      <c r="U27" s="46">
        <f t="shared" si="14"/>
        <v>5372.77</v>
      </c>
      <c r="V27" s="46">
        <f t="shared" si="14"/>
        <v>114.24000000000001</v>
      </c>
      <c r="W27" s="46">
        <f t="shared" si="14"/>
        <v>171.36</v>
      </c>
      <c r="X27" s="46">
        <f t="shared" si="14"/>
        <v>88.85</v>
      </c>
      <c r="Y27" s="46">
        <f t="shared" si="14"/>
        <v>0</v>
      </c>
      <c r="Z27" s="46">
        <f t="shared" si="15"/>
        <v>12958.45</v>
      </c>
      <c r="AA27" s="46">
        <f t="shared" si="16"/>
        <v>5284.04</v>
      </c>
      <c r="AB27" s="46">
        <f t="shared" si="16"/>
        <v>24.97</v>
      </c>
      <c r="AC27" s="46">
        <f t="shared" si="16"/>
        <v>79.89</v>
      </c>
      <c r="AD27" s="46">
        <f t="shared" si="16"/>
        <v>0</v>
      </c>
      <c r="AE27" s="46">
        <f t="shared" si="16"/>
        <v>184.94</v>
      </c>
      <c r="AF27" s="46">
        <f t="shared" si="16"/>
        <v>99.87</v>
      </c>
      <c r="AG27" s="46">
        <f t="shared" si="16"/>
        <v>4227.2299999999996</v>
      </c>
      <c r="AH27" s="46">
        <f t="shared" si="16"/>
        <v>89.88</v>
      </c>
      <c r="AI27" s="46">
        <f t="shared" si="16"/>
        <v>134.82</v>
      </c>
      <c r="AJ27" s="46">
        <f t="shared" si="16"/>
        <v>69.91</v>
      </c>
      <c r="AK27" s="46">
        <f t="shared" si="16"/>
        <v>0</v>
      </c>
      <c r="AL27" s="46">
        <f t="shared" si="17"/>
        <v>10195.549999999997</v>
      </c>
    </row>
    <row r="28" spans="1:38" x14ac:dyDescent="0.2">
      <c r="A28" s="43" t="s">
        <v>183</v>
      </c>
      <c r="B28" s="44">
        <f t="shared" si="0"/>
        <v>8604.99</v>
      </c>
      <c r="C28" s="44">
        <f t="shared" si="1"/>
        <v>275.52</v>
      </c>
      <c r="D28" s="44">
        <f t="shared" si="2"/>
        <v>881.67</v>
      </c>
      <c r="E28" s="44">
        <f t="shared" si="3"/>
        <v>0</v>
      </c>
      <c r="F28" s="44">
        <f t="shared" si="4"/>
        <v>455.78</v>
      </c>
      <c r="G28" s="44">
        <f t="shared" si="5"/>
        <v>1102.0899999999999</v>
      </c>
      <c r="H28" s="44">
        <f t="shared" si="6"/>
        <v>11234.89</v>
      </c>
      <c r="I28" s="44">
        <f t="shared" si="7"/>
        <v>991.88</v>
      </c>
      <c r="J28" s="44">
        <f t="shared" si="8"/>
        <v>1487.82</v>
      </c>
      <c r="K28" s="44">
        <f t="shared" si="9"/>
        <v>771.46</v>
      </c>
      <c r="L28" s="44">
        <f t="shared" si="10"/>
        <v>3665.71</v>
      </c>
      <c r="M28" s="44">
        <f t="shared" si="13"/>
        <v>29471.81</v>
      </c>
      <c r="N28" s="45">
        <f>'OP8 part 1 analysis'!G45</f>
        <v>0.64142257703856642</v>
      </c>
      <c r="O28" s="46">
        <f t="shared" si="14"/>
        <v>3085.5599999999995</v>
      </c>
      <c r="P28" s="46">
        <f t="shared" si="14"/>
        <v>98.799999999999983</v>
      </c>
      <c r="Q28" s="46">
        <f t="shared" si="14"/>
        <v>316.14999999999998</v>
      </c>
      <c r="R28" s="46">
        <f t="shared" si="14"/>
        <v>0</v>
      </c>
      <c r="S28" s="46">
        <f t="shared" si="14"/>
        <v>163.42999999999995</v>
      </c>
      <c r="T28" s="46">
        <f t="shared" si="14"/>
        <v>395.17999999999995</v>
      </c>
      <c r="U28" s="46">
        <f t="shared" si="14"/>
        <v>4028.579999999999</v>
      </c>
      <c r="V28" s="46">
        <f t="shared" si="14"/>
        <v>355.66999999999996</v>
      </c>
      <c r="W28" s="46">
        <f t="shared" si="14"/>
        <v>533.49999999999989</v>
      </c>
      <c r="X28" s="46">
        <f t="shared" si="14"/>
        <v>276.63000000000005</v>
      </c>
      <c r="Y28" s="46">
        <f t="shared" si="14"/>
        <v>1314.44</v>
      </c>
      <c r="Z28" s="46">
        <f t="shared" si="15"/>
        <v>10567.939999999999</v>
      </c>
      <c r="AA28" s="46">
        <f t="shared" si="16"/>
        <v>5519.43</v>
      </c>
      <c r="AB28" s="46">
        <f t="shared" si="16"/>
        <v>176.72</v>
      </c>
      <c r="AC28" s="46">
        <f t="shared" si="16"/>
        <v>565.52</v>
      </c>
      <c r="AD28" s="46">
        <f t="shared" si="16"/>
        <v>0</v>
      </c>
      <c r="AE28" s="46">
        <f t="shared" si="16"/>
        <v>292.35000000000002</v>
      </c>
      <c r="AF28" s="46">
        <f t="shared" si="16"/>
        <v>706.91</v>
      </c>
      <c r="AG28" s="46">
        <f t="shared" si="16"/>
        <v>7206.31</v>
      </c>
      <c r="AH28" s="46">
        <f t="shared" si="16"/>
        <v>636.21</v>
      </c>
      <c r="AI28" s="46">
        <f t="shared" si="16"/>
        <v>954.32</v>
      </c>
      <c r="AJ28" s="46">
        <f t="shared" si="16"/>
        <v>494.83</v>
      </c>
      <c r="AK28" s="46">
        <f t="shared" si="16"/>
        <v>2351.27</v>
      </c>
      <c r="AL28" s="46">
        <f t="shared" si="17"/>
        <v>18903.870000000003</v>
      </c>
    </row>
    <row r="29" spans="1:38" x14ac:dyDescent="0.2">
      <c r="A29" s="43" t="s">
        <v>184</v>
      </c>
      <c r="B29" s="44">
        <f t="shared" si="0"/>
        <v>2807.25</v>
      </c>
      <c r="C29" s="44">
        <f t="shared" si="1"/>
        <v>174.3</v>
      </c>
      <c r="D29" s="44">
        <f t="shared" si="2"/>
        <v>557.76</v>
      </c>
      <c r="E29" s="44">
        <f t="shared" si="3"/>
        <v>0</v>
      </c>
      <c r="F29" s="44">
        <f t="shared" si="4"/>
        <v>1428</v>
      </c>
      <c r="G29" s="44">
        <f t="shared" si="5"/>
        <v>697.2</v>
      </c>
      <c r="H29" s="44">
        <f t="shared" si="6"/>
        <v>24022.5</v>
      </c>
      <c r="I29" s="44">
        <f t="shared" si="7"/>
        <v>627.48</v>
      </c>
      <c r="J29" s="44">
        <f t="shared" si="8"/>
        <v>941.22</v>
      </c>
      <c r="K29" s="44">
        <f t="shared" si="9"/>
        <v>488.04</v>
      </c>
      <c r="L29" s="44">
        <f t="shared" si="10"/>
        <v>1316.25</v>
      </c>
      <c r="M29" s="44">
        <f t="shared" si="13"/>
        <v>33060</v>
      </c>
      <c r="N29" s="45">
        <f>'OP8 part 1 analysis'!G46</f>
        <v>0.653469875443212</v>
      </c>
      <c r="O29" s="46">
        <f t="shared" si="14"/>
        <v>972.8</v>
      </c>
      <c r="P29" s="46">
        <f t="shared" si="14"/>
        <v>60.400000000000006</v>
      </c>
      <c r="Q29" s="46">
        <f t="shared" si="14"/>
        <v>193.27999999999997</v>
      </c>
      <c r="R29" s="46">
        <f t="shared" si="14"/>
        <v>0</v>
      </c>
      <c r="S29" s="46">
        <f t="shared" si="14"/>
        <v>494.85</v>
      </c>
      <c r="T29" s="46">
        <f t="shared" si="14"/>
        <v>241.60000000000002</v>
      </c>
      <c r="U29" s="46">
        <f t="shared" si="14"/>
        <v>8324.52</v>
      </c>
      <c r="V29" s="46">
        <f t="shared" si="14"/>
        <v>217.44</v>
      </c>
      <c r="W29" s="46">
        <f t="shared" si="14"/>
        <v>326.16000000000008</v>
      </c>
      <c r="X29" s="46">
        <f t="shared" si="14"/>
        <v>169.12</v>
      </c>
      <c r="Y29" s="46">
        <f t="shared" si="14"/>
        <v>456.12</v>
      </c>
      <c r="Z29" s="46">
        <f t="shared" si="15"/>
        <v>11456.290000000003</v>
      </c>
      <c r="AA29" s="46">
        <f t="shared" si="16"/>
        <v>1834.45</v>
      </c>
      <c r="AB29" s="46">
        <f t="shared" si="16"/>
        <v>113.9</v>
      </c>
      <c r="AC29" s="46">
        <f t="shared" si="16"/>
        <v>364.48</v>
      </c>
      <c r="AD29" s="46">
        <f t="shared" si="16"/>
        <v>0</v>
      </c>
      <c r="AE29" s="46">
        <f t="shared" si="16"/>
        <v>933.15</v>
      </c>
      <c r="AF29" s="46">
        <f t="shared" si="16"/>
        <v>455.6</v>
      </c>
      <c r="AG29" s="46">
        <f t="shared" si="16"/>
        <v>15697.98</v>
      </c>
      <c r="AH29" s="46">
        <f t="shared" si="16"/>
        <v>410.04</v>
      </c>
      <c r="AI29" s="46">
        <f t="shared" si="16"/>
        <v>615.05999999999995</v>
      </c>
      <c r="AJ29" s="46">
        <f t="shared" si="16"/>
        <v>318.92</v>
      </c>
      <c r="AK29" s="46">
        <f t="shared" si="16"/>
        <v>860.13</v>
      </c>
      <c r="AL29" s="46">
        <f t="shared" si="17"/>
        <v>21603.71</v>
      </c>
    </row>
    <row r="30" spans="1:38" x14ac:dyDescent="0.2">
      <c r="A30" s="43" t="s">
        <v>185</v>
      </c>
      <c r="B30" s="44">
        <f t="shared" si="0"/>
        <v>25180.21</v>
      </c>
      <c r="C30" s="44">
        <f t="shared" si="1"/>
        <v>134.29</v>
      </c>
      <c r="D30" s="44">
        <f t="shared" si="2"/>
        <v>429.74</v>
      </c>
      <c r="E30" s="44">
        <f t="shared" si="3"/>
        <v>0</v>
      </c>
      <c r="F30" s="44">
        <f t="shared" si="4"/>
        <v>671.47</v>
      </c>
      <c r="G30" s="44">
        <f t="shared" si="5"/>
        <v>537.17999999999995</v>
      </c>
      <c r="H30" s="44">
        <f t="shared" si="6"/>
        <v>10491.76</v>
      </c>
      <c r="I30" s="44">
        <f t="shared" si="7"/>
        <v>483.46</v>
      </c>
      <c r="J30" s="44">
        <f t="shared" si="8"/>
        <v>725.19</v>
      </c>
      <c r="K30" s="44">
        <f t="shared" si="9"/>
        <v>376.02</v>
      </c>
      <c r="L30" s="44">
        <f t="shared" si="10"/>
        <v>419.67</v>
      </c>
      <c r="M30" s="44">
        <f t="shared" si="13"/>
        <v>39448.99</v>
      </c>
      <c r="N30" s="45">
        <f>'OP8 part 1 analysis'!G47</f>
        <v>0.26829268292682923</v>
      </c>
      <c r="O30" s="46">
        <f t="shared" si="14"/>
        <v>18424.54</v>
      </c>
      <c r="P30" s="46">
        <f t="shared" si="14"/>
        <v>98.259999999999991</v>
      </c>
      <c r="Q30" s="46">
        <f t="shared" si="14"/>
        <v>314.44</v>
      </c>
      <c r="R30" s="46">
        <f t="shared" si="14"/>
        <v>0</v>
      </c>
      <c r="S30" s="46">
        <f t="shared" si="14"/>
        <v>491.32000000000005</v>
      </c>
      <c r="T30" s="46">
        <f t="shared" si="14"/>
        <v>393.05999999999995</v>
      </c>
      <c r="U30" s="46">
        <f t="shared" si="14"/>
        <v>7676.9</v>
      </c>
      <c r="V30" s="46">
        <f t="shared" si="14"/>
        <v>353.75</v>
      </c>
      <c r="W30" s="46">
        <f t="shared" si="14"/>
        <v>530.63000000000011</v>
      </c>
      <c r="X30" s="46">
        <f t="shared" si="14"/>
        <v>275.14</v>
      </c>
      <c r="Y30" s="46">
        <f t="shared" si="14"/>
        <v>307.08000000000004</v>
      </c>
      <c r="Z30" s="46">
        <f t="shared" si="15"/>
        <v>28865.119999999999</v>
      </c>
      <c r="AA30" s="46">
        <f t="shared" si="16"/>
        <v>6755.67</v>
      </c>
      <c r="AB30" s="46">
        <f t="shared" si="16"/>
        <v>36.03</v>
      </c>
      <c r="AC30" s="46">
        <f t="shared" si="16"/>
        <v>115.3</v>
      </c>
      <c r="AD30" s="46">
        <f t="shared" si="16"/>
        <v>0</v>
      </c>
      <c r="AE30" s="46">
        <f t="shared" si="16"/>
        <v>180.15</v>
      </c>
      <c r="AF30" s="46">
        <f t="shared" si="16"/>
        <v>144.12</v>
      </c>
      <c r="AG30" s="46">
        <f t="shared" si="16"/>
        <v>2814.86</v>
      </c>
      <c r="AH30" s="46">
        <f t="shared" si="16"/>
        <v>129.71</v>
      </c>
      <c r="AI30" s="46">
        <f t="shared" si="16"/>
        <v>194.56</v>
      </c>
      <c r="AJ30" s="46">
        <f t="shared" si="16"/>
        <v>100.88</v>
      </c>
      <c r="AK30" s="46">
        <f t="shared" si="16"/>
        <v>112.59</v>
      </c>
      <c r="AL30" s="46">
        <f t="shared" si="17"/>
        <v>10583.869999999997</v>
      </c>
    </row>
    <row r="31" spans="1:38" x14ac:dyDescent="0.2">
      <c r="A31" s="43" t="s">
        <v>186</v>
      </c>
      <c r="B31" s="44">
        <f t="shared" si="0"/>
        <v>7929.73</v>
      </c>
      <c r="C31" s="44">
        <f t="shared" si="1"/>
        <v>88.88</v>
      </c>
      <c r="D31" s="44">
        <f t="shared" si="2"/>
        <v>284.41000000000003</v>
      </c>
      <c r="E31" s="44">
        <f t="shared" si="3"/>
        <v>0</v>
      </c>
      <c r="F31" s="44">
        <f t="shared" si="4"/>
        <v>0</v>
      </c>
      <c r="G31" s="44">
        <f t="shared" si="5"/>
        <v>355.51</v>
      </c>
      <c r="H31" s="44">
        <f t="shared" si="6"/>
        <v>22418.79</v>
      </c>
      <c r="I31" s="44">
        <f t="shared" si="7"/>
        <v>319.95999999999998</v>
      </c>
      <c r="J31" s="44">
        <f t="shared" si="8"/>
        <v>479.94</v>
      </c>
      <c r="K31" s="44">
        <f t="shared" si="9"/>
        <v>248.86</v>
      </c>
      <c r="L31" s="44">
        <f t="shared" si="10"/>
        <v>2399.92</v>
      </c>
      <c r="M31" s="44">
        <f t="shared" si="13"/>
        <v>34526</v>
      </c>
      <c r="N31" s="45">
        <f>'OP8 part 1 analysis'!G48</f>
        <v>0.22680412371134018</v>
      </c>
      <c r="O31" s="46">
        <f t="shared" si="14"/>
        <v>6131.23</v>
      </c>
      <c r="P31" s="46">
        <f t="shared" si="14"/>
        <v>68.72</v>
      </c>
      <c r="Q31" s="46">
        <f t="shared" si="14"/>
        <v>219.90000000000003</v>
      </c>
      <c r="R31" s="46">
        <f t="shared" si="14"/>
        <v>0</v>
      </c>
      <c r="S31" s="46">
        <f t="shared" si="14"/>
        <v>0</v>
      </c>
      <c r="T31" s="46">
        <f t="shared" si="14"/>
        <v>274.88</v>
      </c>
      <c r="U31" s="46">
        <f t="shared" si="14"/>
        <v>17334.120000000003</v>
      </c>
      <c r="V31" s="46">
        <f t="shared" si="14"/>
        <v>247.39</v>
      </c>
      <c r="W31" s="46">
        <f t="shared" si="14"/>
        <v>371.09000000000003</v>
      </c>
      <c r="X31" s="46">
        <f t="shared" si="14"/>
        <v>192.42000000000002</v>
      </c>
      <c r="Y31" s="46">
        <f t="shared" si="14"/>
        <v>1855.6100000000001</v>
      </c>
      <c r="Z31" s="46">
        <f t="shared" si="15"/>
        <v>26695.360000000001</v>
      </c>
      <c r="AA31" s="46">
        <f t="shared" si="16"/>
        <v>1798.5</v>
      </c>
      <c r="AB31" s="46">
        <f t="shared" si="16"/>
        <v>20.16</v>
      </c>
      <c r="AC31" s="46">
        <f t="shared" si="16"/>
        <v>64.510000000000005</v>
      </c>
      <c r="AD31" s="46">
        <f t="shared" si="16"/>
        <v>0</v>
      </c>
      <c r="AE31" s="46">
        <f t="shared" si="16"/>
        <v>0</v>
      </c>
      <c r="AF31" s="46">
        <f t="shared" si="16"/>
        <v>80.63</v>
      </c>
      <c r="AG31" s="46">
        <f t="shared" si="16"/>
        <v>5084.67</v>
      </c>
      <c r="AH31" s="46">
        <f t="shared" si="16"/>
        <v>72.569999999999993</v>
      </c>
      <c r="AI31" s="46">
        <f t="shared" si="16"/>
        <v>108.85</v>
      </c>
      <c r="AJ31" s="46">
        <f t="shared" si="16"/>
        <v>56.44</v>
      </c>
      <c r="AK31" s="46">
        <f t="shared" si="16"/>
        <v>544.30999999999995</v>
      </c>
      <c r="AL31" s="46">
        <f t="shared" si="17"/>
        <v>7830.6399999999994</v>
      </c>
    </row>
    <row r="32" spans="1:38" x14ac:dyDescent="0.2">
      <c r="A32" s="43" t="s">
        <v>187</v>
      </c>
      <c r="B32" s="44">
        <f t="shared" si="0"/>
        <v>1350</v>
      </c>
      <c r="C32" s="44">
        <f t="shared" si="1"/>
        <v>91.88</v>
      </c>
      <c r="D32" s="44">
        <f t="shared" si="2"/>
        <v>294</v>
      </c>
      <c r="E32" s="44">
        <f t="shared" si="3"/>
        <v>0</v>
      </c>
      <c r="F32" s="44">
        <f t="shared" si="4"/>
        <v>225</v>
      </c>
      <c r="G32" s="44">
        <f t="shared" si="5"/>
        <v>367.5</v>
      </c>
      <c r="H32" s="44">
        <f t="shared" si="6"/>
        <v>12738.75</v>
      </c>
      <c r="I32" s="44">
        <f t="shared" si="7"/>
        <v>330.75</v>
      </c>
      <c r="J32" s="44">
        <f t="shared" si="8"/>
        <v>496.13</v>
      </c>
      <c r="K32" s="44">
        <f t="shared" si="9"/>
        <v>257.25</v>
      </c>
      <c r="L32" s="44">
        <f t="shared" si="10"/>
        <v>2925</v>
      </c>
      <c r="M32" s="44">
        <f t="shared" si="13"/>
        <v>19076.260000000002</v>
      </c>
      <c r="N32" s="45">
        <f>'OP8 part 1 analysis'!G49</f>
        <v>0</v>
      </c>
      <c r="O32" s="46">
        <f t="shared" si="14"/>
        <v>1350</v>
      </c>
      <c r="P32" s="46">
        <f t="shared" si="14"/>
        <v>91.88</v>
      </c>
      <c r="Q32" s="46">
        <f t="shared" si="14"/>
        <v>294</v>
      </c>
      <c r="R32" s="46">
        <f t="shared" si="14"/>
        <v>0</v>
      </c>
      <c r="S32" s="46">
        <f t="shared" si="14"/>
        <v>225</v>
      </c>
      <c r="T32" s="46">
        <f t="shared" si="14"/>
        <v>367.5</v>
      </c>
      <c r="U32" s="46">
        <f t="shared" si="14"/>
        <v>12738.75</v>
      </c>
      <c r="V32" s="46">
        <f t="shared" si="14"/>
        <v>330.75</v>
      </c>
      <c r="W32" s="46">
        <f t="shared" si="14"/>
        <v>496.13</v>
      </c>
      <c r="X32" s="46">
        <f t="shared" si="14"/>
        <v>257.25</v>
      </c>
      <c r="Y32" s="46">
        <f t="shared" si="14"/>
        <v>2925</v>
      </c>
      <c r="Z32" s="46">
        <f t="shared" si="15"/>
        <v>19076.260000000002</v>
      </c>
      <c r="AA32" s="46">
        <f t="shared" si="16"/>
        <v>0</v>
      </c>
      <c r="AB32" s="46">
        <f t="shared" si="16"/>
        <v>0</v>
      </c>
      <c r="AC32" s="46">
        <f t="shared" si="16"/>
        <v>0</v>
      </c>
      <c r="AD32" s="46">
        <f t="shared" si="16"/>
        <v>0</v>
      </c>
      <c r="AE32" s="46">
        <f t="shared" si="16"/>
        <v>0</v>
      </c>
      <c r="AF32" s="46">
        <f t="shared" si="16"/>
        <v>0</v>
      </c>
      <c r="AG32" s="46">
        <f t="shared" si="16"/>
        <v>0</v>
      </c>
      <c r="AH32" s="46">
        <f t="shared" si="16"/>
        <v>0</v>
      </c>
      <c r="AI32" s="46">
        <f t="shared" si="16"/>
        <v>0</v>
      </c>
      <c r="AJ32" s="46">
        <f t="shared" si="16"/>
        <v>0</v>
      </c>
      <c r="AK32" s="46">
        <f t="shared" si="16"/>
        <v>0</v>
      </c>
      <c r="AL32" s="46">
        <f t="shared" si="17"/>
        <v>0</v>
      </c>
    </row>
    <row r="33" spans="1:38" x14ac:dyDescent="0.2">
      <c r="A33" s="43" t="s">
        <v>188</v>
      </c>
      <c r="B33" s="44">
        <f t="shared" si="0"/>
        <v>16820</v>
      </c>
      <c r="C33" s="44">
        <f t="shared" si="1"/>
        <v>883.1</v>
      </c>
      <c r="D33" s="44">
        <f t="shared" si="2"/>
        <v>1926</v>
      </c>
      <c r="E33" s="44">
        <f t="shared" si="3"/>
        <v>0</v>
      </c>
      <c r="F33" s="44">
        <f t="shared" si="4"/>
        <v>1724</v>
      </c>
      <c r="G33" s="44">
        <f t="shared" si="5"/>
        <v>1532</v>
      </c>
      <c r="H33" s="44">
        <f t="shared" si="6"/>
        <v>2299</v>
      </c>
      <c r="I33" s="44">
        <f t="shared" si="7"/>
        <v>13079</v>
      </c>
      <c r="J33" s="44">
        <f t="shared" si="8"/>
        <v>1269</v>
      </c>
      <c r="K33" s="44">
        <f t="shared" si="9"/>
        <v>2473</v>
      </c>
      <c r="L33" s="44">
        <f t="shared" si="10"/>
        <v>1185</v>
      </c>
      <c r="M33" s="44">
        <f t="shared" si="13"/>
        <v>43190.1</v>
      </c>
      <c r="N33" s="45">
        <f>'OP8 part 1 analysis'!G50</f>
        <v>0.63429504958374006</v>
      </c>
      <c r="O33" s="46">
        <f t="shared" si="14"/>
        <v>6151.16</v>
      </c>
      <c r="P33" s="46">
        <f t="shared" si="14"/>
        <v>322.95000000000005</v>
      </c>
      <c r="Q33" s="46">
        <f t="shared" si="14"/>
        <v>704.34999999999991</v>
      </c>
      <c r="R33" s="46">
        <f t="shared" si="14"/>
        <v>0</v>
      </c>
      <c r="S33" s="46">
        <f t="shared" si="14"/>
        <v>630.48</v>
      </c>
      <c r="T33" s="46">
        <f t="shared" si="14"/>
        <v>560.26</v>
      </c>
      <c r="U33" s="46">
        <f t="shared" si="14"/>
        <v>840.76</v>
      </c>
      <c r="V33" s="46">
        <f t="shared" si="14"/>
        <v>4783.0599999999995</v>
      </c>
      <c r="W33" s="46">
        <f t="shared" si="14"/>
        <v>464.08000000000004</v>
      </c>
      <c r="X33" s="46">
        <f t="shared" si="14"/>
        <v>904.3900000000001</v>
      </c>
      <c r="Y33" s="46">
        <f t="shared" si="14"/>
        <v>433.36</v>
      </c>
      <c r="Z33" s="46">
        <f t="shared" si="15"/>
        <v>15794.849999999999</v>
      </c>
      <c r="AA33" s="46">
        <f t="shared" si="16"/>
        <v>10668.84</v>
      </c>
      <c r="AB33" s="46">
        <f t="shared" si="16"/>
        <v>560.15</v>
      </c>
      <c r="AC33" s="46">
        <f t="shared" si="16"/>
        <v>1221.6500000000001</v>
      </c>
      <c r="AD33" s="46">
        <f t="shared" si="16"/>
        <v>0</v>
      </c>
      <c r="AE33" s="46">
        <f t="shared" si="16"/>
        <v>1093.52</v>
      </c>
      <c r="AF33" s="46">
        <f t="shared" si="16"/>
        <v>971.74</v>
      </c>
      <c r="AG33" s="46">
        <f t="shared" si="16"/>
        <v>1458.24</v>
      </c>
      <c r="AH33" s="46">
        <f t="shared" si="16"/>
        <v>8295.94</v>
      </c>
      <c r="AI33" s="46">
        <f t="shared" si="16"/>
        <v>804.92</v>
      </c>
      <c r="AJ33" s="46">
        <f t="shared" si="16"/>
        <v>1568.61</v>
      </c>
      <c r="AK33" s="46">
        <f t="shared" si="16"/>
        <v>751.64</v>
      </c>
      <c r="AL33" s="46">
        <f t="shared" si="17"/>
        <v>27395.25</v>
      </c>
    </row>
    <row r="34" spans="1:38" x14ac:dyDescent="0.2">
      <c r="A34" s="43" t="s">
        <v>189</v>
      </c>
      <c r="B34" s="44">
        <f t="shared" si="0"/>
        <v>8604.99</v>
      </c>
      <c r="C34" s="44">
        <f t="shared" si="1"/>
        <v>275.52</v>
      </c>
      <c r="D34" s="44">
        <f t="shared" si="2"/>
        <v>881.67</v>
      </c>
      <c r="E34" s="44">
        <f t="shared" si="3"/>
        <v>0</v>
      </c>
      <c r="F34" s="44">
        <f t="shared" si="4"/>
        <v>455.78</v>
      </c>
      <c r="G34" s="44">
        <f t="shared" si="5"/>
        <v>1102.0899999999999</v>
      </c>
      <c r="H34" s="44">
        <f t="shared" si="6"/>
        <v>11234.89</v>
      </c>
      <c r="I34" s="44">
        <f t="shared" si="7"/>
        <v>991.88</v>
      </c>
      <c r="J34" s="44">
        <f t="shared" si="8"/>
        <v>1487.82</v>
      </c>
      <c r="K34" s="44">
        <f t="shared" si="9"/>
        <v>771.46</v>
      </c>
      <c r="L34" s="44">
        <f t="shared" si="10"/>
        <v>3665.71</v>
      </c>
      <c r="M34" s="44">
        <f t="shared" si="13"/>
        <v>29471.81</v>
      </c>
      <c r="N34" s="45">
        <f>'OP8 part 1 analysis'!G51</f>
        <v>0.59459459459459452</v>
      </c>
      <c r="O34" s="46">
        <f t="shared" si="14"/>
        <v>3488.51</v>
      </c>
      <c r="P34" s="46">
        <f t="shared" si="14"/>
        <v>111.69999999999999</v>
      </c>
      <c r="Q34" s="46">
        <f t="shared" si="14"/>
        <v>357.42999999999995</v>
      </c>
      <c r="R34" s="46">
        <f t="shared" si="14"/>
        <v>0</v>
      </c>
      <c r="S34" s="46">
        <f t="shared" si="14"/>
        <v>184.77999999999997</v>
      </c>
      <c r="T34" s="46">
        <f t="shared" si="14"/>
        <v>446.78999999999996</v>
      </c>
      <c r="U34" s="46">
        <f t="shared" si="14"/>
        <v>4554.6899999999996</v>
      </c>
      <c r="V34" s="46">
        <f t="shared" si="14"/>
        <v>402.11</v>
      </c>
      <c r="W34" s="46">
        <f t="shared" si="14"/>
        <v>603.16999999999996</v>
      </c>
      <c r="X34" s="46">
        <f t="shared" si="14"/>
        <v>312.75000000000006</v>
      </c>
      <c r="Y34" s="46">
        <f t="shared" si="14"/>
        <v>1486.1</v>
      </c>
      <c r="Z34" s="46">
        <f t="shared" si="15"/>
        <v>11948.03</v>
      </c>
      <c r="AA34" s="46">
        <f t="shared" si="16"/>
        <v>5116.4799999999996</v>
      </c>
      <c r="AB34" s="46">
        <f t="shared" si="16"/>
        <v>163.82</v>
      </c>
      <c r="AC34" s="46">
        <f t="shared" si="16"/>
        <v>524.24</v>
      </c>
      <c r="AD34" s="46">
        <f t="shared" si="16"/>
        <v>0</v>
      </c>
      <c r="AE34" s="46">
        <f t="shared" si="16"/>
        <v>271</v>
      </c>
      <c r="AF34" s="46">
        <f t="shared" si="16"/>
        <v>655.29999999999995</v>
      </c>
      <c r="AG34" s="46">
        <f t="shared" si="16"/>
        <v>6680.2</v>
      </c>
      <c r="AH34" s="46">
        <f t="shared" si="16"/>
        <v>589.77</v>
      </c>
      <c r="AI34" s="46">
        <f t="shared" si="16"/>
        <v>884.65</v>
      </c>
      <c r="AJ34" s="46">
        <f t="shared" si="16"/>
        <v>458.71</v>
      </c>
      <c r="AK34" s="46">
        <f t="shared" si="16"/>
        <v>2179.61</v>
      </c>
      <c r="AL34" s="46">
        <f t="shared" si="17"/>
        <v>17523.78</v>
      </c>
    </row>
    <row r="35" spans="1:38" x14ac:dyDescent="0.2">
      <c r="A35" s="43" t="s">
        <v>136</v>
      </c>
      <c r="B35" s="44"/>
      <c r="C35" s="44"/>
      <c r="D35" s="44"/>
      <c r="E35" s="44"/>
      <c r="F35" s="44"/>
      <c r="G35" s="44"/>
      <c r="H35" s="44"/>
      <c r="I35" s="44"/>
      <c r="J35" s="44"/>
      <c r="K35" s="44"/>
      <c r="L35" s="44"/>
      <c r="M35" s="44">
        <f t="shared" si="13"/>
        <v>0</v>
      </c>
      <c r="N35" s="45">
        <f>'OP8 part 1 analysis'!G52</f>
        <v>0.6763754045307443</v>
      </c>
      <c r="O35" s="46">
        <f t="shared" si="14"/>
        <v>0</v>
      </c>
      <c r="P35" s="46">
        <f t="shared" si="14"/>
        <v>0</v>
      </c>
      <c r="Q35" s="46">
        <f t="shared" si="14"/>
        <v>0</v>
      </c>
      <c r="R35" s="46">
        <f t="shared" si="14"/>
        <v>0</v>
      </c>
      <c r="S35" s="46">
        <f t="shared" si="14"/>
        <v>0</v>
      </c>
      <c r="T35" s="46">
        <f t="shared" si="14"/>
        <v>0</v>
      </c>
      <c r="U35" s="46">
        <f t="shared" si="14"/>
        <v>0</v>
      </c>
      <c r="V35" s="46">
        <f t="shared" si="14"/>
        <v>0</v>
      </c>
      <c r="W35" s="46">
        <f t="shared" si="14"/>
        <v>0</v>
      </c>
      <c r="X35" s="46">
        <f t="shared" si="14"/>
        <v>0</v>
      </c>
      <c r="Y35" s="46">
        <f t="shared" si="14"/>
        <v>0</v>
      </c>
      <c r="Z35" s="46">
        <f t="shared" si="15"/>
        <v>0</v>
      </c>
      <c r="AA35" s="46">
        <f t="shared" si="16"/>
        <v>0</v>
      </c>
      <c r="AB35" s="46">
        <f t="shared" si="16"/>
        <v>0</v>
      </c>
      <c r="AC35" s="46">
        <f t="shared" si="16"/>
        <v>0</v>
      </c>
      <c r="AD35" s="46">
        <f t="shared" si="16"/>
        <v>0</v>
      </c>
      <c r="AE35" s="46">
        <f t="shared" si="16"/>
        <v>0</v>
      </c>
      <c r="AF35" s="46">
        <f t="shared" si="16"/>
        <v>0</v>
      </c>
      <c r="AG35" s="46">
        <f t="shared" si="16"/>
        <v>0</v>
      </c>
      <c r="AH35" s="46">
        <f t="shared" si="16"/>
        <v>0</v>
      </c>
      <c r="AI35" s="46">
        <f t="shared" si="16"/>
        <v>0</v>
      </c>
      <c r="AJ35" s="46">
        <f t="shared" si="16"/>
        <v>0</v>
      </c>
      <c r="AK35" s="46">
        <f t="shared" si="16"/>
        <v>0</v>
      </c>
      <c r="AL35" s="46">
        <f t="shared" si="17"/>
        <v>0</v>
      </c>
    </row>
    <row r="36" spans="1:38" x14ac:dyDescent="0.2">
      <c r="A36" s="43" t="s">
        <v>190</v>
      </c>
      <c r="B36" s="44">
        <f t="shared" ref="B36:B67" si="18">ROUND(VLOOKUP($A36, cobdata, 14, FALSE),2)</f>
        <v>14158.03</v>
      </c>
      <c r="C36" s="44">
        <f t="shared" ref="C36:C67" si="19">ROUND(VLOOKUP($A36, cobdata, 15, FALSE),2)</f>
        <v>403.84</v>
      </c>
      <c r="D36" s="44">
        <f t="shared" ref="D36:D67" si="20">ROUND(VLOOKUP($A36, cobdata, 16, FALSE),2)</f>
        <v>1292.29</v>
      </c>
      <c r="E36" s="44">
        <f t="shared" ref="E36:E67" si="21">ROUND(VLOOKUP($A36, cobdata, 17, FALSE),2)</f>
        <v>0</v>
      </c>
      <c r="F36" s="44">
        <f t="shared" ref="F36:F67" si="22">ROUND(VLOOKUP($A36, cobdata, 18, FALSE),2)</f>
        <v>0</v>
      </c>
      <c r="G36" s="44">
        <f t="shared" ref="G36:G67" si="23">ROUND(VLOOKUP($A36, cobdata, 19, FALSE),2)</f>
        <v>1615.36</v>
      </c>
      <c r="H36" s="44">
        <f t="shared" ref="H36:H67" si="24">ROUND(VLOOKUP($A36, cobdata, 20, FALSE),2)</f>
        <v>21858.15</v>
      </c>
      <c r="I36" s="44">
        <f t="shared" ref="I36:I67" si="25">ROUND(VLOOKUP($A36, cobdata, 21, FALSE),2)</f>
        <v>1453.83</v>
      </c>
      <c r="J36" s="44">
        <f t="shared" ref="J36:J67" si="26">ROUND(VLOOKUP($A36, cobdata, 22, FALSE),2)</f>
        <v>2180.7399999999998</v>
      </c>
      <c r="K36" s="44">
        <f t="shared" ref="K36:K67" si="27">ROUND(VLOOKUP($A36, cobdata, 23, FALSE),2)</f>
        <v>1130.75</v>
      </c>
      <c r="L36" s="44">
        <f t="shared" ref="L36:L67" si="28">ROUND(VLOOKUP($A36, cobdata, 24, FALSE),2)</f>
        <v>0</v>
      </c>
      <c r="M36" s="44">
        <f t="shared" si="13"/>
        <v>44092.99</v>
      </c>
      <c r="N36" s="45">
        <f>'OP8 part 1 analysis'!G53</f>
        <v>0</v>
      </c>
      <c r="O36" s="46">
        <f t="shared" si="14"/>
        <v>14158.03</v>
      </c>
      <c r="P36" s="46">
        <f t="shared" si="14"/>
        <v>403.84</v>
      </c>
      <c r="Q36" s="46">
        <f t="shared" si="14"/>
        <v>1292.29</v>
      </c>
      <c r="R36" s="46">
        <f t="shared" si="14"/>
        <v>0</v>
      </c>
      <c r="S36" s="46">
        <f t="shared" si="14"/>
        <v>0</v>
      </c>
      <c r="T36" s="46">
        <f t="shared" si="14"/>
        <v>1615.36</v>
      </c>
      <c r="U36" s="46">
        <f t="shared" si="14"/>
        <v>21858.15</v>
      </c>
      <c r="V36" s="46">
        <f t="shared" si="14"/>
        <v>1453.83</v>
      </c>
      <c r="W36" s="46">
        <f t="shared" si="14"/>
        <v>2180.7399999999998</v>
      </c>
      <c r="X36" s="46">
        <f t="shared" si="14"/>
        <v>1130.75</v>
      </c>
      <c r="Y36" s="46">
        <f t="shared" si="14"/>
        <v>0</v>
      </c>
      <c r="Z36" s="46">
        <f t="shared" si="15"/>
        <v>44092.99</v>
      </c>
      <c r="AA36" s="46">
        <f t="shared" si="16"/>
        <v>0</v>
      </c>
      <c r="AB36" s="46">
        <f t="shared" si="16"/>
        <v>0</v>
      </c>
      <c r="AC36" s="46">
        <f t="shared" si="16"/>
        <v>0</v>
      </c>
      <c r="AD36" s="46">
        <f t="shared" si="16"/>
        <v>0</v>
      </c>
      <c r="AE36" s="46">
        <f t="shared" si="16"/>
        <v>0</v>
      </c>
      <c r="AF36" s="46">
        <f t="shared" si="16"/>
        <v>0</v>
      </c>
      <c r="AG36" s="46">
        <f t="shared" si="16"/>
        <v>0</v>
      </c>
      <c r="AH36" s="46">
        <f t="shared" si="16"/>
        <v>0</v>
      </c>
      <c r="AI36" s="46">
        <f t="shared" si="16"/>
        <v>0</v>
      </c>
      <c r="AJ36" s="46">
        <f t="shared" si="16"/>
        <v>0</v>
      </c>
      <c r="AK36" s="46">
        <f t="shared" si="16"/>
        <v>0</v>
      </c>
      <c r="AL36" s="46">
        <f t="shared" si="17"/>
        <v>0</v>
      </c>
    </row>
    <row r="37" spans="1:38" x14ac:dyDescent="0.2">
      <c r="A37" s="43" t="s">
        <v>191</v>
      </c>
      <c r="B37" s="44">
        <f t="shared" si="18"/>
        <v>3235.22</v>
      </c>
      <c r="C37" s="44">
        <f t="shared" si="19"/>
        <v>214.22</v>
      </c>
      <c r="D37" s="44">
        <f t="shared" si="20"/>
        <v>685.52</v>
      </c>
      <c r="E37" s="44">
        <f t="shared" si="21"/>
        <v>0</v>
      </c>
      <c r="F37" s="44">
        <f t="shared" si="22"/>
        <v>629.55999999999995</v>
      </c>
      <c r="G37" s="44">
        <f t="shared" si="23"/>
        <v>856.9</v>
      </c>
      <c r="H37" s="44">
        <f t="shared" si="24"/>
        <v>17666.07</v>
      </c>
      <c r="I37" s="44">
        <f t="shared" si="25"/>
        <v>771.21</v>
      </c>
      <c r="J37" s="44">
        <f t="shared" si="26"/>
        <v>1156.81</v>
      </c>
      <c r="K37" s="44">
        <f t="shared" si="27"/>
        <v>599.83000000000004</v>
      </c>
      <c r="L37" s="44">
        <f t="shared" si="28"/>
        <v>2605.67</v>
      </c>
      <c r="M37" s="44">
        <f t="shared" si="13"/>
        <v>28421.010000000002</v>
      </c>
      <c r="N37" s="45">
        <f>'OP8 part 1 analysis'!G54</f>
        <v>0.42307692307692302</v>
      </c>
      <c r="O37" s="46">
        <f t="shared" si="14"/>
        <v>1866.4699999999998</v>
      </c>
      <c r="P37" s="46">
        <f t="shared" si="14"/>
        <v>123.59</v>
      </c>
      <c r="Q37" s="46">
        <f t="shared" si="14"/>
        <v>395.49</v>
      </c>
      <c r="R37" s="46">
        <f t="shared" si="14"/>
        <v>0</v>
      </c>
      <c r="S37" s="46">
        <f t="shared" si="14"/>
        <v>363.20999999999992</v>
      </c>
      <c r="T37" s="46">
        <f t="shared" si="14"/>
        <v>494.37</v>
      </c>
      <c r="U37" s="46">
        <f t="shared" si="14"/>
        <v>10191.959999999999</v>
      </c>
      <c r="V37" s="46">
        <f t="shared" si="14"/>
        <v>444.93000000000006</v>
      </c>
      <c r="W37" s="46">
        <f t="shared" si="14"/>
        <v>667.38999999999987</v>
      </c>
      <c r="X37" s="46">
        <f t="shared" si="14"/>
        <v>346.06000000000006</v>
      </c>
      <c r="Y37" s="46">
        <f t="shared" si="14"/>
        <v>1503.27</v>
      </c>
      <c r="Z37" s="46">
        <f t="shared" si="15"/>
        <v>16396.739999999998</v>
      </c>
      <c r="AA37" s="46">
        <f t="shared" si="16"/>
        <v>1368.75</v>
      </c>
      <c r="AB37" s="46">
        <f t="shared" si="16"/>
        <v>90.63</v>
      </c>
      <c r="AC37" s="46">
        <f t="shared" si="16"/>
        <v>290.02999999999997</v>
      </c>
      <c r="AD37" s="46">
        <f t="shared" si="16"/>
        <v>0</v>
      </c>
      <c r="AE37" s="46">
        <f t="shared" si="16"/>
        <v>266.35000000000002</v>
      </c>
      <c r="AF37" s="46">
        <f t="shared" si="16"/>
        <v>362.53</v>
      </c>
      <c r="AG37" s="46">
        <f t="shared" si="16"/>
        <v>7474.11</v>
      </c>
      <c r="AH37" s="46">
        <f t="shared" si="16"/>
        <v>326.27999999999997</v>
      </c>
      <c r="AI37" s="46">
        <f t="shared" si="16"/>
        <v>489.42</v>
      </c>
      <c r="AJ37" s="46">
        <f t="shared" si="16"/>
        <v>253.77</v>
      </c>
      <c r="AK37" s="46">
        <f t="shared" si="16"/>
        <v>1102.4000000000001</v>
      </c>
      <c r="AL37" s="46">
        <f t="shared" si="17"/>
        <v>12024.27</v>
      </c>
    </row>
    <row r="38" spans="1:38" x14ac:dyDescent="0.2">
      <c r="A38" s="43" t="s">
        <v>192</v>
      </c>
      <c r="B38" s="44">
        <f t="shared" si="18"/>
        <v>10219.5</v>
      </c>
      <c r="C38" s="44">
        <f t="shared" si="19"/>
        <v>391.88</v>
      </c>
      <c r="D38" s="44">
        <f t="shared" si="20"/>
        <v>1254</v>
      </c>
      <c r="E38" s="44">
        <f t="shared" si="21"/>
        <v>0</v>
      </c>
      <c r="F38" s="44">
        <f t="shared" si="22"/>
        <v>738</v>
      </c>
      <c r="G38" s="44">
        <f t="shared" si="23"/>
        <v>1567.5</v>
      </c>
      <c r="H38" s="44">
        <f t="shared" si="24"/>
        <v>8386.5</v>
      </c>
      <c r="I38" s="44">
        <f t="shared" si="25"/>
        <v>1410.75</v>
      </c>
      <c r="J38" s="44">
        <f t="shared" si="26"/>
        <v>2116.13</v>
      </c>
      <c r="K38" s="44">
        <f t="shared" si="27"/>
        <v>1097.25</v>
      </c>
      <c r="L38" s="44">
        <f t="shared" si="28"/>
        <v>6450</v>
      </c>
      <c r="M38" s="44">
        <f t="shared" si="13"/>
        <v>33631.509999999995</v>
      </c>
      <c r="N38" s="45">
        <f>'OP8 part 1 analysis'!G55</f>
        <v>0.50657894736842102</v>
      </c>
      <c r="O38" s="46">
        <f t="shared" si="14"/>
        <v>5042.5200000000004</v>
      </c>
      <c r="P38" s="46">
        <f t="shared" si="14"/>
        <v>193.35999999999999</v>
      </c>
      <c r="Q38" s="46">
        <f t="shared" si="14"/>
        <v>618.75</v>
      </c>
      <c r="R38" s="46">
        <f t="shared" si="14"/>
        <v>0</v>
      </c>
      <c r="S38" s="46">
        <f t="shared" si="14"/>
        <v>364.14</v>
      </c>
      <c r="T38" s="46">
        <f t="shared" si="14"/>
        <v>773.44</v>
      </c>
      <c r="U38" s="46">
        <f t="shared" si="14"/>
        <v>4138.08</v>
      </c>
      <c r="V38" s="46">
        <f t="shared" si="14"/>
        <v>696.09</v>
      </c>
      <c r="W38" s="46">
        <f t="shared" si="14"/>
        <v>1044.1400000000001</v>
      </c>
      <c r="X38" s="46">
        <f t="shared" si="14"/>
        <v>541.41</v>
      </c>
      <c r="Y38" s="46">
        <f t="shared" si="14"/>
        <v>3182.57</v>
      </c>
      <c r="Z38" s="46">
        <f t="shared" si="15"/>
        <v>16594.5</v>
      </c>
      <c r="AA38" s="46">
        <f t="shared" si="16"/>
        <v>5176.9799999999996</v>
      </c>
      <c r="AB38" s="46">
        <f t="shared" si="16"/>
        <v>198.52</v>
      </c>
      <c r="AC38" s="46">
        <f t="shared" si="16"/>
        <v>635.25</v>
      </c>
      <c r="AD38" s="46">
        <f t="shared" si="16"/>
        <v>0</v>
      </c>
      <c r="AE38" s="46">
        <f t="shared" si="16"/>
        <v>373.86</v>
      </c>
      <c r="AF38" s="46">
        <f t="shared" si="16"/>
        <v>794.06</v>
      </c>
      <c r="AG38" s="46">
        <f t="shared" si="16"/>
        <v>4248.42</v>
      </c>
      <c r="AH38" s="46">
        <f t="shared" si="16"/>
        <v>714.66</v>
      </c>
      <c r="AI38" s="46">
        <f t="shared" si="16"/>
        <v>1071.99</v>
      </c>
      <c r="AJ38" s="46">
        <f t="shared" si="16"/>
        <v>555.84</v>
      </c>
      <c r="AK38" s="46">
        <f t="shared" si="16"/>
        <v>3267.43</v>
      </c>
      <c r="AL38" s="46">
        <f t="shared" si="17"/>
        <v>17037.009999999998</v>
      </c>
    </row>
    <row r="39" spans="1:38" x14ac:dyDescent="0.2">
      <c r="A39" s="43" t="s">
        <v>193</v>
      </c>
      <c r="B39" s="44">
        <f t="shared" si="18"/>
        <v>6240</v>
      </c>
      <c r="C39" s="44">
        <f t="shared" si="19"/>
        <v>310.95</v>
      </c>
      <c r="D39" s="44">
        <f t="shared" si="20"/>
        <v>995.04</v>
      </c>
      <c r="E39" s="44">
        <f t="shared" si="21"/>
        <v>0</v>
      </c>
      <c r="F39" s="44">
        <f t="shared" si="22"/>
        <v>360</v>
      </c>
      <c r="G39" s="44">
        <f t="shared" si="23"/>
        <v>1243.8</v>
      </c>
      <c r="H39" s="44">
        <f t="shared" si="24"/>
        <v>6038.4</v>
      </c>
      <c r="I39" s="44">
        <f t="shared" si="25"/>
        <v>1119.42</v>
      </c>
      <c r="J39" s="44">
        <f t="shared" si="26"/>
        <v>1679.13</v>
      </c>
      <c r="K39" s="44">
        <f t="shared" si="27"/>
        <v>870.66</v>
      </c>
      <c r="L39" s="44">
        <f t="shared" si="28"/>
        <v>960</v>
      </c>
      <c r="M39" s="44">
        <f t="shared" si="13"/>
        <v>19817.399999999998</v>
      </c>
      <c r="N39" s="45">
        <f>'OP8 part 1 analysis'!G56</f>
        <v>0</v>
      </c>
      <c r="O39" s="46">
        <f t="shared" si="14"/>
        <v>6240</v>
      </c>
      <c r="P39" s="46">
        <f t="shared" si="14"/>
        <v>310.95</v>
      </c>
      <c r="Q39" s="46">
        <f t="shared" si="14"/>
        <v>995.04</v>
      </c>
      <c r="R39" s="46">
        <f t="shared" si="14"/>
        <v>0</v>
      </c>
      <c r="S39" s="46">
        <f t="shared" si="14"/>
        <v>360</v>
      </c>
      <c r="T39" s="46">
        <f t="shared" si="14"/>
        <v>1243.8</v>
      </c>
      <c r="U39" s="46">
        <f t="shared" si="14"/>
        <v>6038.4</v>
      </c>
      <c r="V39" s="46">
        <f t="shared" si="14"/>
        <v>1119.42</v>
      </c>
      <c r="W39" s="46">
        <f t="shared" si="14"/>
        <v>1679.13</v>
      </c>
      <c r="X39" s="46">
        <f t="shared" si="14"/>
        <v>870.66</v>
      </c>
      <c r="Y39" s="46">
        <f t="shared" si="14"/>
        <v>960</v>
      </c>
      <c r="Z39" s="46">
        <f t="shared" si="15"/>
        <v>19817.399999999998</v>
      </c>
      <c r="AA39" s="46">
        <f t="shared" si="16"/>
        <v>0</v>
      </c>
      <c r="AB39" s="46">
        <f t="shared" si="16"/>
        <v>0</v>
      </c>
      <c r="AC39" s="46">
        <f t="shared" si="16"/>
        <v>0</v>
      </c>
      <c r="AD39" s="46">
        <f t="shared" si="16"/>
        <v>0</v>
      </c>
      <c r="AE39" s="46">
        <f t="shared" si="16"/>
        <v>0</v>
      </c>
      <c r="AF39" s="46">
        <f t="shared" si="16"/>
        <v>0</v>
      </c>
      <c r="AG39" s="46">
        <f t="shared" si="16"/>
        <v>0</v>
      </c>
      <c r="AH39" s="46">
        <f t="shared" si="16"/>
        <v>0</v>
      </c>
      <c r="AI39" s="46">
        <f t="shared" si="16"/>
        <v>0</v>
      </c>
      <c r="AJ39" s="46">
        <f t="shared" si="16"/>
        <v>0</v>
      </c>
      <c r="AK39" s="46">
        <f t="shared" si="16"/>
        <v>0</v>
      </c>
      <c r="AL39" s="46">
        <f t="shared" si="17"/>
        <v>0</v>
      </c>
    </row>
    <row r="40" spans="1:38" x14ac:dyDescent="0.2">
      <c r="A40" s="43" t="s">
        <v>194</v>
      </c>
      <c r="B40" s="44">
        <f t="shared" si="18"/>
        <v>4875</v>
      </c>
      <c r="C40" s="44">
        <f t="shared" si="19"/>
        <v>183.75</v>
      </c>
      <c r="D40" s="44">
        <f t="shared" si="20"/>
        <v>588</v>
      </c>
      <c r="E40" s="44">
        <f t="shared" si="21"/>
        <v>0</v>
      </c>
      <c r="F40" s="44">
        <f t="shared" si="22"/>
        <v>750</v>
      </c>
      <c r="G40" s="44">
        <f t="shared" si="23"/>
        <v>735</v>
      </c>
      <c r="H40" s="44">
        <f t="shared" si="24"/>
        <v>13284</v>
      </c>
      <c r="I40" s="44">
        <f t="shared" si="25"/>
        <v>661.5</v>
      </c>
      <c r="J40" s="44">
        <f t="shared" si="26"/>
        <v>992.25</v>
      </c>
      <c r="K40" s="44">
        <f t="shared" si="27"/>
        <v>514.5</v>
      </c>
      <c r="L40" s="44">
        <f t="shared" si="28"/>
        <v>5287.5</v>
      </c>
      <c r="M40" s="44">
        <f t="shared" si="13"/>
        <v>27871.5</v>
      </c>
      <c r="N40" s="45">
        <f>'OP8 part 1 analysis'!G57</f>
        <v>0.42307692307692302</v>
      </c>
      <c r="O40" s="46">
        <f t="shared" si="14"/>
        <v>2812.5</v>
      </c>
      <c r="P40" s="46">
        <f t="shared" si="14"/>
        <v>106.01</v>
      </c>
      <c r="Q40" s="46">
        <f t="shared" si="14"/>
        <v>339.23</v>
      </c>
      <c r="R40" s="46">
        <f t="shared" si="14"/>
        <v>0</v>
      </c>
      <c r="S40" s="46">
        <f t="shared" si="14"/>
        <v>432.69</v>
      </c>
      <c r="T40" s="46">
        <f t="shared" si="14"/>
        <v>424.04</v>
      </c>
      <c r="U40" s="46">
        <f t="shared" si="14"/>
        <v>7663.85</v>
      </c>
      <c r="V40" s="46">
        <f t="shared" si="14"/>
        <v>381.63</v>
      </c>
      <c r="W40" s="46">
        <f t="shared" si="14"/>
        <v>572.45000000000005</v>
      </c>
      <c r="X40" s="46">
        <f t="shared" si="14"/>
        <v>296.83000000000004</v>
      </c>
      <c r="Y40" s="46">
        <f t="shared" si="14"/>
        <v>3050.48</v>
      </c>
      <c r="Z40" s="46">
        <f t="shared" si="15"/>
        <v>16079.71</v>
      </c>
      <c r="AA40" s="46">
        <f t="shared" si="16"/>
        <v>2062.5</v>
      </c>
      <c r="AB40" s="46">
        <f t="shared" si="16"/>
        <v>77.739999999999995</v>
      </c>
      <c r="AC40" s="46">
        <f t="shared" si="16"/>
        <v>248.77</v>
      </c>
      <c r="AD40" s="46">
        <f t="shared" si="16"/>
        <v>0</v>
      </c>
      <c r="AE40" s="46">
        <f t="shared" si="16"/>
        <v>317.31</v>
      </c>
      <c r="AF40" s="46">
        <f t="shared" si="16"/>
        <v>310.95999999999998</v>
      </c>
      <c r="AG40" s="46">
        <f t="shared" si="16"/>
        <v>5620.15</v>
      </c>
      <c r="AH40" s="46">
        <f t="shared" si="16"/>
        <v>279.87</v>
      </c>
      <c r="AI40" s="46">
        <f t="shared" si="16"/>
        <v>419.8</v>
      </c>
      <c r="AJ40" s="46">
        <f t="shared" si="16"/>
        <v>217.67</v>
      </c>
      <c r="AK40" s="46">
        <f t="shared" si="16"/>
        <v>2237.02</v>
      </c>
      <c r="AL40" s="46">
        <f t="shared" si="17"/>
        <v>11791.79</v>
      </c>
    </row>
    <row r="41" spans="1:38" x14ac:dyDescent="0.2">
      <c r="A41" s="43" t="s">
        <v>195</v>
      </c>
      <c r="B41" s="44">
        <f t="shared" si="18"/>
        <v>5850</v>
      </c>
      <c r="C41" s="44">
        <f t="shared" si="19"/>
        <v>393.75</v>
      </c>
      <c r="D41" s="44">
        <f t="shared" si="20"/>
        <v>1260</v>
      </c>
      <c r="E41" s="44">
        <f t="shared" si="21"/>
        <v>0</v>
      </c>
      <c r="F41" s="44">
        <f t="shared" si="22"/>
        <v>0</v>
      </c>
      <c r="G41" s="44">
        <f t="shared" si="23"/>
        <v>1575</v>
      </c>
      <c r="H41" s="44">
        <f t="shared" si="24"/>
        <v>5025</v>
      </c>
      <c r="I41" s="44">
        <f t="shared" si="25"/>
        <v>1417.5</v>
      </c>
      <c r="J41" s="44">
        <f t="shared" si="26"/>
        <v>2126.25</v>
      </c>
      <c r="K41" s="44">
        <f t="shared" si="27"/>
        <v>1102.5</v>
      </c>
      <c r="L41" s="44">
        <f t="shared" si="28"/>
        <v>3750</v>
      </c>
      <c r="M41" s="44">
        <f t="shared" si="13"/>
        <v>22500</v>
      </c>
      <c r="N41" s="45">
        <f>'OP8 part 1 analysis'!G58</f>
        <v>0.39759036144578308</v>
      </c>
      <c r="O41" s="46">
        <f t="shared" si="14"/>
        <v>3524.1</v>
      </c>
      <c r="P41" s="46">
        <f t="shared" si="14"/>
        <v>237.2</v>
      </c>
      <c r="Q41" s="46">
        <f t="shared" si="14"/>
        <v>759.04</v>
      </c>
      <c r="R41" s="46">
        <f t="shared" si="14"/>
        <v>0</v>
      </c>
      <c r="S41" s="46">
        <f t="shared" si="14"/>
        <v>0</v>
      </c>
      <c r="T41" s="46">
        <f t="shared" si="14"/>
        <v>948.8</v>
      </c>
      <c r="U41" s="46">
        <f t="shared" si="14"/>
        <v>3027.1099999999997</v>
      </c>
      <c r="V41" s="46">
        <f t="shared" si="14"/>
        <v>853.92</v>
      </c>
      <c r="W41" s="46">
        <f t="shared" si="14"/>
        <v>1280.8699999999999</v>
      </c>
      <c r="X41" s="46">
        <f t="shared" si="14"/>
        <v>664.16000000000008</v>
      </c>
      <c r="Y41" s="46">
        <f t="shared" si="14"/>
        <v>2259.04</v>
      </c>
      <c r="Z41" s="46">
        <f t="shared" si="15"/>
        <v>13554.240000000002</v>
      </c>
      <c r="AA41" s="46">
        <f t="shared" si="16"/>
        <v>2325.9</v>
      </c>
      <c r="AB41" s="46">
        <f t="shared" si="16"/>
        <v>156.55000000000001</v>
      </c>
      <c r="AC41" s="46">
        <f t="shared" si="16"/>
        <v>500.96</v>
      </c>
      <c r="AD41" s="46">
        <f t="shared" si="16"/>
        <v>0</v>
      </c>
      <c r="AE41" s="46">
        <f t="shared" si="16"/>
        <v>0</v>
      </c>
      <c r="AF41" s="46">
        <f t="shared" si="16"/>
        <v>626.20000000000005</v>
      </c>
      <c r="AG41" s="46">
        <f t="shared" si="16"/>
        <v>1997.89</v>
      </c>
      <c r="AH41" s="46">
        <f t="shared" si="16"/>
        <v>563.58000000000004</v>
      </c>
      <c r="AI41" s="46">
        <f t="shared" si="16"/>
        <v>845.38</v>
      </c>
      <c r="AJ41" s="46">
        <f t="shared" si="16"/>
        <v>438.34</v>
      </c>
      <c r="AK41" s="46">
        <f t="shared" si="16"/>
        <v>1490.96</v>
      </c>
      <c r="AL41" s="46">
        <f t="shared" si="17"/>
        <v>8945.760000000002</v>
      </c>
    </row>
    <row r="42" spans="1:38" x14ac:dyDescent="0.2">
      <c r="A42" s="43" t="s">
        <v>196</v>
      </c>
      <c r="B42" s="44">
        <f t="shared" si="18"/>
        <v>2526</v>
      </c>
      <c r="C42" s="44">
        <f t="shared" si="19"/>
        <v>281.25</v>
      </c>
      <c r="D42" s="44">
        <f t="shared" si="20"/>
        <v>900</v>
      </c>
      <c r="E42" s="44">
        <f t="shared" si="21"/>
        <v>0</v>
      </c>
      <c r="F42" s="44">
        <f t="shared" si="22"/>
        <v>360</v>
      </c>
      <c r="G42" s="44">
        <f t="shared" si="23"/>
        <v>1125</v>
      </c>
      <c r="H42" s="44">
        <f t="shared" si="24"/>
        <v>2490</v>
      </c>
      <c r="I42" s="44">
        <f t="shared" si="25"/>
        <v>1012.5</v>
      </c>
      <c r="J42" s="44">
        <f t="shared" si="26"/>
        <v>1518.75</v>
      </c>
      <c r="K42" s="44">
        <f t="shared" si="27"/>
        <v>787.5</v>
      </c>
      <c r="L42" s="44">
        <f t="shared" si="28"/>
        <v>930</v>
      </c>
      <c r="M42" s="44">
        <f t="shared" si="13"/>
        <v>11931</v>
      </c>
      <c r="N42" s="45">
        <f>'OP8 part 1 analysis'!G59</f>
        <v>0.59459459459459452</v>
      </c>
      <c r="O42" s="46">
        <f t="shared" si="14"/>
        <v>1024.05</v>
      </c>
      <c r="P42" s="46">
        <f t="shared" si="14"/>
        <v>114.02000000000001</v>
      </c>
      <c r="Q42" s="46">
        <f t="shared" si="14"/>
        <v>364.86</v>
      </c>
      <c r="R42" s="46">
        <f t="shared" si="14"/>
        <v>0</v>
      </c>
      <c r="S42" s="46">
        <f t="shared" si="14"/>
        <v>145.94999999999999</v>
      </c>
      <c r="T42" s="46">
        <f t="shared" si="14"/>
        <v>456.08000000000004</v>
      </c>
      <c r="U42" s="46">
        <f t="shared" si="14"/>
        <v>1009.46</v>
      </c>
      <c r="V42" s="46">
        <f t="shared" si="14"/>
        <v>410.47</v>
      </c>
      <c r="W42" s="46">
        <f t="shared" si="14"/>
        <v>615.71</v>
      </c>
      <c r="X42" s="46">
        <f t="shared" ref="X42:Y103" si="29">K42-AJ42</f>
        <v>319.26</v>
      </c>
      <c r="Y42" s="46">
        <f t="shared" si="29"/>
        <v>377.03</v>
      </c>
      <c r="Z42" s="46">
        <f t="shared" si="15"/>
        <v>4836.8900000000003</v>
      </c>
      <c r="AA42" s="46">
        <f t="shared" si="16"/>
        <v>1501.95</v>
      </c>
      <c r="AB42" s="46">
        <f t="shared" si="16"/>
        <v>167.23</v>
      </c>
      <c r="AC42" s="46">
        <f t="shared" si="16"/>
        <v>535.14</v>
      </c>
      <c r="AD42" s="46">
        <f t="shared" si="16"/>
        <v>0</v>
      </c>
      <c r="AE42" s="46">
        <f t="shared" si="16"/>
        <v>214.05</v>
      </c>
      <c r="AF42" s="46">
        <f t="shared" si="16"/>
        <v>668.92</v>
      </c>
      <c r="AG42" s="46">
        <f t="shared" si="16"/>
        <v>1480.54</v>
      </c>
      <c r="AH42" s="46">
        <f t="shared" si="16"/>
        <v>602.03</v>
      </c>
      <c r="AI42" s="46">
        <f t="shared" si="16"/>
        <v>903.04</v>
      </c>
      <c r="AJ42" s="46">
        <f t="shared" ref="AJ42:AK103" si="30">ROUND(K42*$N42,2)</f>
        <v>468.24</v>
      </c>
      <c r="AK42" s="46">
        <f t="shared" si="30"/>
        <v>552.97</v>
      </c>
      <c r="AL42" s="46">
        <f t="shared" si="17"/>
        <v>7094.11</v>
      </c>
    </row>
    <row r="43" spans="1:38" x14ac:dyDescent="0.2">
      <c r="A43" s="43" t="s">
        <v>197</v>
      </c>
      <c r="B43" s="44">
        <f t="shared" si="18"/>
        <v>2100</v>
      </c>
      <c r="C43" s="44">
        <f t="shared" si="19"/>
        <v>138</v>
      </c>
      <c r="D43" s="44">
        <f t="shared" si="20"/>
        <v>441.6</v>
      </c>
      <c r="E43" s="44">
        <f t="shared" si="21"/>
        <v>0</v>
      </c>
      <c r="F43" s="44">
        <f t="shared" si="22"/>
        <v>120</v>
      </c>
      <c r="G43" s="44">
        <f t="shared" si="23"/>
        <v>552</v>
      </c>
      <c r="H43" s="44">
        <f t="shared" si="24"/>
        <v>4800</v>
      </c>
      <c r="I43" s="44">
        <f t="shared" si="25"/>
        <v>496.8</v>
      </c>
      <c r="J43" s="44">
        <f t="shared" si="26"/>
        <v>745.2</v>
      </c>
      <c r="K43" s="44">
        <f t="shared" si="27"/>
        <v>386.4</v>
      </c>
      <c r="L43" s="44">
        <f t="shared" si="28"/>
        <v>3000</v>
      </c>
      <c r="M43" s="44">
        <f t="shared" si="13"/>
        <v>12780</v>
      </c>
      <c r="N43" s="45">
        <f>'OP8 part 1 analysis'!G60</f>
        <v>0.20886075949367086</v>
      </c>
      <c r="O43" s="46">
        <f t="shared" ref="O43:W71" si="31">B43-AA43</f>
        <v>1661.3899999999999</v>
      </c>
      <c r="P43" s="46">
        <f t="shared" si="31"/>
        <v>109.18</v>
      </c>
      <c r="Q43" s="46">
        <f t="shared" si="31"/>
        <v>349.37</v>
      </c>
      <c r="R43" s="46">
        <f t="shared" si="31"/>
        <v>0</v>
      </c>
      <c r="S43" s="46">
        <f t="shared" si="31"/>
        <v>94.94</v>
      </c>
      <c r="T43" s="46">
        <f t="shared" si="31"/>
        <v>436.71</v>
      </c>
      <c r="U43" s="46">
        <f t="shared" si="31"/>
        <v>3797.4700000000003</v>
      </c>
      <c r="V43" s="46">
        <f t="shared" si="31"/>
        <v>393.04</v>
      </c>
      <c r="W43" s="46">
        <f t="shared" si="31"/>
        <v>589.56000000000006</v>
      </c>
      <c r="X43" s="46">
        <f t="shared" si="29"/>
        <v>305.7</v>
      </c>
      <c r="Y43" s="46">
        <f t="shared" si="29"/>
        <v>2373.42</v>
      </c>
      <c r="Z43" s="46">
        <f t="shared" si="15"/>
        <v>10110.780000000001</v>
      </c>
      <c r="AA43" s="46">
        <f t="shared" ref="AA43:AI71" si="32">ROUND(B43*$N43,2)</f>
        <v>438.61</v>
      </c>
      <c r="AB43" s="46">
        <f t="shared" si="32"/>
        <v>28.82</v>
      </c>
      <c r="AC43" s="46">
        <f t="shared" si="32"/>
        <v>92.23</v>
      </c>
      <c r="AD43" s="46">
        <f t="shared" si="32"/>
        <v>0</v>
      </c>
      <c r="AE43" s="46">
        <f t="shared" si="32"/>
        <v>25.06</v>
      </c>
      <c r="AF43" s="46">
        <f t="shared" si="32"/>
        <v>115.29</v>
      </c>
      <c r="AG43" s="46">
        <f t="shared" si="32"/>
        <v>1002.53</v>
      </c>
      <c r="AH43" s="46">
        <f t="shared" si="32"/>
        <v>103.76</v>
      </c>
      <c r="AI43" s="46">
        <f t="shared" si="32"/>
        <v>155.63999999999999</v>
      </c>
      <c r="AJ43" s="46">
        <f t="shared" si="30"/>
        <v>80.7</v>
      </c>
      <c r="AK43" s="46">
        <f t="shared" si="30"/>
        <v>626.58000000000004</v>
      </c>
      <c r="AL43" s="46">
        <f t="shared" si="17"/>
        <v>2669.2200000000003</v>
      </c>
    </row>
    <row r="44" spans="1:38" x14ac:dyDescent="0.2">
      <c r="A44" s="43" t="s">
        <v>198</v>
      </c>
      <c r="B44" s="44">
        <f t="shared" si="18"/>
        <v>9300</v>
      </c>
      <c r="C44" s="44">
        <f t="shared" si="19"/>
        <v>2500</v>
      </c>
      <c r="D44" s="44">
        <f t="shared" si="20"/>
        <v>628.79999999999995</v>
      </c>
      <c r="E44" s="44">
        <f t="shared" si="21"/>
        <v>0</v>
      </c>
      <c r="F44" s="44">
        <f t="shared" si="22"/>
        <v>300</v>
      </c>
      <c r="G44" s="44">
        <f t="shared" si="23"/>
        <v>786</v>
      </c>
      <c r="H44" s="44">
        <f t="shared" si="24"/>
        <v>9500</v>
      </c>
      <c r="I44" s="44">
        <f t="shared" si="25"/>
        <v>1500</v>
      </c>
      <c r="J44" s="44">
        <f t="shared" si="26"/>
        <v>1061.0999999999999</v>
      </c>
      <c r="K44" s="44">
        <f t="shared" si="27"/>
        <v>550.20000000000005</v>
      </c>
      <c r="L44" s="44">
        <f t="shared" si="28"/>
        <v>1560</v>
      </c>
      <c r="M44" s="44">
        <f t="shared" si="13"/>
        <v>27686.1</v>
      </c>
      <c r="N44" s="45">
        <f>'OP8 part 1 analysis'!G61</f>
        <v>0</v>
      </c>
      <c r="O44" s="46">
        <f t="shared" si="31"/>
        <v>9300</v>
      </c>
      <c r="P44" s="46">
        <f t="shared" si="31"/>
        <v>2500</v>
      </c>
      <c r="Q44" s="46">
        <f t="shared" si="31"/>
        <v>628.79999999999995</v>
      </c>
      <c r="R44" s="46">
        <f t="shared" si="31"/>
        <v>0</v>
      </c>
      <c r="S44" s="46">
        <f t="shared" si="31"/>
        <v>300</v>
      </c>
      <c r="T44" s="46">
        <f t="shared" si="31"/>
        <v>786</v>
      </c>
      <c r="U44" s="46">
        <f t="shared" si="31"/>
        <v>9500</v>
      </c>
      <c r="V44" s="46">
        <f t="shared" si="31"/>
        <v>1500</v>
      </c>
      <c r="W44" s="46">
        <f t="shared" si="31"/>
        <v>1061.0999999999999</v>
      </c>
      <c r="X44" s="46">
        <f t="shared" si="29"/>
        <v>550.20000000000005</v>
      </c>
      <c r="Y44" s="46">
        <f t="shared" si="29"/>
        <v>1560</v>
      </c>
      <c r="Z44" s="46">
        <f t="shared" si="15"/>
        <v>27686.1</v>
      </c>
      <c r="AA44" s="46">
        <f t="shared" si="32"/>
        <v>0</v>
      </c>
      <c r="AB44" s="46">
        <f t="shared" si="32"/>
        <v>0</v>
      </c>
      <c r="AC44" s="46">
        <f t="shared" si="32"/>
        <v>0</v>
      </c>
      <c r="AD44" s="46">
        <f t="shared" si="32"/>
        <v>0</v>
      </c>
      <c r="AE44" s="46">
        <f t="shared" si="32"/>
        <v>0</v>
      </c>
      <c r="AF44" s="46">
        <f t="shared" si="32"/>
        <v>0</v>
      </c>
      <c r="AG44" s="46">
        <f t="shared" si="32"/>
        <v>0</v>
      </c>
      <c r="AH44" s="46">
        <f t="shared" si="32"/>
        <v>0</v>
      </c>
      <c r="AI44" s="46">
        <f t="shared" si="32"/>
        <v>0</v>
      </c>
      <c r="AJ44" s="46">
        <f t="shared" si="30"/>
        <v>0</v>
      </c>
      <c r="AK44" s="46">
        <f t="shared" si="30"/>
        <v>0</v>
      </c>
      <c r="AL44" s="46">
        <f t="shared" si="17"/>
        <v>0</v>
      </c>
    </row>
    <row r="45" spans="1:38" x14ac:dyDescent="0.2">
      <c r="A45" s="43" t="s">
        <v>199</v>
      </c>
      <c r="B45" s="44">
        <f t="shared" si="18"/>
        <v>385.16</v>
      </c>
      <c r="C45" s="44">
        <f t="shared" si="19"/>
        <v>221.5</v>
      </c>
      <c r="D45" s="44">
        <f t="shared" si="20"/>
        <v>708.81</v>
      </c>
      <c r="E45" s="44">
        <f t="shared" si="21"/>
        <v>0</v>
      </c>
      <c r="F45" s="44">
        <f t="shared" si="22"/>
        <v>0</v>
      </c>
      <c r="G45" s="44">
        <f t="shared" si="23"/>
        <v>886.02</v>
      </c>
      <c r="H45" s="44">
        <f t="shared" si="24"/>
        <v>11092.52</v>
      </c>
      <c r="I45" s="44">
        <f t="shared" si="25"/>
        <v>797.41</v>
      </c>
      <c r="J45" s="44">
        <f t="shared" si="26"/>
        <v>1196.1199999999999</v>
      </c>
      <c r="K45" s="44">
        <f t="shared" si="27"/>
        <v>620.21</v>
      </c>
      <c r="L45" s="44">
        <f t="shared" si="28"/>
        <v>4493.24</v>
      </c>
      <c r="M45" s="44">
        <f t="shared" si="13"/>
        <v>20400.989999999998</v>
      </c>
      <c r="N45" s="45">
        <f>'OP8 part 1 analysis'!G62</f>
        <v>0.53987730061349692</v>
      </c>
      <c r="O45" s="46">
        <f t="shared" si="31"/>
        <v>177.22000000000003</v>
      </c>
      <c r="P45" s="46">
        <f t="shared" si="31"/>
        <v>101.92</v>
      </c>
      <c r="Q45" s="46">
        <f t="shared" si="31"/>
        <v>326.13999999999993</v>
      </c>
      <c r="R45" s="46">
        <f t="shared" si="31"/>
        <v>0</v>
      </c>
      <c r="S45" s="46">
        <f t="shared" si="31"/>
        <v>0</v>
      </c>
      <c r="T45" s="46">
        <f t="shared" si="31"/>
        <v>407.68</v>
      </c>
      <c r="U45" s="46">
        <f t="shared" si="31"/>
        <v>5103.92</v>
      </c>
      <c r="V45" s="46">
        <f t="shared" si="31"/>
        <v>366.90999999999997</v>
      </c>
      <c r="W45" s="46">
        <f t="shared" si="31"/>
        <v>550.3599999999999</v>
      </c>
      <c r="X45" s="46">
        <f t="shared" si="29"/>
        <v>285.37000000000006</v>
      </c>
      <c r="Y45" s="46">
        <f t="shared" si="29"/>
        <v>2067.4399999999996</v>
      </c>
      <c r="Z45" s="46">
        <f t="shared" si="15"/>
        <v>9386.9599999999991</v>
      </c>
      <c r="AA45" s="46">
        <f t="shared" si="32"/>
        <v>207.94</v>
      </c>
      <c r="AB45" s="46">
        <f t="shared" si="32"/>
        <v>119.58</v>
      </c>
      <c r="AC45" s="46">
        <f t="shared" si="32"/>
        <v>382.67</v>
      </c>
      <c r="AD45" s="46">
        <f t="shared" si="32"/>
        <v>0</v>
      </c>
      <c r="AE45" s="46">
        <f t="shared" si="32"/>
        <v>0</v>
      </c>
      <c r="AF45" s="46">
        <f t="shared" si="32"/>
        <v>478.34</v>
      </c>
      <c r="AG45" s="46">
        <f t="shared" si="32"/>
        <v>5988.6</v>
      </c>
      <c r="AH45" s="46">
        <f t="shared" si="32"/>
        <v>430.5</v>
      </c>
      <c r="AI45" s="46">
        <f t="shared" si="32"/>
        <v>645.76</v>
      </c>
      <c r="AJ45" s="46">
        <f t="shared" si="30"/>
        <v>334.84</v>
      </c>
      <c r="AK45" s="46">
        <f t="shared" si="30"/>
        <v>2425.8000000000002</v>
      </c>
      <c r="AL45" s="46">
        <f t="shared" si="17"/>
        <v>11014.029999999999</v>
      </c>
    </row>
    <row r="46" spans="1:38" x14ac:dyDescent="0.2">
      <c r="A46" s="43" t="s">
        <v>200</v>
      </c>
      <c r="B46" s="44">
        <f t="shared" si="18"/>
        <v>3300</v>
      </c>
      <c r="C46" s="44">
        <f t="shared" si="19"/>
        <v>945</v>
      </c>
      <c r="D46" s="44">
        <f t="shared" si="20"/>
        <v>3024</v>
      </c>
      <c r="E46" s="44">
        <f t="shared" si="21"/>
        <v>0</v>
      </c>
      <c r="F46" s="44">
        <f t="shared" si="22"/>
        <v>0</v>
      </c>
      <c r="G46" s="44">
        <f t="shared" si="23"/>
        <v>3780</v>
      </c>
      <c r="H46" s="44">
        <f t="shared" si="24"/>
        <v>12300</v>
      </c>
      <c r="I46" s="44">
        <f t="shared" si="25"/>
        <v>3402</v>
      </c>
      <c r="J46" s="44">
        <f t="shared" si="26"/>
        <v>5103</v>
      </c>
      <c r="K46" s="44">
        <f t="shared" si="27"/>
        <v>2646</v>
      </c>
      <c r="L46" s="44">
        <f t="shared" si="28"/>
        <v>900</v>
      </c>
      <c r="M46" s="44">
        <f t="shared" si="13"/>
        <v>35400</v>
      </c>
      <c r="N46" s="45">
        <f>'OP8 part 1 analysis'!G63</f>
        <v>0</v>
      </c>
      <c r="O46" s="46">
        <f t="shared" si="31"/>
        <v>3300</v>
      </c>
      <c r="P46" s="46">
        <f t="shared" si="31"/>
        <v>945</v>
      </c>
      <c r="Q46" s="46">
        <f t="shared" si="31"/>
        <v>3024</v>
      </c>
      <c r="R46" s="46">
        <f t="shared" si="31"/>
        <v>0</v>
      </c>
      <c r="S46" s="46">
        <f t="shared" si="31"/>
        <v>0</v>
      </c>
      <c r="T46" s="46">
        <f t="shared" si="31"/>
        <v>3780</v>
      </c>
      <c r="U46" s="46">
        <f t="shared" si="31"/>
        <v>12300</v>
      </c>
      <c r="V46" s="46">
        <f t="shared" si="31"/>
        <v>3402</v>
      </c>
      <c r="W46" s="46">
        <f t="shared" si="31"/>
        <v>5103</v>
      </c>
      <c r="X46" s="46">
        <f t="shared" si="29"/>
        <v>2646</v>
      </c>
      <c r="Y46" s="46">
        <f t="shared" si="29"/>
        <v>900</v>
      </c>
      <c r="Z46" s="46">
        <f t="shared" si="15"/>
        <v>35400</v>
      </c>
      <c r="AA46" s="46">
        <f t="shared" si="32"/>
        <v>0</v>
      </c>
      <c r="AB46" s="46">
        <f t="shared" si="32"/>
        <v>0</v>
      </c>
      <c r="AC46" s="46">
        <f t="shared" si="32"/>
        <v>0</v>
      </c>
      <c r="AD46" s="46">
        <f t="shared" si="32"/>
        <v>0</v>
      </c>
      <c r="AE46" s="46">
        <f t="shared" si="32"/>
        <v>0</v>
      </c>
      <c r="AF46" s="46">
        <f t="shared" si="32"/>
        <v>0</v>
      </c>
      <c r="AG46" s="46">
        <f t="shared" si="32"/>
        <v>0</v>
      </c>
      <c r="AH46" s="46">
        <f t="shared" si="32"/>
        <v>0</v>
      </c>
      <c r="AI46" s="46">
        <f t="shared" si="32"/>
        <v>0</v>
      </c>
      <c r="AJ46" s="46">
        <f t="shared" si="30"/>
        <v>0</v>
      </c>
      <c r="AK46" s="46">
        <f t="shared" si="30"/>
        <v>0</v>
      </c>
      <c r="AL46" s="46">
        <f t="shared" si="17"/>
        <v>0</v>
      </c>
    </row>
    <row r="47" spans="1:38" x14ac:dyDescent="0.2">
      <c r="A47" s="43" t="s">
        <v>201</v>
      </c>
      <c r="B47" s="44">
        <f t="shared" si="18"/>
        <v>2625</v>
      </c>
      <c r="C47" s="44">
        <f t="shared" si="19"/>
        <v>162.38</v>
      </c>
      <c r="D47" s="44">
        <f t="shared" si="20"/>
        <v>519.6</v>
      </c>
      <c r="E47" s="44">
        <f t="shared" si="21"/>
        <v>0</v>
      </c>
      <c r="F47" s="44">
        <f t="shared" si="22"/>
        <v>577.5</v>
      </c>
      <c r="G47" s="44">
        <f t="shared" si="23"/>
        <v>649.5</v>
      </c>
      <c r="H47" s="44">
        <f t="shared" si="24"/>
        <v>20625</v>
      </c>
      <c r="I47" s="44">
        <f t="shared" si="25"/>
        <v>584.54999999999995</v>
      </c>
      <c r="J47" s="44">
        <f t="shared" si="26"/>
        <v>876.83</v>
      </c>
      <c r="K47" s="44">
        <f t="shared" si="27"/>
        <v>454.65</v>
      </c>
      <c r="L47" s="44">
        <f t="shared" si="28"/>
        <v>300</v>
      </c>
      <c r="M47" s="44">
        <f t="shared" si="13"/>
        <v>27375.010000000002</v>
      </c>
      <c r="N47" s="45">
        <f>'OP8 part 1 analysis'!G64</f>
        <v>9.3778639783456599E-4</v>
      </c>
      <c r="O47" s="46">
        <f t="shared" si="31"/>
        <v>2622.54</v>
      </c>
      <c r="P47" s="46">
        <f t="shared" si="31"/>
        <v>162.22999999999999</v>
      </c>
      <c r="Q47" s="46">
        <f t="shared" si="31"/>
        <v>519.11</v>
      </c>
      <c r="R47" s="46">
        <f t="shared" si="31"/>
        <v>0</v>
      </c>
      <c r="S47" s="46">
        <f t="shared" si="31"/>
        <v>576.96</v>
      </c>
      <c r="T47" s="46">
        <f t="shared" si="31"/>
        <v>648.89</v>
      </c>
      <c r="U47" s="46">
        <f t="shared" si="31"/>
        <v>20605.66</v>
      </c>
      <c r="V47" s="46">
        <f t="shared" si="31"/>
        <v>584</v>
      </c>
      <c r="W47" s="46">
        <f t="shared" si="31"/>
        <v>876.01</v>
      </c>
      <c r="X47" s="46">
        <f t="shared" si="29"/>
        <v>454.21999999999997</v>
      </c>
      <c r="Y47" s="46">
        <f t="shared" si="29"/>
        <v>299.72000000000003</v>
      </c>
      <c r="Z47" s="46">
        <f t="shared" si="15"/>
        <v>27349.34</v>
      </c>
      <c r="AA47" s="46">
        <f t="shared" si="32"/>
        <v>2.46</v>
      </c>
      <c r="AB47" s="46">
        <f t="shared" si="32"/>
        <v>0.15</v>
      </c>
      <c r="AC47" s="46">
        <f t="shared" si="32"/>
        <v>0.49</v>
      </c>
      <c r="AD47" s="46">
        <f t="shared" si="32"/>
        <v>0</v>
      </c>
      <c r="AE47" s="46">
        <f t="shared" si="32"/>
        <v>0.54</v>
      </c>
      <c r="AF47" s="46">
        <f t="shared" si="32"/>
        <v>0.61</v>
      </c>
      <c r="AG47" s="46">
        <f t="shared" si="32"/>
        <v>19.34</v>
      </c>
      <c r="AH47" s="46">
        <f t="shared" si="32"/>
        <v>0.55000000000000004</v>
      </c>
      <c r="AI47" s="46">
        <f t="shared" si="32"/>
        <v>0.82</v>
      </c>
      <c r="AJ47" s="46">
        <f t="shared" si="30"/>
        <v>0.43</v>
      </c>
      <c r="AK47" s="46">
        <f t="shared" si="30"/>
        <v>0.28000000000000003</v>
      </c>
      <c r="AL47" s="46">
        <f t="shared" si="17"/>
        <v>25.67</v>
      </c>
    </row>
    <row r="48" spans="1:38" x14ac:dyDescent="0.2">
      <c r="A48" s="43" t="s">
        <v>202</v>
      </c>
      <c r="B48" s="44">
        <f t="shared" si="18"/>
        <v>0</v>
      </c>
      <c r="C48" s="44">
        <f t="shared" si="19"/>
        <v>250</v>
      </c>
      <c r="D48" s="44">
        <f t="shared" si="20"/>
        <v>800</v>
      </c>
      <c r="E48" s="44">
        <f t="shared" si="21"/>
        <v>0</v>
      </c>
      <c r="F48" s="44">
        <f t="shared" si="22"/>
        <v>0</v>
      </c>
      <c r="G48" s="44">
        <f t="shared" si="23"/>
        <v>1000</v>
      </c>
      <c r="H48" s="44">
        <f t="shared" si="24"/>
        <v>15125</v>
      </c>
      <c r="I48" s="44">
        <f t="shared" si="25"/>
        <v>900</v>
      </c>
      <c r="J48" s="44">
        <f t="shared" si="26"/>
        <v>1350</v>
      </c>
      <c r="K48" s="44">
        <f t="shared" si="27"/>
        <v>700</v>
      </c>
      <c r="L48" s="44">
        <f t="shared" si="28"/>
        <v>0</v>
      </c>
      <c r="M48" s="44">
        <f t="shared" si="13"/>
        <v>20125</v>
      </c>
      <c r="N48" s="45">
        <f>'OP8 part 1 analysis'!G65</f>
        <v>0.53987730061349692</v>
      </c>
      <c r="O48" s="46">
        <f t="shared" si="31"/>
        <v>0</v>
      </c>
      <c r="P48" s="46">
        <f t="shared" si="31"/>
        <v>115.03</v>
      </c>
      <c r="Q48" s="46">
        <f t="shared" si="31"/>
        <v>368.1</v>
      </c>
      <c r="R48" s="46">
        <f t="shared" si="31"/>
        <v>0</v>
      </c>
      <c r="S48" s="46">
        <f t="shared" si="31"/>
        <v>0</v>
      </c>
      <c r="T48" s="46">
        <f t="shared" si="31"/>
        <v>460.12</v>
      </c>
      <c r="U48" s="46">
        <f t="shared" si="31"/>
        <v>6959.36</v>
      </c>
      <c r="V48" s="46">
        <f t="shared" si="31"/>
        <v>414.11</v>
      </c>
      <c r="W48" s="46">
        <f t="shared" si="31"/>
        <v>621.16999999999996</v>
      </c>
      <c r="X48" s="46">
        <f t="shared" si="29"/>
        <v>322.08999999999997</v>
      </c>
      <c r="Y48" s="46">
        <f t="shared" si="29"/>
        <v>0</v>
      </c>
      <c r="Z48" s="46">
        <f t="shared" si="15"/>
        <v>9259.98</v>
      </c>
      <c r="AA48" s="46">
        <f t="shared" si="32"/>
        <v>0</v>
      </c>
      <c r="AB48" s="46">
        <f t="shared" si="32"/>
        <v>134.97</v>
      </c>
      <c r="AC48" s="46">
        <f t="shared" si="32"/>
        <v>431.9</v>
      </c>
      <c r="AD48" s="46">
        <f t="shared" si="32"/>
        <v>0</v>
      </c>
      <c r="AE48" s="46">
        <f t="shared" si="32"/>
        <v>0</v>
      </c>
      <c r="AF48" s="46">
        <f t="shared" si="32"/>
        <v>539.88</v>
      </c>
      <c r="AG48" s="46">
        <f t="shared" si="32"/>
        <v>8165.64</v>
      </c>
      <c r="AH48" s="46">
        <f t="shared" si="32"/>
        <v>485.89</v>
      </c>
      <c r="AI48" s="46">
        <f t="shared" si="32"/>
        <v>728.83</v>
      </c>
      <c r="AJ48" s="46">
        <f t="shared" si="30"/>
        <v>377.91</v>
      </c>
      <c r="AK48" s="46">
        <f t="shared" si="30"/>
        <v>0</v>
      </c>
      <c r="AL48" s="46">
        <f t="shared" si="17"/>
        <v>10865.019999999999</v>
      </c>
    </row>
    <row r="49" spans="1:38" x14ac:dyDescent="0.2">
      <c r="A49" s="43" t="s">
        <v>203</v>
      </c>
      <c r="B49" s="44">
        <f t="shared" si="18"/>
        <v>3600</v>
      </c>
      <c r="C49" s="44">
        <f t="shared" si="19"/>
        <v>60</v>
      </c>
      <c r="D49" s="44">
        <f t="shared" si="20"/>
        <v>192</v>
      </c>
      <c r="E49" s="44">
        <f t="shared" si="21"/>
        <v>0</v>
      </c>
      <c r="F49" s="44">
        <f t="shared" si="22"/>
        <v>480</v>
      </c>
      <c r="G49" s="44">
        <f t="shared" si="23"/>
        <v>240</v>
      </c>
      <c r="H49" s="44">
        <f t="shared" si="24"/>
        <v>11220</v>
      </c>
      <c r="I49" s="44">
        <f t="shared" si="25"/>
        <v>216</v>
      </c>
      <c r="J49" s="44">
        <f t="shared" si="26"/>
        <v>324</v>
      </c>
      <c r="K49" s="44">
        <f t="shared" si="27"/>
        <v>168</v>
      </c>
      <c r="L49" s="44">
        <f t="shared" si="28"/>
        <v>600</v>
      </c>
      <c r="M49" s="44">
        <f t="shared" si="13"/>
        <v>17100</v>
      </c>
      <c r="N49" s="45">
        <f>'OP8 part 1 analysis'!G66</f>
        <v>0.58942400019269703</v>
      </c>
      <c r="O49" s="46">
        <f t="shared" si="31"/>
        <v>1478.0700000000002</v>
      </c>
      <c r="P49" s="46">
        <f t="shared" si="31"/>
        <v>24.630000000000003</v>
      </c>
      <c r="Q49" s="46">
        <f t="shared" si="31"/>
        <v>78.83</v>
      </c>
      <c r="R49" s="46">
        <f t="shared" si="31"/>
        <v>0</v>
      </c>
      <c r="S49" s="46">
        <f t="shared" si="31"/>
        <v>197.07999999999998</v>
      </c>
      <c r="T49" s="46">
        <f t="shared" si="31"/>
        <v>98.539999999999992</v>
      </c>
      <c r="U49" s="46">
        <f t="shared" si="31"/>
        <v>4606.66</v>
      </c>
      <c r="V49" s="46">
        <f t="shared" si="31"/>
        <v>88.68</v>
      </c>
      <c r="W49" s="46">
        <f t="shared" si="31"/>
        <v>133.03</v>
      </c>
      <c r="X49" s="46">
        <f t="shared" si="29"/>
        <v>68.98</v>
      </c>
      <c r="Y49" s="46">
        <f t="shared" si="29"/>
        <v>246.35000000000002</v>
      </c>
      <c r="Z49" s="46">
        <f t="shared" si="15"/>
        <v>7020.8499999999995</v>
      </c>
      <c r="AA49" s="46">
        <f t="shared" si="32"/>
        <v>2121.9299999999998</v>
      </c>
      <c r="AB49" s="46">
        <f t="shared" si="32"/>
        <v>35.369999999999997</v>
      </c>
      <c r="AC49" s="46">
        <f t="shared" si="32"/>
        <v>113.17</v>
      </c>
      <c r="AD49" s="46">
        <f t="shared" si="32"/>
        <v>0</v>
      </c>
      <c r="AE49" s="46">
        <f t="shared" si="32"/>
        <v>282.92</v>
      </c>
      <c r="AF49" s="46">
        <f t="shared" si="32"/>
        <v>141.46</v>
      </c>
      <c r="AG49" s="46">
        <f t="shared" si="32"/>
        <v>6613.34</v>
      </c>
      <c r="AH49" s="46">
        <f t="shared" si="32"/>
        <v>127.32</v>
      </c>
      <c r="AI49" s="46">
        <f t="shared" si="32"/>
        <v>190.97</v>
      </c>
      <c r="AJ49" s="46">
        <f t="shared" si="30"/>
        <v>99.02</v>
      </c>
      <c r="AK49" s="46">
        <f t="shared" si="30"/>
        <v>353.65</v>
      </c>
      <c r="AL49" s="46">
        <f t="shared" si="17"/>
        <v>10079.15</v>
      </c>
    </row>
    <row r="50" spans="1:38" x14ac:dyDescent="0.2">
      <c r="A50" s="43" t="s">
        <v>204</v>
      </c>
      <c r="B50" s="44">
        <f t="shared" si="18"/>
        <v>11289.78</v>
      </c>
      <c r="C50" s="44">
        <f t="shared" si="19"/>
        <v>177.81</v>
      </c>
      <c r="D50" s="44">
        <f t="shared" si="20"/>
        <v>569</v>
      </c>
      <c r="E50" s="44">
        <f t="shared" si="21"/>
        <v>0</v>
      </c>
      <c r="F50" s="44">
        <f t="shared" si="22"/>
        <v>188.16</v>
      </c>
      <c r="G50" s="44">
        <f t="shared" si="23"/>
        <v>711.26</v>
      </c>
      <c r="H50" s="44">
        <f t="shared" si="24"/>
        <v>5663.71</v>
      </c>
      <c r="I50" s="44">
        <f t="shared" si="25"/>
        <v>640.13</v>
      </c>
      <c r="J50" s="44">
        <f t="shared" si="26"/>
        <v>960.2</v>
      </c>
      <c r="K50" s="44">
        <f t="shared" si="27"/>
        <v>497.88</v>
      </c>
      <c r="L50" s="44">
        <f t="shared" si="28"/>
        <v>4704.07</v>
      </c>
      <c r="M50" s="44">
        <f t="shared" si="13"/>
        <v>25402.000000000004</v>
      </c>
      <c r="N50" s="45">
        <f>'OP8 part 1 analysis'!G67</f>
        <v>0.69987995198079234</v>
      </c>
      <c r="O50" s="46">
        <f t="shared" si="31"/>
        <v>3388.2900000000009</v>
      </c>
      <c r="P50" s="46">
        <f t="shared" si="31"/>
        <v>53.36</v>
      </c>
      <c r="Q50" s="46">
        <f t="shared" si="31"/>
        <v>170.76999999999998</v>
      </c>
      <c r="R50" s="46">
        <f t="shared" si="31"/>
        <v>0</v>
      </c>
      <c r="S50" s="46">
        <f t="shared" si="31"/>
        <v>56.47</v>
      </c>
      <c r="T50" s="46">
        <f t="shared" si="31"/>
        <v>213.45999999999998</v>
      </c>
      <c r="U50" s="46">
        <f t="shared" si="31"/>
        <v>1699.79</v>
      </c>
      <c r="V50" s="46">
        <f t="shared" si="31"/>
        <v>192.12</v>
      </c>
      <c r="W50" s="46">
        <f t="shared" si="31"/>
        <v>288.18000000000006</v>
      </c>
      <c r="X50" s="46">
        <f t="shared" si="29"/>
        <v>149.42000000000002</v>
      </c>
      <c r="Y50" s="46">
        <f t="shared" si="29"/>
        <v>1411.7899999999995</v>
      </c>
      <c r="Z50" s="46">
        <f t="shared" si="15"/>
        <v>7623.6500000000015</v>
      </c>
      <c r="AA50" s="46">
        <f t="shared" si="32"/>
        <v>7901.49</v>
      </c>
      <c r="AB50" s="46">
        <f t="shared" si="32"/>
        <v>124.45</v>
      </c>
      <c r="AC50" s="46">
        <f t="shared" si="32"/>
        <v>398.23</v>
      </c>
      <c r="AD50" s="46">
        <f t="shared" si="32"/>
        <v>0</v>
      </c>
      <c r="AE50" s="46">
        <f t="shared" si="32"/>
        <v>131.69</v>
      </c>
      <c r="AF50" s="46">
        <f t="shared" si="32"/>
        <v>497.8</v>
      </c>
      <c r="AG50" s="46">
        <f t="shared" si="32"/>
        <v>3963.92</v>
      </c>
      <c r="AH50" s="46">
        <f t="shared" si="32"/>
        <v>448.01</v>
      </c>
      <c r="AI50" s="46">
        <f t="shared" si="32"/>
        <v>672.02</v>
      </c>
      <c r="AJ50" s="46">
        <f t="shared" si="30"/>
        <v>348.46</v>
      </c>
      <c r="AK50" s="46">
        <f t="shared" si="30"/>
        <v>3292.28</v>
      </c>
      <c r="AL50" s="46">
        <f t="shared" si="17"/>
        <v>17778.349999999999</v>
      </c>
    </row>
    <row r="51" spans="1:38" x14ac:dyDescent="0.2">
      <c r="A51" s="43" t="s">
        <v>132</v>
      </c>
      <c r="B51" s="44">
        <f t="shared" si="18"/>
        <v>0</v>
      </c>
      <c r="C51" s="44">
        <f t="shared" si="19"/>
        <v>0</v>
      </c>
      <c r="D51" s="44">
        <f t="shared" si="20"/>
        <v>0</v>
      </c>
      <c r="E51" s="44">
        <f t="shared" si="21"/>
        <v>0</v>
      </c>
      <c r="F51" s="44">
        <f t="shared" si="22"/>
        <v>0</v>
      </c>
      <c r="G51" s="44">
        <f t="shared" si="23"/>
        <v>0</v>
      </c>
      <c r="H51" s="44">
        <f t="shared" si="24"/>
        <v>0</v>
      </c>
      <c r="I51" s="44">
        <f t="shared" si="25"/>
        <v>0</v>
      </c>
      <c r="J51" s="44">
        <f t="shared" si="26"/>
        <v>0</v>
      </c>
      <c r="K51" s="44">
        <f t="shared" si="27"/>
        <v>0</v>
      </c>
      <c r="L51" s="44">
        <f t="shared" si="28"/>
        <v>0</v>
      </c>
      <c r="M51" s="44">
        <f t="shared" si="13"/>
        <v>0</v>
      </c>
      <c r="N51" s="45">
        <f>'OP8 part 1 analysis'!G68</f>
        <v>0.88</v>
      </c>
      <c r="O51" s="46">
        <f t="shared" si="31"/>
        <v>0</v>
      </c>
      <c r="P51" s="46">
        <f t="shared" si="31"/>
        <v>0</v>
      </c>
      <c r="Q51" s="46">
        <f t="shared" si="31"/>
        <v>0</v>
      </c>
      <c r="R51" s="46">
        <f t="shared" si="31"/>
        <v>0</v>
      </c>
      <c r="S51" s="46">
        <f t="shared" si="31"/>
        <v>0</v>
      </c>
      <c r="T51" s="46">
        <f t="shared" si="31"/>
        <v>0</v>
      </c>
      <c r="U51" s="46">
        <f t="shared" si="31"/>
        <v>0</v>
      </c>
      <c r="V51" s="46">
        <f t="shared" si="31"/>
        <v>0</v>
      </c>
      <c r="W51" s="46">
        <f t="shared" si="31"/>
        <v>0</v>
      </c>
      <c r="X51" s="46">
        <f t="shared" si="29"/>
        <v>0</v>
      </c>
      <c r="Y51" s="46">
        <f t="shared" si="29"/>
        <v>0</v>
      </c>
      <c r="Z51" s="46">
        <f t="shared" si="15"/>
        <v>0</v>
      </c>
      <c r="AA51" s="46">
        <f t="shared" si="32"/>
        <v>0</v>
      </c>
      <c r="AB51" s="46">
        <f t="shared" si="32"/>
        <v>0</v>
      </c>
      <c r="AC51" s="46">
        <f t="shared" si="32"/>
        <v>0</v>
      </c>
      <c r="AD51" s="46">
        <f t="shared" si="32"/>
        <v>0</v>
      </c>
      <c r="AE51" s="46">
        <f t="shared" si="32"/>
        <v>0</v>
      </c>
      <c r="AF51" s="46">
        <f t="shared" si="32"/>
        <v>0</v>
      </c>
      <c r="AG51" s="46">
        <f t="shared" si="32"/>
        <v>0</v>
      </c>
      <c r="AH51" s="46">
        <f t="shared" si="32"/>
        <v>0</v>
      </c>
      <c r="AI51" s="46">
        <f t="shared" si="32"/>
        <v>0</v>
      </c>
      <c r="AJ51" s="46">
        <f t="shared" si="30"/>
        <v>0</v>
      </c>
      <c r="AK51" s="46">
        <f t="shared" si="30"/>
        <v>0</v>
      </c>
      <c r="AL51" s="46">
        <f t="shared" si="17"/>
        <v>0</v>
      </c>
    </row>
    <row r="52" spans="1:38" x14ac:dyDescent="0.2">
      <c r="A52" s="43" t="s">
        <v>205</v>
      </c>
      <c r="B52" s="44">
        <f t="shared" si="18"/>
        <v>3450</v>
      </c>
      <c r="C52" s="44">
        <f t="shared" si="19"/>
        <v>248.59</v>
      </c>
      <c r="D52" s="44">
        <f t="shared" si="20"/>
        <v>795.48</v>
      </c>
      <c r="E52" s="44">
        <f t="shared" si="21"/>
        <v>0</v>
      </c>
      <c r="F52" s="44">
        <f t="shared" si="22"/>
        <v>0</v>
      </c>
      <c r="G52" s="44">
        <f t="shared" si="23"/>
        <v>994.35</v>
      </c>
      <c r="H52" s="44">
        <f t="shared" si="24"/>
        <v>4875</v>
      </c>
      <c r="I52" s="44">
        <f t="shared" si="25"/>
        <v>894.92</v>
      </c>
      <c r="J52" s="44">
        <f t="shared" si="26"/>
        <v>1342.37</v>
      </c>
      <c r="K52" s="44">
        <f t="shared" si="27"/>
        <v>696.05</v>
      </c>
      <c r="L52" s="44">
        <f t="shared" si="28"/>
        <v>375</v>
      </c>
      <c r="M52" s="44">
        <f t="shared" si="13"/>
        <v>13671.759999999998</v>
      </c>
      <c r="N52" s="45">
        <f>'OP8 part 1 analysis'!G69</f>
        <v>0.62677282906195564</v>
      </c>
      <c r="O52" s="46">
        <f t="shared" si="31"/>
        <v>1287.6300000000001</v>
      </c>
      <c r="P52" s="46">
        <f t="shared" si="31"/>
        <v>92.78</v>
      </c>
      <c r="Q52" s="46">
        <f t="shared" si="31"/>
        <v>296.89000000000004</v>
      </c>
      <c r="R52" s="46">
        <f t="shared" si="31"/>
        <v>0</v>
      </c>
      <c r="S52" s="46">
        <f t="shared" si="31"/>
        <v>0</v>
      </c>
      <c r="T52" s="46">
        <f t="shared" si="31"/>
        <v>371.12</v>
      </c>
      <c r="U52" s="46">
        <f t="shared" si="31"/>
        <v>1819.48</v>
      </c>
      <c r="V52" s="46">
        <f t="shared" si="31"/>
        <v>334.01</v>
      </c>
      <c r="W52" s="46">
        <f t="shared" si="31"/>
        <v>501.00999999999988</v>
      </c>
      <c r="X52" s="46">
        <f t="shared" si="29"/>
        <v>259.77999999999997</v>
      </c>
      <c r="Y52" s="46">
        <f t="shared" si="29"/>
        <v>139.96</v>
      </c>
      <c r="Z52" s="46">
        <f t="shared" si="15"/>
        <v>5102.66</v>
      </c>
      <c r="AA52" s="46">
        <f t="shared" si="32"/>
        <v>2162.37</v>
      </c>
      <c r="AB52" s="46">
        <f t="shared" si="32"/>
        <v>155.81</v>
      </c>
      <c r="AC52" s="46">
        <f t="shared" si="32"/>
        <v>498.59</v>
      </c>
      <c r="AD52" s="46">
        <f t="shared" si="32"/>
        <v>0</v>
      </c>
      <c r="AE52" s="46">
        <f t="shared" si="32"/>
        <v>0</v>
      </c>
      <c r="AF52" s="46">
        <f t="shared" si="32"/>
        <v>623.23</v>
      </c>
      <c r="AG52" s="46">
        <f t="shared" si="32"/>
        <v>3055.52</v>
      </c>
      <c r="AH52" s="46">
        <f t="shared" si="32"/>
        <v>560.91</v>
      </c>
      <c r="AI52" s="46">
        <f t="shared" si="32"/>
        <v>841.36</v>
      </c>
      <c r="AJ52" s="46">
        <f t="shared" si="30"/>
        <v>436.27</v>
      </c>
      <c r="AK52" s="46">
        <f t="shared" si="30"/>
        <v>235.04</v>
      </c>
      <c r="AL52" s="46">
        <f t="shared" si="17"/>
        <v>8569.1</v>
      </c>
    </row>
    <row r="53" spans="1:38" x14ac:dyDescent="0.2">
      <c r="A53" s="43" t="s">
        <v>206</v>
      </c>
      <c r="B53" s="44">
        <f t="shared" si="18"/>
        <v>2000</v>
      </c>
      <c r="C53" s="44">
        <f t="shared" si="19"/>
        <v>225</v>
      </c>
      <c r="D53" s="44">
        <f t="shared" si="20"/>
        <v>720</v>
      </c>
      <c r="E53" s="44">
        <f t="shared" si="21"/>
        <v>0</v>
      </c>
      <c r="F53" s="44">
        <f t="shared" si="22"/>
        <v>0</v>
      </c>
      <c r="G53" s="44">
        <f t="shared" si="23"/>
        <v>1900</v>
      </c>
      <c r="H53" s="44">
        <f t="shared" si="24"/>
        <v>15422</v>
      </c>
      <c r="I53" s="44">
        <f t="shared" si="25"/>
        <v>810</v>
      </c>
      <c r="J53" s="44">
        <f t="shared" si="26"/>
        <v>215</v>
      </c>
      <c r="K53" s="44">
        <f t="shared" si="27"/>
        <v>630</v>
      </c>
      <c r="L53" s="44">
        <f t="shared" si="28"/>
        <v>580</v>
      </c>
      <c r="M53" s="44">
        <f t="shared" si="13"/>
        <v>22502</v>
      </c>
      <c r="N53" s="45">
        <f>'OP8 part 1 analysis'!G70</f>
        <v>0.33920704845814975</v>
      </c>
      <c r="O53" s="46">
        <f t="shared" si="31"/>
        <v>1321.5900000000001</v>
      </c>
      <c r="P53" s="46">
        <f t="shared" si="31"/>
        <v>148.68</v>
      </c>
      <c r="Q53" s="46">
        <f t="shared" si="31"/>
        <v>475.77</v>
      </c>
      <c r="R53" s="46">
        <f t="shared" si="31"/>
        <v>0</v>
      </c>
      <c r="S53" s="46">
        <f t="shared" si="31"/>
        <v>0</v>
      </c>
      <c r="T53" s="46">
        <f t="shared" si="31"/>
        <v>1255.51</v>
      </c>
      <c r="U53" s="46">
        <f t="shared" si="31"/>
        <v>10190.75</v>
      </c>
      <c r="V53" s="46">
        <f t="shared" si="31"/>
        <v>535.24</v>
      </c>
      <c r="W53" s="46">
        <f t="shared" si="31"/>
        <v>142.07</v>
      </c>
      <c r="X53" s="46">
        <f t="shared" si="29"/>
        <v>416.3</v>
      </c>
      <c r="Y53" s="46">
        <f t="shared" si="29"/>
        <v>383.26</v>
      </c>
      <c r="Z53" s="46">
        <f t="shared" si="15"/>
        <v>14869.169999999998</v>
      </c>
      <c r="AA53" s="46">
        <f t="shared" si="32"/>
        <v>678.41</v>
      </c>
      <c r="AB53" s="46">
        <f t="shared" si="32"/>
        <v>76.319999999999993</v>
      </c>
      <c r="AC53" s="46">
        <f t="shared" si="32"/>
        <v>244.23</v>
      </c>
      <c r="AD53" s="46">
        <f t="shared" si="32"/>
        <v>0</v>
      </c>
      <c r="AE53" s="46">
        <f t="shared" si="32"/>
        <v>0</v>
      </c>
      <c r="AF53" s="46">
        <f t="shared" si="32"/>
        <v>644.49</v>
      </c>
      <c r="AG53" s="46">
        <f t="shared" si="32"/>
        <v>5231.25</v>
      </c>
      <c r="AH53" s="46">
        <f t="shared" si="32"/>
        <v>274.76</v>
      </c>
      <c r="AI53" s="46">
        <f t="shared" si="32"/>
        <v>72.930000000000007</v>
      </c>
      <c r="AJ53" s="46">
        <f t="shared" si="30"/>
        <v>213.7</v>
      </c>
      <c r="AK53" s="46">
        <f t="shared" si="30"/>
        <v>196.74</v>
      </c>
      <c r="AL53" s="46">
        <f t="shared" si="17"/>
        <v>7632.83</v>
      </c>
    </row>
    <row r="54" spans="1:38" x14ac:dyDescent="0.2">
      <c r="A54" s="43" t="s">
        <v>207</v>
      </c>
      <c r="B54" s="44">
        <f t="shared" si="18"/>
        <v>10117.549999999999</v>
      </c>
      <c r="C54" s="44">
        <f t="shared" si="19"/>
        <v>722.03</v>
      </c>
      <c r="D54" s="44">
        <f t="shared" si="20"/>
        <v>2310.48</v>
      </c>
      <c r="E54" s="44">
        <f t="shared" si="21"/>
        <v>0</v>
      </c>
      <c r="F54" s="44">
        <f t="shared" si="22"/>
        <v>735.82</v>
      </c>
      <c r="G54" s="44">
        <f t="shared" si="23"/>
        <v>2888.1</v>
      </c>
      <c r="H54" s="44">
        <f t="shared" si="24"/>
        <v>9135.23</v>
      </c>
      <c r="I54" s="44">
        <f t="shared" si="25"/>
        <v>2599.29</v>
      </c>
      <c r="J54" s="44">
        <f t="shared" si="26"/>
        <v>3898.94</v>
      </c>
      <c r="K54" s="44">
        <f t="shared" si="27"/>
        <v>2021.67</v>
      </c>
      <c r="L54" s="44">
        <f t="shared" si="28"/>
        <v>4598.8900000000003</v>
      </c>
      <c r="M54" s="44">
        <f t="shared" si="13"/>
        <v>39028</v>
      </c>
      <c r="N54" s="45">
        <f>'OP8 part 1 analysis'!G71</f>
        <v>0</v>
      </c>
      <c r="O54" s="46">
        <f t="shared" si="31"/>
        <v>10117.549999999999</v>
      </c>
      <c r="P54" s="46">
        <f t="shared" si="31"/>
        <v>722.03</v>
      </c>
      <c r="Q54" s="46">
        <f t="shared" si="31"/>
        <v>2310.48</v>
      </c>
      <c r="R54" s="46">
        <f t="shared" si="31"/>
        <v>0</v>
      </c>
      <c r="S54" s="46">
        <f t="shared" si="31"/>
        <v>735.82</v>
      </c>
      <c r="T54" s="46">
        <f t="shared" si="31"/>
        <v>2888.1</v>
      </c>
      <c r="U54" s="46">
        <f t="shared" si="31"/>
        <v>9135.23</v>
      </c>
      <c r="V54" s="46">
        <f t="shared" si="31"/>
        <v>2599.29</v>
      </c>
      <c r="W54" s="46">
        <f t="shared" si="31"/>
        <v>3898.94</v>
      </c>
      <c r="X54" s="46">
        <f t="shared" si="29"/>
        <v>2021.67</v>
      </c>
      <c r="Y54" s="46">
        <f t="shared" si="29"/>
        <v>4598.8900000000003</v>
      </c>
      <c r="Z54" s="46">
        <f t="shared" si="15"/>
        <v>39028</v>
      </c>
      <c r="AA54" s="46">
        <f t="shared" si="32"/>
        <v>0</v>
      </c>
      <c r="AB54" s="46">
        <f t="shared" si="32"/>
        <v>0</v>
      </c>
      <c r="AC54" s="46">
        <f t="shared" si="32"/>
        <v>0</v>
      </c>
      <c r="AD54" s="46">
        <f t="shared" si="32"/>
        <v>0</v>
      </c>
      <c r="AE54" s="46">
        <f t="shared" si="32"/>
        <v>0</v>
      </c>
      <c r="AF54" s="46">
        <f t="shared" si="32"/>
        <v>0</v>
      </c>
      <c r="AG54" s="46">
        <f t="shared" si="32"/>
        <v>0</v>
      </c>
      <c r="AH54" s="46">
        <f t="shared" si="32"/>
        <v>0</v>
      </c>
      <c r="AI54" s="46">
        <f t="shared" si="32"/>
        <v>0</v>
      </c>
      <c r="AJ54" s="46">
        <f t="shared" si="30"/>
        <v>0</v>
      </c>
      <c r="AK54" s="46">
        <f t="shared" si="30"/>
        <v>0</v>
      </c>
      <c r="AL54" s="46">
        <f t="shared" si="17"/>
        <v>0</v>
      </c>
    </row>
    <row r="55" spans="1:38" x14ac:dyDescent="0.2">
      <c r="A55" s="43" t="s">
        <v>208</v>
      </c>
      <c r="B55" s="44">
        <f t="shared" si="18"/>
        <v>3504</v>
      </c>
      <c r="C55" s="44">
        <f t="shared" si="19"/>
        <v>51</v>
      </c>
      <c r="D55" s="44">
        <f t="shared" si="20"/>
        <v>163.19999999999999</v>
      </c>
      <c r="E55" s="44">
        <f t="shared" si="21"/>
        <v>0</v>
      </c>
      <c r="F55" s="44">
        <f t="shared" si="22"/>
        <v>0</v>
      </c>
      <c r="G55" s="44">
        <f t="shared" si="23"/>
        <v>204</v>
      </c>
      <c r="H55" s="44">
        <f t="shared" si="24"/>
        <v>4440</v>
      </c>
      <c r="I55" s="44">
        <f t="shared" si="25"/>
        <v>183.6</v>
      </c>
      <c r="J55" s="44">
        <f t="shared" si="26"/>
        <v>275.39999999999998</v>
      </c>
      <c r="K55" s="44">
        <f t="shared" si="27"/>
        <v>142.80000000000001</v>
      </c>
      <c r="L55" s="44">
        <f t="shared" si="28"/>
        <v>4423.2</v>
      </c>
      <c r="M55" s="44">
        <f t="shared" si="13"/>
        <v>13387.2</v>
      </c>
      <c r="N55" s="45">
        <f>'OP8 part 1 analysis'!G72</f>
        <v>0.42246166704822696</v>
      </c>
      <c r="O55" s="46">
        <f t="shared" si="31"/>
        <v>2023.69</v>
      </c>
      <c r="P55" s="46">
        <f t="shared" si="31"/>
        <v>29.45</v>
      </c>
      <c r="Q55" s="46">
        <f t="shared" si="31"/>
        <v>94.249999999999986</v>
      </c>
      <c r="R55" s="46">
        <f t="shared" si="31"/>
        <v>0</v>
      </c>
      <c r="S55" s="46">
        <f t="shared" si="31"/>
        <v>0</v>
      </c>
      <c r="T55" s="46">
        <f t="shared" si="31"/>
        <v>117.82</v>
      </c>
      <c r="U55" s="46">
        <f t="shared" si="31"/>
        <v>2564.27</v>
      </c>
      <c r="V55" s="46">
        <f t="shared" si="31"/>
        <v>106.03999999999999</v>
      </c>
      <c r="W55" s="46">
        <f t="shared" si="31"/>
        <v>159.04999999999998</v>
      </c>
      <c r="X55" s="46">
        <f t="shared" si="29"/>
        <v>82.470000000000013</v>
      </c>
      <c r="Y55" s="46">
        <f t="shared" si="29"/>
        <v>2554.5699999999997</v>
      </c>
      <c r="Z55" s="46">
        <f t="shared" si="15"/>
        <v>7731.61</v>
      </c>
      <c r="AA55" s="46">
        <f t="shared" si="32"/>
        <v>1480.31</v>
      </c>
      <c r="AB55" s="46">
        <f t="shared" si="32"/>
        <v>21.55</v>
      </c>
      <c r="AC55" s="46">
        <f t="shared" si="32"/>
        <v>68.95</v>
      </c>
      <c r="AD55" s="46">
        <f t="shared" si="32"/>
        <v>0</v>
      </c>
      <c r="AE55" s="46">
        <f t="shared" si="32"/>
        <v>0</v>
      </c>
      <c r="AF55" s="46">
        <f t="shared" si="32"/>
        <v>86.18</v>
      </c>
      <c r="AG55" s="46">
        <f t="shared" si="32"/>
        <v>1875.73</v>
      </c>
      <c r="AH55" s="46">
        <f t="shared" si="32"/>
        <v>77.56</v>
      </c>
      <c r="AI55" s="46">
        <f t="shared" si="32"/>
        <v>116.35</v>
      </c>
      <c r="AJ55" s="46">
        <f t="shared" si="30"/>
        <v>60.33</v>
      </c>
      <c r="AK55" s="46">
        <f t="shared" si="30"/>
        <v>1868.63</v>
      </c>
      <c r="AL55" s="46">
        <f t="shared" si="17"/>
        <v>5655.59</v>
      </c>
    </row>
    <row r="56" spans="1:38" x14ac:dyDescent="0.2">
      <c r="A56" s="43" t="s">
        <v>209</v>
      </c>
      <c r="B56" s="44">
        <f t="shared" si="18"/>
        <v>9449.26</v>
      </c>
      <c r="C56" s="44">
        <f t="shared" si="19"/>
        <v>252.66</v>
      </c>
      <c r="D56" s="44">
        <f t="shared" si="20"/>
        <v>808.53</v>
      </c>
      <c r="E56" s="44">
        <f t="shared" si="21"/>
        <v>0</v>
      </c>
      <c r="F56" s="44">
        <f t="shared" si="22"/>
        <v>410.84</v>
      </c>
      <c r="G56" s="44">
        <f t="shared" si="23"/>
        <v>1010.66</v>
      </c>
      <c r="H56" s="44">
        <f t="shared" si="24"/>
        <v>8627.58</v>
      </c>
      <c r="I56" s="44">
        <f t="shared" si="25"/>
        <v>909.59</v>
      </c>
      <c r="J56" s="44">
        <f t="shared" si="26"/>
        <v>1364.39</v>
      </c>
      <c r="K56" s="44">
        <f t="shared" si="27"/>
        <v>707.46</v>
      </c>
      <c r="L56" s="44">
        <f t="shared" si="28"/>
        <v>2958.03</v>
      </c>
      <c r="M56" s="44">
        <f t="shared" si="13"/>
        <v>26498.999999999996</v>
      </c>
      <c r="N56" s="45">
        <f>'OP8 part 1 analysis'!G73</f>
        <v>0.42307692307692302</v>
      </c>
      <c r="O56" s="46">
        <f t="shared" si="31"/>
        <v>5451.5</v>
      </c>
      <c r="P56" s="46">
        <f t="shared" si="31"/>
        <v>145.76999999999998</v>
      </c>
      <c r="Q56" s="46">
        <f t="shared" si="31"/>
        <v>466.46</v>
      </c>
      <c r="R56" s="46">
        <f t="shared" si="31"/>
        <v>0</v>
      </c>
      <c r="S56" s="46">
        <f t="shared" si="31"/>
        <v>237.01999999999998</v>
      </c>
      <c r="T56" s="46">
        <f t="shared" si="31"/>
        <v>583.06999999999994</v>
      </c>
      <c r="U56" s="46">
        <f t="shared" si="31"/>
        <v>4977.45</v>
      </c>
      <c r="V56" s="46">
        <f t="shared" si="31"/>
        <v>524.76</v>
      </c>
      <c r="W56" s="46">
        <f t="shared" si="31"/>
        <v>787.15000000000009</v>
      </c>
      <c r="X56" s="46">
        <f t="shared" si="29"/>
        <v>408.15000000000003</v>
      </c>
      <c r="Y56" s="46">
        <f t="shared" si="29"/>
        <v>1706.5600000000002</v>
      </c>
      <c r="Z56" s="46">
        <f t="shared" si="15"/>
        <v>15287.89</v>
      </c>
      <c r="AA56" s="46">
        <f t="shared" si="32"/>
        <v>3997.76</v>
      </c>
      <c r="AB56" s="46">
        <f t="shared" si="32"/>
        <v>106.89</v>
      </c>
      <c r="AC56" s="46">
        <f t="shared" si="32"/>
        <v>342.07</v>
      </c>
      <c r="AD56" s="46">
        <f t="shared" si="32"/>
        <v>0</v>
      </c>
      <c r="AE56" s="46">
        <f t="shared" si="32"/>
        <v>173.82</v>
      </c>
      <c r="AF56" s="46">
        <f t="shared" si="32"/>
        <v>427.59</v>
      </c>
      <c r="AG56" s="46">
        <f t="shared" si="32"/>
        <v>3650.13</v>
      </c>
      <c r="AH56" s="46">
        <f t="shared" si="32"/>
        <v>384.83</v>
      </c>
      <c r="AI56" s="46">
        <f t="shared" si="32"/>
        <v>577.24</v>
      </c>
      <c r="AJ56" s="46">
        <f t="shared" si="30"/>
        <v>299.31</v>
      </c>
      <c r="AK56" s="46">
        <f t="shared" si="30"/>
        <v>1251.47</v>
      </c>
      <c r="AL56" s="46">
        <f t="shared" si="17"/>
        <v>11211.109999999999</v>
      </c>
    </row>
    <row r="57" spans="1:38" x14ac:dyDescent="0.2">
      <c r="A57" s="43" t="s">
        <v>210</v>
      </c>
      <c r="B57" s="44">
        <f t="shared" si="18"/>
        <v>2000</v>
      </c>
      <c r="C57" s="44">
        <f t="shared" si="19"/>
        <v>0</v>
      </c>
      <c r="D57" s="44">
        <f t="shared" si="20"/>
        <v>0</v>
      </c>
      <c r="E57" s="44">
        <f t="shared" si="21"/>
        <v>0</v>
      </c>
      <c r="F57" s="44">
        <f t="shared" si="22"/>
        <v>0</v>
      </c>
      <c r="G57" s="44">
        <f t="shared" si="23"/>
        <v>0</v>
      </c>
      <c r="H57" s="44">
        <f t="shared" si="24"/>
        <v>0</v>
      </c>
      <c r="I57" s="44">
        <f t="shared" si="25"/>
        <v>0</v>
      </c>
      <c r="J57" s="44">
        <f t="shared" si="26"/>
        <v>0</v>
      </c>
      <c r="K57" s="44">
        <f t="shared" si="27"/>
        <v>0</v>
      </c>
      <c r="L57" s="44">
        <f t="shared" si="28"/>
        <v>300</v>
      </c>
      <c r="M57" s="44">
        <f t="shared" si="13"/>
        <v>2300</v>
      </c>
      <c r="N57" s="45">
        <f>'OP8 part 1 analysis'!G74</f>
        <v>0.53643612089745962</v>
      </c>
      <c r="O57" s="46">
        <f t="shared" si="31"/>
        <v>927.13000000000011</v>
      </c>
      <c r="P57" s="46">
        <f t="shared" si="31"/>
        <v>0</v>
      </c>
      <c r="Q57" s="46">
        <f t="shared" si="31"/>
        <v>0</v>
      </c>
      <c r="R57" s="46">
        <f t="shared" si="31"/>
        <v>0</v>
      </c>
      <c r="S57" s="46">
        <f t="shared" si="31"/>
        <v>0</v>
      </c>
      <c r="T57" s="46">
        <f t="shared" si="31"/>
        <v>0</v>
      </c>
      <c r="U57" s="46">
        <f t="shared" si="31"/>
        <v>0</v>
      </c>
      <c r="V57" s="46">
        <f t="shared" si="31"/>
        <v>0</v>
      </c>
      <c r="W57" s="46">
        <f t="shared" si="31"/>
        <v>0</v>
      </c>
      <c r="X57" s="46">
        <f t="shared" si="29"/>
        <v>0</v>
      </c>
      <c r="Y57" s="46">
        <f t="shared" si="29"/>
        <v>139.07</v>
      </c>
      <c r="Z57" s="46">
        <f t="shared" si="15"/>
        <v>1066.2</v>
      </c>
      <c r="AA57" s="46">
        <f t="shared" si="32"/>
        <v>1072.8699999999999</v>
      </c>
      <c r="AB57" s="46">
        <f t="shared" si="32"/>
        <v>0</v>
      </c>
      <c r="AC57" s="46">
        <f t="shared" si="32"/>
        <v>0</v>
      </c>
      <c r="AD57" s="46">
        <f t="shared" si="32"/>
        <v>0</v>
      </c>
      <c r="AE57" s="46">
        <f t="shared" si="32"/>
        <v>0</v>
      </c>
      <c r="AF57" s="46">
        <f t="shared" si="32"/>
        <v>0</v>
      </c>
      <c r="AG57" s="46">
        <f t="shared" si="32"/>
        <v>0</v>
      </c>
      <c r="AH57" s="46">
        <f t="shared" si="32"/>
        <v>0</v>
      </c>
      <c r="AI57" s="46">
        <f t="shared" si="32"/>
        <v>0</v>
      </c>
      <c r="AJ57" s="46">
        <f t="shared" si="30"/>
        <v>0</v>
      </c>
      <c r="AK57" s="46">
        <f t="shared" si="30"/>
        <v>160.93</v>
      </c>
      <c r="AL57" s="46">
        <f t="shared" si="17"/>
        <v>1233.8</v>
      </c>
    </row>
    <row r="58" spans="1:38" x14ac:dyDescent="0.2">
      <c r="A58" s="43" t="s">
        <v>211</v>
      </c>
      <c r="B58" s="44">
        <f t="shared" si="18"/>
        <v>3877.2</v>
      </c>
      <c r="C58" s="44">
        <f t="shared" si="19"/>
        <v>197.4</v>
      </c>
      <c r="D58" s="44">
        <f t="shared" si="20"/>
        <v>631.67999999999995</v>
      </c>
      <c r="E58" s="44">
        <f t="shared" si="21"/>
        <v>0</v>
      </c>
      <c r="F58" s="44">
        <f t="shared" si="22"/>
        <v>96.6</v>
      </c>
      <c r="G58" s="44">
        <f t="shared" si="23"/>
        <v>789.6</v>
      </c>
      <c r="H58" s="44">
        <f t="shared" si="24"/>
        <v>3373.8</v>
      </c>
      <c r="I58" s="44">
        <f t="shared" si="25"/>
        <v>710.64</v>
      </c>
      <c r="J58" s="44">
        <f t="shared" si="26"/>
        <v>1065.96</v>
      </c>
      <c r="K58" s="44">
        <f t="shared" si="27"/>
        <v>552.72</v>
      </c>
      <c r="L58" s="44">
        <f t="shared" si="28"/>
        <v>4164.6000000000004</v>
      </c>
      <c r="M58" s="44">
        <f t="shared" si="13"/>
        <v>15460.2</v>
      </c>
      <c r="N58" s="45">
        <f>'OP8 part 1 analysis'!G75</f>
        <v>0</v>
      </c>
      <c r="O58" s="46">
        <f t="shared" si="31"/>
        <v>3877.2</v>
      </c>
      <c r="P58" s="46">
        <f t="shared" si="31"/>
        <v>197.4</v>
      </c>
      <c r="Q58" s="46">
        <f t="shared" si="31"/>
        <v>631.67999999999995</v>
      </c>
      <c r="R58" s="46">
        <f t="shared" si="31"/>
        <v>0</v>
      </c>
      <c r="S58" s="46">
        <f t="shared" si="31"/>
        <v>96.6</v>
      </c>
      <c r="T58" s="46">
        <f t="shared" si="31"/>
        <v>789.6</v>
      </c>
      <c r="U58" s="46">
        <f t="shared" si="31"/>
        <v>3373.8</v>
      </c>
      <c r="V58" s="46">
        <f t="shared" si="31"/>
        <v>710.64</v>
      </c>
      <c r="W58" s="46">
        <f t="shared" si="31"/>
        <v>1065.96</v>
      </c>
      <c r="X58" s="46">
        <f t="shared" si="29"/>
        <v>552.72</v>
      </c>
      <c r="Y58" s="46">
        <f t="shared" si="29"/>
        <v>4164.6000000000004</v>
      </c>
      <c r="Z58" s="46">
        <f t="shared" si="15"/>
        <v>15460.2</v>
      </c>
      <c r="AA58" s="46">
        <f t="shared" si="32"/>
        <v>0</v>
      </c>
      <c r="AB58" s="46">
        <f t="shared" si="32"/>
        <v>0</v>
      </c>
      <c r="AC58" s="46">
        <f t="shared" si="32"/>
        <v>0</v>
      </c>
      <c r="AD58" s="46">
        <f t="shared" si="32"/>
        <v>0</v>
      </c>
      <c r="AE58" s="46">
        <f t="shared" si="32"/>
        <v>0</v>
      </c>
      <c r="AF58" s="46">
        <f t="shared" si="32"/>
        <v>0</v>
      </c>
      <c r="AG58" s="46">
        <f t="shared" si="32"/>
        <v>0</v>
      </c>
      <c r="AH58" s="46">
        <f t="shared" si="32"/>
        <v>0</v>
      </c>
      <c r="AI58" s="46">
        <f t="shared" si="32"/>
        <v>0</v>
      </c>
      <c r="AJ58" s="46">
        <f t="shared" si="30"/>
        <v>0</v>
      </c>
      <c r="AK58" s="46">
        <f t="shared" si="30"/>
        <v>0</v>
      </c>
      <c r="AL58" s="46">
        <f t="shared" si="17"/>
        <v>0</v>
      </c>
    </row>
    <row r="59" spans="1:38" x14ac:dyDescent="0.2">
      <c r="A59" s="43" t="s">
        <v>212</v>
      </c>
      <c r="B59" s="44">
        <f t="shared" si="18"/>
        <v>11626.8</v>
      </c>
      <c r="C59" s="44">
        <f t="shared" si="19"/>
        <v>142.65</v>
      </c>
      <c r="D59" s="44">
        <f t="shared" si="20"/>
        <v>456.48</v>
      </c>
      <c r="E59" s="44">
        <f t="shared" si="21"/>
        <v>0</v>
      </c>
      <c r="F59" s="44">
        <f t="shared" si="22"/>
        <v>2460</v>
      </c>
      <c r="G59" s="44">
        <f t="shared" si="23"/>
        <v>570.6</v>
      </c>
      <c r="H59" s="44">
        <f t="shared" si="24"/>
        <v>4836.6000000000004</v>
      </c>
      <c r="I59" s="44">
        <f t="shared" si="25"/>
        <v>513.54</v>
      </c>
      <c r="J59" s="44">
        <f t="shared" si="26"/>
        <v>770.31</v>
      </c>
      <c r="K59" s="44">
        <f t="shared" si="27"/>
        <v>399.42</v>
      </c>
      <c r="L59" s="44">
        <f t="shared" si="28"/>
        <v>0</v>
      </c>
      <c r="M59" s="44">
        <f t="shared" si="13"/>
        <v>21776.399999999998</v>
      </c>
      <c r="N59" s="45">
        <f>'OP8 part 1 analysis'!G76</f>
        <v>0.55854977833901465</v>
      </c>
      <c r="O59" s="46">
        <f t="shared" si="31"/>
        <v>5132.6499999999996</v>
      </c>
      <c r="P59" s="46">
        <f t="shared" si="31"/>
        <v>62.97</v>
      </c>
      <c r="Q59" s="46">
        <f t="shared" si="31"/>
        <v>201.51000000000002</v>
      </c>
      <c r="R59" s="46">
        <f t="shared" si="31"/>
        <v>0</v>
      </c>
      <c r="S59" s="46">
        <f t="shared" si="31"/>
        <v>1085.97</v>
      </c>
      <c r="T59" s="46">
        <f t="shared" si="31"/>
        <v>251.89000000000004</v>
      </c>
      <c r="U59" s="46">
        <f t="shared" si="31"/>
        <v>2135.1200000000003</v>
      </c>
      <c r="V59" s="46">
        <f t="shared" si="31"/>
        <v>226.7</v>
      </c>
      <c r="W59" s="46">
        <f t="shared" si="31"/>
        <v>340.04999999999995</v>
      </c>
      <c r="X59" s="46">
        <f t="shared" si="29"/>
        <v>176.32000000000002</v>
      </c>
      <c r="Y59" s="46">
        <f t="shared" si="29"/>
        <v>0</v>
      </c>
      <c r="Z59" s="46">
        <f t="shared" si="15"/>
        <v>9613.18</v>
      </c>
      <c r="AA59" s="46">
        <f t="shared" si="32"/>
        <v>6494.15</v>
      </c>
      <c r="AB59" s="46">
        <f t="shared" si="32"/>
        <v>79.680000000000007</v>
      </c>
      <c r="AC59" s="46">
        <f t="shared" si="32"/>
        <v>254.97</v>
      </c>
      <c r="AD59" s="46">
        <f t="shared" si="32"/>
        <v>0</v>
      </c>
      <c r="AE59" s="46">
        <f t="shared" si="32"/>
        <v>1374.03</v>
      </c>
      <c r="AF59" s="46">
        <f t="shared" si="32"/>
        <v>318.70999999999998</v>
      </c>
      <c r="AG59" s="46">
        <f t="shared" si="32"/>
        <v>2701.48</v>
      </c>
      <c r="AH59" s="46">
        <f t="shared" si="32"/>
        <v>286.83999999999997</v>
      </c>
      <c r="AI59" s="46">
        <f t="shared" si="32"/>
        <v>430.26</v>
      </c>
      <c r="AJ59" s="46">
        <f t="shared" si="30"/>
        <v>223.1</v>
      </c>
      <c r="AK59" s="46">
        <f t="shared" si="30"/>
        <v>0</v>
      </c>
      <c r="AL59" s="46">
        <f t="shared" si="17"/>
        <v>12163.22</v>
      </c>
    </row>
    <row r="60" spans="1:38" x14ac:dyDescent="0.2">
      <c r="A60" s="43" t="s">
        <v>213</v>
      </c>
      <c r="B60" s="44">
        <f t="shared" si="18"/>
        <v>19456.29</v>
      </c>
      <c r="C60" s="44">
        <f t="shared" si="19"/>
        <v>186.67</v>
      </c>
      <c r="D60" s="44">
        <f t="shared" si="20"/>
        <v>597.35</v>
      </c>
      <c r="E60" s="44">
        <f t="shared" si="21"/>
        <v>0</v>
      </c>
      <c r="F60" s="44">
        <f t="shared" si="22"/>
        <v>0</v>
      </c>
      <c r="G60" s="44">
        <f t="shared" si="23"/>
        <v>746.68</v>
      </c>
      <c r="H60" s="44">
        <f t="shared" si="24"/>
        <v>11838.72</v>
      </c>
      <c r="I60" s="44">
        <f t="shared" si="25"/>
        <v>672.01</v>
      </c>
      <c r="J60" s="44">
        <f t="shared" si="26"/>
        <v>1008.02</v>
      </c>
      <c r="K60" s="44">
        <f t="shared" si="27"/>
        <v>522.67999999999995</v>
      </c>
      <c r="L60" s="44">
        <f t="shared" si="28"/>
        <v>3990.58</v>
      </c>
      <c r="M60" s="44">
        <f t="shared" si="13"/>
        <v>39019</v>
      </c>
      <c r="N60" s="45">
        <f>'OP8 part 1 analysis'!G77</f>
        <v>0</v>
      </c>
      <c r="O60" s="46">
        <f t="shared" si="31"/>
        <v>19456.29</v>
      </c>
      <c r="P60" s="46">
        <f t="shared" si="31"/>
        <v>186.67</v>
      </c>
      <c r="Q60" s="46">
        <f t="shared" si="31"/>
        <v>597.35</v>
      </c>
      <c r="R60" s="46">
        <f t="shared" si="31"/>
        <v>0</v>
      </c>
      <c r="S60" s="46">
        <f t="shared" si="31"/>
        <v>0</v>
      </c>
      <c r="T60" s="46">
        <f t="shared" si="31"/>
        <v>746.68</v>
      </c>
      <c r="U60" s="46">
        <f t="shared" si="31"/>
        <v>11838.72</v>
      </c>
      <c r="V60" s="46">
        <f t="shared" si="31"/>
        <v>672.01</v>
      </c>
      <c r="W60" s="46">
        <f t="shared" si="31"/>
        <v>1008.02</v>
      </c>
      <c r="X60" s="46">
        <f t="shared" si="29"/>
        <v>522.67999999999995</v>
      </c>
      <c r="Y60" s="46">
        <f t="shared" si="29"/>
        <v>3990.58</v>
      </c>
      <c r="Z60" s="46">
        <f t="shared" si="15"/>
        <v>39019</v>
      </c>
      <c r="AA60" s="46">
        <f t="shared" si="32"/>
        <v>0</v>
      </c>
      <c r="AB60" s="46">
        <f t="shared" si="32"/>
        <v>0</v>
      </c>
      <c r="AC60" s="46">
        <f t="shared" si="32"/>
        <v>0</v>
      </c>
      <c r="AD60" s="46">
        <f t="shared" si="32"/>
        <v>0</v>
      </c>
      <c r="AE60" s="46">
        <f t="shared" si="32"/>
        <v>0</v>
      </c>
      <c r="AF60" s="46">
        <f t="shared" si="32"/>
        <v>0</v>
      </c>
      <c r="AG60" s="46">
        <f t="shared" si="32"/>
        <v>0</v>
      </c>
      <c r="AH60" s="46">
        <f t="shared" si="32"/>
        <v>0</v>
      </c>
      <c r="AI60" s="46">
        <f t="shared" si="32"/>
        <v>0</v>
      </c>
      <c r="AJ60" s="46">
        <f t="shared" si="30"/>
        <v>0</v>
      </c>
      <c r="AK60" s="46">
        <f t="shared" si="30"/>
        <v>0</v>
      </c>
      <c r="AL60" s="46">
        <f t="shared" si="17"/>
        <v>0</v>
      </c>
    </row>
    <row r="61" spans="1:38" x14ac:dyDescent="0.2">
      <c r="A61" s="43" t="s">
        <v>215</v>
      </c>
      <c r="B61" s="44">
        <f t="shared" si="18"/>
        <v>10044.5</v>
      </c>
      <c r="C61" s="44">
        <f t="shared" si="19"/>
        <v>250.79</v>
      </c>
      <c r="D61" s="44">
        <f t="shared" si="20"/>
        <v>802.53</v>
      </c>
      <c r="E61" s="44">
        <f t="shared" si="21"/>
        <v>0</v>
      </c>
      <c r="F61" s="44">
        <f t="shared" si="22"/>
        <v>160.71</v>
      </c>
      <c r="G61" s="44">
        <f t="shared" si="23"/>
        <v>1003.16</v>
      </c>
      <c r="H61" s="44">
        <f t="shared" si="24"/>
        <v>9355.85</v>
      </c>
      <c r="I61" s="44">
        <f t="shared" si="25"/>
        <v>902.85</v>
      </c>
      <c r="J61" s="44">
        <f t="shared" si="26"/>
        <v>1354.27</v>
      </c>
      <c r="K61" s="44">
        <f t="shared" si="27"/>
        <v>702.21</v>
      </c>
      <c r="L61" s="44">
        <f t="shared" si="28"/>
        <v>6348.12</v>
      </c>
      <c r="M61" s="44">
        <f t="shared" si="13"/>
        <v>30924.989999999998</v>
      </c>
      <c r="N61" s="45">
        <f>'OP8 part 1 analysis'!G78</f>
        <v>0</v>
      </c>
      <c r="O61" s="46">
        <f t="shared" si="31"/>
        <v>10044.5</v>
      </c>
      <c r="P61" s="46">
        <f t="shared" si="31"/>
        <v>250.79</v>
      </c>
      <c r="Q61" s="46">
        <f t="shared" si="31"/>
        <v>802.53</v>
      </c>
      <c r="R61" s="46">
        <f t="shared" si="31"/>
        <v>0</v>
      </c>
      <c r="S61" s="46">
        <f t="shared" si="31"/>
        <v>160.71</v>
      </c>
      <c r="T61" s="46">
        <f t="shared" si="31"/>
        <v>1003.16</v>
      </c>
      <c r="U61" s="46">
        <f t="shared" si="31"/>
        <v>9355.85</v>
      </c>
      <c r="V61" s="46">
        <f t="shared" si="31"/>
        <v>902.85</v>
      </c>
      <c r="W61" s="46">
        <f t="shared" si="31"/>
        <v>1354.27</v>
      </c>
      <c r="X61" s="46">
        <f t="shared" si="29"/>
        <v>702.21</v>
      </c>
      <c r="Y61" s="46">
        <f t="shared" si="29"/>
        <v>6348.12</v>
      </c>
      <c r="Z61" s="46">
        <f t="shared" si="15"/>
        <v>30924.989999999998</v>
      </c>
      <c r="AA61" s="46">
        <f t="shared" si="32"/>
        <v>0</v>
      </c>
      <c r="AB61" s="46">
        <f t="shared" si="32"/>
        <v>0</v>
      </c>
      <c r="AC61" s="46">
        <f t="shared" si="32"/>
        <v>0</v>
      </c>
      <c r="AD61" s="46">
        <f t="shared" si="32"/>
        <v>0</v>
      </c>
      <c r="AE61" s="46">
        <f t="shared" si="32"/>
        <v>0</v>
      </c>
      <c r="AF61" s="46">
        <f t="shared" si="32"/>
        <v>0</v>
      </c>
      <c r="AG61" s="46">
        <f t="shared" si="32"/>
        <v>0</v>
      </c>
      <c r="AH61" s="46">
        <f t="shared" si="32"/>
        <v>0</v>
      </c>
      <c r="AI61" s="46">
        <f t="shared" si="32"/>
        <v>0</v>
      </c>
      <c r="AJ61" s="46">
        <f t="shared" si="30"/>
        <v>0</v>
      </c>
      <c r="AK61" s="46">
        <f t="shared" si="30"/>
        <v>0</v>
      </c>
      <c r="AL61" s="46">
        <f t="shared" si="17"/>
        <v>0</v>
      </c>
    </row>
    <row r="62" spans="1:38" x14ac:dyDescent="0.2">
      <c r="A62" s="43" t="s">
        <v>216</v>
      </c>
      <c r="B62" s="44">
        <f t="shared" si="18"/>
        <v>7545.31</v>
      </c>
      <c r="C62" s="44">
        <f t="shared" si="19"/>
        <v>8.9</v>
      </c>
      <c r="D62" s="44">
        <f t="shared" si="20"/>
        <v>28.5</v>
      </c>
      <c r="E62" s="44">
        <f t="shared" si="21"/>
        <v>0</v>
      </c>
      <c r="F62" s="44">
        <f t="shared" si="22"/>
        <v>0</v>
      </c>
      <c r="G62" s="44">
        <f t="shared" si="23"/>
        <v>35.619999999999997</v>
      </c>
      <c r="H62" s="44">
        <f t="shared" si="24"/>
        <v>24318.07</v>
      </c>
      <c r="I62" s="44">
        <f t="shared" si="25"/>
        <v>32.06</v>
      </c>
      <c r="J62" s="44">
        <f t="shared" si="26"/>
        <v>48.09</v>
      </c>
      <c r="K62" s="44">
        <f t="shared" si="27"/>
        <v>24.93</v>
      </c>
      <c r="L62" s="44">
        <f t="shared" si="28"/>
        <v>6907.52</v>
      </c>
      <c r="M62" s="44">
        <f t="shared" si="13"/>
        <v>38949</v>
      </c>
      <c r="N62" s="45">
        <f>'OP8 part 1 analysis'!G79</f>
        <v>0.42307692307692302</v>
      </c>
      <c r="O62" s="46">
        <f t="shared" si="31"/>
        <v>4353.0600000000004</v>
      </c>
      <c r="P62" s="46">
        <f t="shared" si="31"/>
        <v>5.1300000000000008</v>
      </c>
      <c r="Q62" s="46">
        <f t="shared" si="31"/>
        <v>16.439999999999998</v>
      </c>
      <c r="R62" s="46">
        <f t="shared" si="31"/>
        <v>0</v>
      </c>
      <c r="S62" s="46">
        <f t="shared" si="31"/>
        <v>0</v>
      </c>
      <c r="T62" s="46">
        <f t="shared" si="31"/>
        <v>20.549999999999997</v>
      </c>
      <c r="U62" s="46">
        <f t="shared" si="31"/>
        <v>14029.66</v>
      </c>
      <c r="V62" s="46">
        <f t="shared" si="31"/>
        <v>18.5</v>
      </c>
      <c r="W62" s="46">
        <f t="shared" si="31"/>
        <v>27.740000000000002</v>
      </c>
      <c r="X62" s="46">
        <f t="shared" si="29"/>
        <v>14.379999999999999</v>
      </c>
      <c r="Y62" s="46">
        <f t="shared" si="29"/>
        <v>3985.1100000000006</v>
      </c>
      <c r="Z62" s="46">
        <f t="shared" si="15"/>
        <v>22470.570000000003</v>
      </c>
      <c r="AA62" s="46">
        <f t="shared" si="32"/>
        <v>3192.25</v>
      </c>
      <c r="AB62" s="46">
        <f t="shared" si="32"/>
        <v>3.77</v>
      </c>
      <c r="AC62" s="46">
        <f t="shared" si="32"/>
        <v>12.06</v>
      </c>
      <c r="AD62" s="46">
        <f t="shared" si="32"/>
        <v>0</v>
      </c>
      <c r="AE62" s="46">
        <f t="shared" si="32"/>
        <v>0</v>
      </c>
      <c r="AF62" s="46">
        <f t="shared" si="32"/>
        <v>15.07</v>
      </c>
      <c r="AG62" s="46">
        <f t="shared" si="32"/>
        <v>10288.41</v>
      </c>
      <c r="AH62" s="46">
        <f t="shared" si="32"/>
        <v>13.56</v>
      </c>
      <c r="AI62" s="46">
        <f t="shared" si="32"/>
        <v>20.350000000000001</v>
      </c>
      <c r="AJ62" s="46">
        <f t="shared" si="30"/>
        <v>10.55</v>
      </c>
      <c r="AK62" s="46">
        <f t="shared" si="30"/>
        <v>2922.41</v>
      </c>
      <c r="AL62" s="46">
        <f t="shared" si="17"/>
        <v>16478.43</v>
      </c>
    </row>
    <row r="63" spans="1:38" x14ac:dyDescent="0.2">
      <c r="A63" s="43" t="s">
        <v>217</v>
      </c>
      <c r="B63" s="44">
        <f t="shared" si="18"/>
        <v>7200</v>
      </c>
      <c r="C63" s="44">
        <f t="shared" si="19"/>
        <v>168</v>
      </c>
      <c r="D63" s="44">
        <f t="shared" si="20"/>
        <v>537.6</v>
      </c>
      <c r="E63" s="44">
        <f t="shared" si="21"/>
        <v>0</v>
      </c>
      <c r="F63" s="44">
        <f t="shared" si="22"/>
        <v>0</v>
      </c>
      <c r="G63" s="44">
        <f t="shared" si="23"/>
        <v>672</v>
      </c>
      <c r="H63" s="44">
        <f t="shared" si="24"/>
        <v>9000</v>
      </c>
      <c r="I63" s="44">
        <f t="shared" si="25"/>
        <v>604.79999999999995</v>
      </c>
      <c r="J63" s="44">
        <f t="shared" si="26"/>
        <v>907.2</v>
      </c>
      <c r="K63" s="44">
        <f t="shared" si="27"/>
        <v>470.4</v>
      </c>
      <c r="L63" s="44">
        <f t="shared" si="28"/>
        <v>1200</v>
      </c>
      <c r="M63" s="44">
        <f t="shared" si="13"/>
        <v>20760</v>
      </c>
      <c r="N63" s="45">
        <f>'OP8 part 1 analysis'!G80</f>
        <v>0</v>
      </c>
      <c r="O63" s="46">
        <f t="shared" si="31"/>
        <v>7200</v>
      </c>
      <c r="P63" s="46">
        <f t="shared" si="31"/>
        <v>168</v>
      </c>
      <c r="Q63" s="46">
        <f t="shared" si="31"/>
        <v>537.6</v>
      </c>
      <c r="R63" s="46">
        <f t="shared" si="31"/>
        <v>0</v>
      </c>
      <c r="S63" s="46">
        <f t="shared" si="31"/>
        <v>0</v>
      </c>
      <c r="T63" s="46">
        <f t="shared" si="31"/>
        <v>672</v>
      </c>
      <c r="U63" s="46">
        <f t="shared" si="31"/>
        <v>9000</v>
      </c>
      <c r="V63" s="46">
        <f t="shared" si="31"/>
        <v>604.79999999999995</v>
      </c>
      <c r="W63" s="46">
        <f t="shared" si="31"/>
        <v>907.2</v>
      </c>
      <c r="X63" s="46">
        <f t="shared" si="29"/>
        <v>470.4</v>
      </c>
      <c r="Y63" s="46">
        <f t="shared" si="29"/>
        <v>1200</v>
      </c>
      <c r="Z63" s="46">
        <f t="shared" si="15"/>
        <v>20760</v>
      </c>
      <c r="AA63" s="46">
        <f t="shared" si="32"/>
        <v>0</v>
      </c>
      <c r="AB63" s="46">
        <f t="shared" si="32"/>
        <v>0</v>
      </c>
      <c r="AC63" s="46">
        <f t="shared" si="32"/>
        <v>0</v>
      </c>
      <c r="AD63" s="46">
        <f t="shared" si="32"/>
        <v>0</v>
      </c>
      <c r="AE63" s="46">
        <f t="shared" si="32"/>
        <v>0</v>
      </c>
      <c r="AF63" s="46">
        <f t="shared" si="32"/>
        <v>0</v>
      </c>
      <c r="AG63" s="46">
        <f t="shared" si="32"/>
        <v>0</v>
      </c>
      <c r="AH63" s="46">
        <f t="shared" si="32"/>
        <v>0</v>
      </c>
      <c r="AI63" s="46">
        <f t="shared" si="32"/>
        <v>0</v>
      </c>
      <c r="AJ63" s="46">
        <f t="shared" si="30"/>
        <v>0</v>
      </c>
      <c r="AK63" s="46">
        <f t="shared" si="30"/>
        <v>0</v>
      </c>
      <c r="AL63" s="46">
        <f t="shared" si="17"/>
        <v>0</v>
      </c>
    </row>
    <row r="64" spans="1:38" x14ac:dyDescent="0.2">
      <c r="A64" s="43" t="s">
        <v>218</v>
      </c>
      <c r="B64" s="44">
        <f t="shared" si="18"/>
        <v>11067</v>
      </c>
      <c r="C64" s="44">
        <f t="shared" si="19"/>
        <v>444</v>
      </c>
      <c r="D64" s="44">
        <f t="shared" si="20"/>
        <v>1100</v>
      </c>
      <c r="E64" s="44">
        <f t="shared" si="21"/>
        <v>0</v>
      </c>
      <c r="F64" s="44">
        <f t="shared" si="22"/>
        <v>0</v>
      </c>
      <c r="G64" s="44">
        <f t="shared" si="23"/>
        <v>0</v>
      </c>
      <c r="H64" s="44">
        <f t="shared" si="24"/>
        <v>11402</v>
      </c>
      <c r="I64" s="44">
        <f t="shared" si="25"/>
        <v>9197</v>
      </c>
      <c r="J64" s="44">
        <f t="shared" si="26"/>
        <v>2000</v>
      </c>
      <c r="K64" s="44">
        <f t="shared" si="27"/>
        <v>4264</v>
      </c>
      <c r="L64" s="44">
        <f t="shared" si="28"/>
        <v>2220</v>
      </c>
      <c r="M64" s="44">
        <f t="shared" si="13"/>
        <v>41694</v>
      </c>
      <c r="N64" s="45">
        <f>'OP8 part 1 analysis'!G81</f>
        <v>0</v>
      </c>
      <c r="O64" s="46">
        <f t="shared" si="31"/>
        <v>11067</v>
      </c>
      <c r="P64" s="46">
        <f t="shared" si="31"/>
        <v>444</v>
      </c>
      <c r="Q64" s="46">
        <f t="shared" si="31"/>
        <v>1100</v>
      </c>
      <c r="R64" s="46">
        <f t="shared" si="31"/>
        <v>0</v>
      </c>
      <c r="S64" s="46">
        <f t="shared" si="31"/>
        <v>0</v>
      </c>
      <c r="T64" s="46">
        <f t="shared" si="31"/>
        <v>0</v>
      </c>
      <c r="U64" s="46">
        <f t="shared" si="31"/>
        <v>11402</v>
      </c>
      <c r="V64" s="46">
        <f t="shared" si="31"/>
        <v>9197</v>
      </c>
      <c r="W64" s="46">
        <f t="shared" si="31"/>
        <v>2000</v>
      </c>
      <c r="X64" s="46">
        <f t="shared" si="29"/>
        <v>4264</v>
      </c>
      <c r="Y64" s="46">
        <f t="shared" si="29"/>
        <v>2220</v>
      </c>
      <c r="Z64" s="46">
        <f t="shared" si="15"/>
        <v>41694</v>
      </c>
      <c r="AA64" s="46">
        <f t="shared" si="32"/>
        <v>0</v>
      </c>
      <c r="AB64" s="46">
        <f t="shared" si="32"/>
        <v>0</v>
      </c>
      <c r="AC64" s="46">
        <f t="shared" si="32"/>
        <v>0</v>
      </c>
      <c r="AD64" s="46">
        <f t="shared" si="32"/>
        <v>0</v>
      </c>
      <c r="AE64" s="46">
        <f t="shared" si="32"/>
        <v>0</v>
      </c>
      <c r="AF64" s="46">
        <f t="shared" si="32"/>
        <v>0</v>
      </c>
      <c r="AG64" s="46">
        <f t="shared" si="32"/>
        <v>0</v>
      </c>
      <c r="AH64" s="46">
        <f t="shared" si="32"/>
        <v>0</v>
      </c>
      <c r="AI64" s="46">
        <f t="shared" si="32"/>
        <v>0</v>
      </c>
      <c r="AJ64" s="46">
        <f t="shared" si="30"/>
        <v>0</v>
      </c>
      <c r="AK64" s="46">
        <f t="shared" si="30"/>
        <v>0</v>
      </c>
      <c r="AL64" s="46">
        <f t="shared" si="17"/>
        <v>0</v>
      </c>
    </row>
    <row r="65" spans="1:38" x14ac:dyDescent="0.2">
      <c r="A65" s="43" t="s">
        <v>219</v>
      </c>
      <c r="B65" s="44">
        <f t="shared" si="18"/>
        <v>1000</v>
      </c>
      <c r="C65" s="44">
        <f t="shared" si="19"/>
        <v>200</v>
      </c>
      <c r="D65" s="44">
        <f t="shared" si="20"/>
        <v>200</v>
      </c>
      <c r="E65" s="44">
        <f t="shared" si="21"/>
        <v>0</v>
      </c>
      <c r="F65" s="44">
        <f t="shared" si="22"/>
        <v>300</v>
      </c>
      <c r="G65" s="44">
        <f t="shared" si="23"/>
        <v>2700</v>
      </c>
      <c r="H65" s="44">
        <f t="shared" si="24"/>
        <v>6200</v>
      </c>
      <c r="I65" s="44">
        <f t="shared" si="25"/>
        <v>200</v>
      </c>
      <c r="J65" s="44">
        <f t="shared" si="26"/>
        <v>300</v>
      </c>
      <c r="K65" s="44">
        <f t="shared" si="27"/>
        <v>150</v>
      </c>
      <c r="L65" s="44">
        <f t="shared" si="28"/>
        <v>500</v>
      </c>
      <c r="M65" s="44">
        <f t="shared" si="13"/>
        <v>11750</v>
      </c>
      <c r="N65" s="45">
        <f>'OP8 part 1 analysis'!G82</f>
        <v>0.53883067258103001</v>
      </c>
      <c r="O65" s="46">
        <f t="shared" si="31"/>
        <v>461.16999999999996</v>
      </c>
      <c r="P65" s="46">
        <f t="shared" si="31"/>
        <v>92.23</v>
      </c>
      <c r="Q65" s="46">
        <f t="shared" si="31"/>
        <v>92.23</v>
      </c>
      <c r="R65" s="46">
        <f t="shared" si="31"/>
        <v>0</v>
      </c>
      <c r="S65" s="46">
        <f t="shared" si="31"/>
        <v>138.35</v>
      </c>
      <c r="T65" s="46">
        <f t="shared" si="31"/>
        <v>1245.1600000000001</v>
      </c>
      <c r="U65" s="46">
        <f t="shared" si="31"/>
        <v>2859.25</v>
      </c>
      <c r="V65" s="46">
        <f t="shared" si="31"/>
        <v>92.23</v>
      </c>
      <c r="W65" s="46">
        <f t="shared" si="31"/>
        <v>138.35</v>
      </c>
      <c r="X65" s="46">
        <f t="shared" si="29"/>
        <v>69.180000000000007</v>
      </c>
      <c r="Y65" s="46">
        <f t="shared" si="29"/>
        <v>230.57999999999998</v>
      </c>
      <c r="Z65" s="46">
        <f t="shared" si="15"/>
        <v>5418.7300000000005</v>
      </c>
      <c r="AA65" s="46">
        <f t="shared" si="32"/>
        <v>538.83000000000004</v>
      </c>
      <c r="AB65" s="46">
        <f t="shared" si="32"/>
        <v>107.77</v>
      </c>
      <c r="AC65" s="46">
        <f t="shared" si="32"/>
        <v>107.77</v>
      </c>
      <c r="AD65" s="46">
        <f t="shared" si="32"/>
        <v>0</v>
      </c>
      <c r="AE65" s="46">
        <f t="shared" si="32"/>
        <v>161.65</v>
      </c>
      <c r="AF65" s="46">
        <f t="shared" si="32"/>
        <v>1454.84</v>
      </c>
      <c r="AG65" s="46">
        <f t="shared" si="32"/>
        <v>3340.75</v>
      </c>
      <c r="AH65" s="46">
        <f t="shared" si="32"/>
        <v>107.77</v>
      </c>
      <c r="AI65" s="46">
        <f t="shared" si="32"/>
        <v>161.65</v>
      </c>
      <c r="AJ65" s="46">
        <f t="shared" si="30"/>
        <v>80.819999999999993</v>
      </c>
      <c r="AK65" s="46">
        <f t="shared" si="30"/>
        <v>269.42</v>
      </c>
      <c r="AL65" s="46">
        <f t="shared" si="17"/>
        <v>6331.2699999999995</v>
      </c>
    </row>
    <row r="66" spans="1:38" x14ac:dyDescent="0.2">
      <c r="A66" s="43" t="s">
        <v>220</v>
      </c>
      <c r="B66" s="44">
        <f t="shared" si="18"/>
        <v>6300</v>
      </c>
      <c r="C66" s="44">
        <f t="shared" si="19"/>
        <v>6</v>
      </c>
      <c r="D66" s="44">
        <f t="shared" si="20"/>
        <v>19.2</v>
      </c>
      <c r="E66" s="44">
        <f t="shared" si="21"/>
        <v>0</v>
      </c>
      <c r="F66" s="44">
        <f t="shared" si="22"/>
        <v>0</v>
      </c>
      <c r="G66" s="44">
        <f t="shared" si="23"/>
        <v>24</v>
      </c>
      <c r="H66" s="44">
        <f t="shared" si="24"/>
        <v>1500</v>
      </c>
      <c r="I66" s="44">
        <f t="shared" si="25"/>
        <v>21.6</v>
      </c>
      <c r="J66" s="44">
        <f t="shared" si="26"/>
        <v>32.4</v>
      </c>
      <c r="K66" s="44">
        <f t="shared" si="27"/>
        <v>16.8</v>
      </c>
      <c r="L66" s="44">
        <f t="shared" si="28"/>
        <v>60</v>
      </c>
      <c r="M66" s="44">
        <f t="shared" si="13"/>
        <v>7980</v>
      </c>
      <c r="N66" s="45">
        <f>'OP8 part 1 analysis'!G83</f>
        <v>0.30555555555555552</v>
      </c>
      <c r="O66" s="46">
        <f t="shared" si="31"/>
        <v>4375</v>
      </c>
      <c r="P66" s="46">
        <f t="shared" si="31"/>
        <v>4.17</v>
      </c>
      <c r="Q66" s="46">
        <f t="shared" si="31"/>
        <v>13.329999999999998</v>
      </c>
      <c r="R66" s="46">
        <f t="shared" si="31"/>
        <v>0</v>
      </c>
      <c r="S66" s="46">
        <f t="shared" si="31"/>
        <v>0</v>
      </c>
      <c r="T66" s="46">
        <f t="shared" si="31"/>
        <v>16.670000000000002</v>
      </c>
      <c r="U66" s="46">
        <f t="shared" si="31"/>
        <v>1041.67</v>
      </c>
      <c r="V66" s="46">
        <f t="shared" si="31"/>
        <v>15.000000000000002</v>
      </c>
      <c r="W66" s="46">
        <f t="shared" si="31"/>
        <v>22.5</v>
      </c>
      <c r="X66" s="46">
        <f t="shared" si="29"/>
        <v>11.670000000000002</v>
      </c>
      <c r="Y66" s="46">
        <f t="shared" si="29"/>
        <v>41.67</v>
      </c>
      <c r="Z66" s="46">
        <f t="shared" si="15"/>
        <v>5541.68</v>
      </c>
      <c r="AA66" s="46">
        <f t="shared" si="32"/>
        <v>1925</v>
      </c>
      <c r="AB66" s="46">
        <f t="shared" si="32"/>
        <v>1.83</v>
      </c>
      <c r="AC66" s="46">
        <f t="shared" si="32"/>
        <v>5.87</v>
      </c>
      <c r="AD66" s="46">
        <f t="shared" si="32"/>
        <v>0</v>
      </c>
      <c r="AE66" s="46">
        <f t="shared" si="32"/>
        <v>0</v>
      </c>
      <c r="AF66" s="46">
        <f t="shared" si="32"/>
        <v>7.33</v>
      </c>
      <c r="AG66" s="46">
        <f t="shared" si="32"/>
        <v>458.33</v>
      </c>
      <c r="AH66" s="46">
        <f t="shared" si="32"/>
        <v>6.6</v>
      </c>
      <c r="AI66" s="46">
        <f t="shared" si="32"/>
        <v>9.9</v>
      </c>
      <c r="AJ66" s="46">
        <f t="shared" si="30"/>
        <v>5.13</v>
      </c>
      <c r="AK66" s="46">
        <f t="shared" si="30"/>
        <v>18.329999999999998</v>
      </c>
      <c r="AL66" s="46">
        <f t="shared" si="17"/>
        <v>2438.3199999999997</v>
      </c>
    </row>
    <row r="67" spans="1:38" x14ac:dyDescent="0.2">
      <c r="A67" s="43" t="s">
        <v>221</v>
      </c>
      <c r="B67" s="44">
        <f t="shared" si="18"/>
        <v>4200</v>
      </c>
      <c r="C67" s="44">
        <f t="shared" si="19"/>
        <v>32.51</v>
      </c>
      <c r="D67" s="44">
        <f t="shared" si="20"/>
        <v>104.04</v>
      </c>
      <c r="E67" s="44">
        <f t="shared" si="21"/>
        <v>0</v>
      </c>
      <c r="F67" s="44">
        <f t="shared" si="22"/>
        <v>225</v>
      </c>
      <c r="G67" s="44">
        <f t="shared" si="23"/>
        <v>130.05000000000001</v>
      </c>
      <c r="H67" s="44">
        <f t="shared" si="24"/>
        <v>11652.75</v>
      </c>
      <c r="I67" s="44">
        <f t="shared" si="25"/>
        <v>117.05</v>
      </c>
      <c r="J67" s="44">
        <f t="shared" si="26"/>
        <v>175.57</v>
      </c>
      <c r="K67" s="44">
        <f t="shared" si="27"/>
        <v>91.04</v>
      </c>
      <c r="L67" s="44">
        <f t="shared" si="28"/>
        <v>150</v>
      </c>
      <c r="M67" s="44">
        <f t="shared" si="13"/>
        <v>16878.010000000002</v>
      </c>
      <c r="N67" s="45">
        <f>'OP8 part 1 analysis'!G84</f>
        <v>0.42307692307692302</v>
      </c>
      <c r="O67" s="46">
        <f t="shared" si="31"/>
        <v>2423.08</v>
      </c>
      <c r="P67" s="46">
        <f t="shared" si="31"/>
        <v>18.759999999999998</v>
      </c>
      <c r="Q67" s="46">
        <f t="shared" si="31"/>
        <v>60.02</v>
      </c>
      <c r="R67" s="46">
        <f t="shared" si="31"/>
        <v>0</v>
      </c>
      <c r="S67" s="46">
        <f t="shared" si="31"/>
        <v>129.81</v>
      </c>
      <c r="T67" s="46">
        <f t="shared" si="31"/>
        <v>75.03</v>
      </c>
      <c r="U67" s="46">
        <f t="shared" si="31"/>
        <v>6722.74</v>
      </c>
      <c r="V67" s="46">
        <f t="shared" si="31"/>
        <v>67.53</v>
      </c>
      <c r="W67" s="46">
        <f t="shared" si="31"/>
        <v>101.28999999999999</v>
      </c>
      <c r="X67" s="46">
        <f t="shared" si="29"/>
        <v>52.52</v>
      </c>
      <c r="Y67" s="46">
        <f t="shared" si="29"/>
        <v>86.539999999999992</v>
      </c>
      <c r="Z67" s="46">
        <f t="shared" si="15"/>
        <v>9737.3200000000033</v>
      </c>
      <c r="AA67" s="46">
        <f t="shared" si="32"/>
        <v>1776.92</v>
      </c>
      <c r="AB67" s="46">
        <f t="shared" si="32"/>
        <v>13.75</v>
      </c>
      <c r="AC67" s="46">
        <f t="shared" si="32"/>
        <v>44.02</v>
      </c>
      <c r="AD67" s="46">
        <f t="shared" si="32"/>
        <v>0</v>
      </c>
      <c r="AE67" s="46">
        <f t="shared" si="32"/>
        <v>95.19</v>
      </c>
      <c r="AF67" s="46">
        <f t="shared" si="32"/>
        <v>55.02</v>
      </c>
      <c r="AG67" s="46">
        <f t="shared" si="32"/>
        <v>4930.01</v>
      </c>
      <c r="AH67" s="46">
        <f t="shared" si="32"/>
        <v>49.52</v>
      </c>
      <c r="AI67" s="46">
        <f t="shared" si="32"/>
        <v>74.28</v>
      </c>
      <c r="AJ67" s="46">
        <f t="shared" si="30"/>
        <v>38.520000000000003</v>
      </c>
      <c r="AK67" s="46">
        <f t="shared" si="30"/>
        <v>63.46</v>
      </c>
      <c r="AL67" s="46">
        <f t="shared" si="17"/>
        <v>7140.6900000000005</v>
      </c>
    </row>
    <row r="68" spans="1:38" x14ac:dyDescent="0.2">
      <c r="A68" s="43" t="s">
        <v>222</v>
      </c>
      <c r="B68" s="44">
        <f t="shared" ref="B68:B103" si="33">ROUND(VLOOKUP($A68, cobdata, 14, FALSE),2)</f>
        <v>8932.2000000000007</v>
      </c>
      <c r="C68" s="44">
        <f t="shared" ref="C68:C103" si="34">ROUND(VLOOKUP($A68, cobdata, 15, FALSE),2)</f>
        <v>6.66</v>
      </c>
      <c r="D68" s="44">
        <f t="shared" ref="D68:D103" si="35">ROUND(VLOOKUP($A68, cobdata, 16, FALSE),2)</f>
        <v>21.31</v>
      </c>
      <c r="E68" s="44">
        <f t="shared" ref="E68:E103" si="36">ROUND(VLOOKUP($A68, cobdata, 17, FALSE),2)</f>
        <v>0</v>
      </c>
      <c r="F68" s="44">
        <f t="shared" ref="F68:F103" si="37">ROUND(VLOOKUP($A68, cobdata, 18, FALSE),2)</f>
        <v>0</v>
      </c>
      <c r="G68" s="44">
        <f t="shared" ref="G68:G103" si="38">ROUND(VLOOKUP($A68, cobdata, 19, FALSE),2)</f>
        <v>26.64</v>
      </c>
      <c r="H68" s="44">
        <f t="shared" ref="H68:H103" si="39">ROUND(VLOOKUP($A68, cobdata, 20, FALSE),2)</f>
        <v>14140.8</v>
      </c>
      <c r="I68" s="44">
        <f t="shared" ref="I68:I103" si="40">ROUND(VLOOKUP($A68, cobdata, 21, FALSE),2)</f>
        <v>23.98</v>
      </c>
      <c r="J68" s="44">
        <f t="shared" ref="J68:J103" si="41">ROUND(VLOOKUP($A68, cobdata, 22, FALSE),2)</f>
        <v>35.96</v>
      </c>
      <c r="K68" s="44">
        <f t="shared" ref="K68:K103" si="42">ROUND(VLOOKUP($A68, cobdata, 23, FALSE),2)</f>
        <v>18.649999999999999</v>
      </c>
      <c r="L68" s="44">
        <f t="shared" ref="L68:L103" si="43">ROUND(VLOOKUP($A68, cobdata, 24, FALSE),2)</f>
        <v>793.8</v>
      </c>
      <c r="M68" s="44">
        <f t="shared" si="13"/>
        <v>24000</v>
      </c>
      <c r="N68" s="45">
        <f>'OP8 part 1 analysis'!G85</f>
        <v>0.12790697674418605</v>
      </c>
      <c r="O68" s="46">
        <f t="shared" si="31"/>
        <v>7789.7100000000009</v>
      </c>
      <c r="P68" s="46">
        <f t="shared" si="31"/>
        <v>5.8100000000000005</v>
      </c>
      <c r="Q68" s="46">
        <f t="shared" si="31"/>
        <v>18.579999999999998</v>
      </c>
      <c r="R68" s="46">
        <f t="shared" si="31"/>
        <v>0</v>
      </c>
      <c r="S68" s="46">
        <f t="shared" si="31"/>
        <v>0</v>
      </c>
      <c r="T68" s="46">
        <f t="shared" si="31"/>
        <v>23.23</v>
      </c>
      <c r="U68" s="46">
        <f t="shared" si="31"/>
        <v>12332.09</v>
      </c>
      <c r="V68" s="46">
        <f t="shared" si="31"/>
        <v>20.91</v>
      </c>
      <c r="W68" s="46">
        <f t="shared" si="31"/>
        <v>31.36</v>
      </c>
      <c r="X68" s="46">
        <f t="shared" si="29"/>
        <v>16.259999999999998</v>
      </c>
      <c r="Y68" s="46">
        <f t="shared" si="29"/>
        <v>692.27</v>
      </c>
      <c r="Z68" s="46">
        <f t="shared" si="15"/>
        <v>20930.22</v>
      </c>
      <c r="AA68" s="46">
        <f t="shared" si="32"/>
        <v>1142.49</v>
      </c>
      <c r="AB68" s="46">
        <f t="shared" si="32"/>
        <v>0.85</v>
      </c>
      <c r="AC68" s="46">
        <f t="shared" si="32"/>
        <v>2.73</v>
      </c>
      <c r="AD68" s="46">
        <f t="shared" si="32"/>
        <v>0</v>
      </c>
      <c r="AE68" s="46">
        <f t="shared" si="32"/>
        <v>0</v>
      </c>
      <c r="AF68" s="46">
        <f t="shared" si="32"/>
        <v>3.41</v>
      </c>
      <c r="AG68" s="46">
        <f t="shared" si="32"/>
        <v>1808.71</v>
      </c>
      <c r="AH68" s="46">
        <f t="shared" si="32"/>
        <v>3.07</v>
      </c>
      <c r="AI68" s="46">
        <f t="shared" si="32"/>
        <v>4.5999999999999996</v>
      </c>
      <c r="AJ68" s="46">
        <f t="shared" si="30"/>
        <v>2.39</v>
      </c>
      <c r="AK68" s="46">
        <f t="shared" si="30"/>
        <v>101.53</v>
      </c>
      <c r="AL68" s="46">
        <f t="shared" si="17"/>
        <v>3069.78</v>
      </c>
    </row>
    <row r="69" spans="1:38" x14ac:dyDescent="0.2">
      <c r="A69" s="43" t="s">
        <v>223</v>
      </c>
      <c r="B69" s="44">
        <f t="shared" si="33"/>
        <v>10800</v>
      </c>
      <c r="C69" s="44">
        <f t="shared" si="34"/>
        <v>158.69999999999999</v>
      </c>
      <c r="D69" s="44">
        <f t="shared" si="35"/>
        <v>507.84</v>
      </c>
      <c r="E69" s="44">
        <f t="shared" si="36"/>
        <v>0</v>
      </c>
      <c r="F69" s="44">
        <f t="shared" si="37"/>
        <v>300</v>
      </c>
      <c r="G69" s="44">
        <f t="shared" si="38"/>
        <v>634.79999999999995</v>
      </c>
      <c r="H69" s="44">
        <f t="shared" si="39"/>
        <v>7200</v>
      </c>
      <c r="I69" s="44">
        <f t="shared" si="40"/>
        <v>571.32000000000005</v>
      </c>
      <c r="J69" s="44">
        <f t="shared" si="41"/>
        <v>856.98</v>
      </c>
      <c r="K69" s="44">
        <f t="shared" si="42"/>
        <v>444.36</v>
      </c>
      <c r="L69" s="44">
        <f t="shared" si="43"/>
        <v>480</v>
      </c>
      <c r="M69" s="44">
        <f t="shared" si="13"/>
        <v>21954</v>
      </c>
      <c r="N69" s="45">
        <f>'OP8 part 1 analysis'!G86</f>
        <v>0.59459459459459452</v>
      </c>
      <c r="O69" s="46">
        <f t="shared" si="31"/>
        <v>4378.38</v>
      </c>
      <c r="P69" s="46">
        <f t="shared" si="31"/>
        <v>64.339999999999989</v>
      </c>
      <c r="Q69" s="46">
        <f t="shared" si="31"/>
        <v>205.88</v>
      </c>
      <c r="R69" s="46">
        <f t="shared" si="31"/>
        <v>0</v>
      </c>
      <c r="S69" s="46">
        <f t="shared" si="31"/>
        <v>121.62</v>
      </c>
      <c r="T69" s="46">
        <f t="shared" si="31"/>
        <v>257.34999999999997</v>
      </c>
      <c r="U69" s="46">
        <f t="shared" si="31"/>
        <v>2918.92</v>
      </c>
      <c r="V69" s="46">
        <f t="shared" si="31"/>
        <v>231.62000000000006</v>
      </c>
      <c r="W69" s="46">
        <f t="shared" si="31"/>
        <v>347.42</v>
      </c>
      <c r="X69" s="46">
        <f t="shared" si="29"/>
        <v>180.15000000000003</v>
      </c>
      <c r="Y69" s="46">
        <f t="shared" si="29"/>
        <v>194.58999999999997</v>
      </c>
      <c r="Z69" s="46">
        <f t="shared" si="15"/>
        <v>8900.27</v>
      </c>
      <c r="AA69" s="46">
        <f t="shared" si="32"/>
        <v>6421.62</v>
      </c>
      <c r="AB69" s="46">
        <f t="shared" si="32"/>
        <v>94.36</v>
      </c>
      <c r="AC69" s="46">
        <f t="shared" si="32"/>
        <v>301.95999999999998</v>
      </c>
      <c r="AD69" s="46">
        <f t="shared" si="32"/>
        <v>0</v>
      </c>
      <c r="AE69" s="46">
        <f t="shared" si="32"/>
        <v>178.38</v>
      </c>
      <c r="AF69" s="46">
        <f t="shared" si="32"/>
        <v>377.45</v>
      </c>
      <c r="AG69" s="46">
        <f t="shared" si="32"/>
        <v>4281.08</v>
      </c>
      <c r="AH69" s="46">
        <f t="shared" si="32"/>
        <v>339.7</v>
      </c>
      <c r="AI69" s="46">
        <f t="shared" si="32"/>
        <v>509.56</v>
      </c>
      <c r="AJ69" s="46">
        <f t="shared" si="30"/>
        <v>264.20999999999998</v>
      </c>
      <c r="AK69" s="46">
        <f t="shared" si="30"/>
        <v>285.41000000000003</v>
      </c>
      <c r="AL69" s="46">
        <f t="shared" si="17"/>
        <v>13053.729999999998</v>
      </c>
    </row>
    <row r="70" spans="1:38" x14ac:dyDescent="0.2">
      <c r="A70" s="43" t="s">
        <v>224</v>
      </c>
      <c r="B70" s="44">
        <f t="shared" si="33"/>
        <v>900</v>
      </c>
      <c r="C70" s="44">
        <f t="shared" si="34"/>
        <v>345</v>
      </c>
      <c r="D70" s="44">
        <f t="shared" si="35"/>
        <v>1104</v>
      </c>
      <c r="E70" s="44">
        <f t="shared" si="36"/>
        <v>4000</v>
      </c>
      <c r="F70" s="44">
        <f t="shared" si="37"/>
        <v>0</v>
      </c>
      <c r="G70" s="44">
        <f t="shared" si="38"/>
        <v>1380</v>
      </c>
      <c r="H70" s="44">
        <f t="shared" si="39"/>
        <v>21600</v>
      </c>
      <c r="I70" s="44">
        <f t="shared" si="40"/>
        <v>1242</v>
      </c>
      <c r="J70" s="44">
        <f t="shared" si="41"/>
        <v>1863</v>
      </c>
      <c r="K70" s="44">
        <f t="shared" si="42"/>
        <v>966</v>
      </c>
      <c r="L70" s="44">
        <f t="shared" si="43"/>
        <v>900</v>
      </c>
      <c r="M70" s="44">
        <f t="shared" ref="M70:M103" si="44">SUM(B70:L70)</f>
        <v>34300</v>
      </c>
      <c r="N70" s="45">
        <f>'OP8 part 1 analysis'!G87</f>
        <v>0.53987730061349692</v>
      </c>
      <c r="O70" s="46">
        <f t="shared" si="31"/>
        <v>414.11</v>
      </c>
      <c r="P70" s="46">
        <f t="shared" si="31"/>
        <v>158.74</v>
      </c>
      <c r="Q70" s="46">
        <f t="shared" si="31"/>
        <v>507.98</v>
      </c>
      <c r="R70" s="46">
        <f t="shared" si="31"/>
        <v>1840.4899999999998</v>
      </c>
      <c r="S70" s="46">
        <f t="shared" si="31"/>
        <v>0</v>
      </c>
      <c r="T70" s="46">
        <f t="shared" si="31"/>
        <v>634.97</v>
      </c>
      <c r="U70" s="46">
        <f t="shared" si="31"/>
        <v>9938.65</v>
      </c>
      <c r="V70" s="46">
        <f t="shared" si="31"/>
        <v>571.47</v>
      </c>
      <c r="W70" s="46">
        <f t="shared" si="31"/>
        <v>857.21</v>
      </c>
      <c r="X70" s="46">
        <f t="shared" si="29"/>
        <v>444.48</v>
      </c>
      <c r="Y70" s="46">
        <f t="shared" si="29"/>
        <v>414.11</v>
      </c>
      <c r="Z70" s="46">
        <f t="shared" ref="Z70:Z103" si="45">SUM(O70:Y70)</f>
        <v>15782.21</v>
      </c>
      <c r="AA70" s="46">
        <f t="shared" si="32"/>
        <v>485.89</v>
      </c>
      <c r="AB70" s="46">
        <f t="shared" si="32"/>
        <v>186.26</v>
      </c>
      <c r="AC70" s="46">
        <f t="shared" si="32"/>
        <v>596.02</v>
      </c>
      <c r="AD70" s="46">
        <f t="shared" si="32"/>
        <v>2159.5100000000002</v>
      </c>
      <c r="AE70" s="46">
        <f t="shared" si="32"/>
        <v>0</v>
      </c>
      <c r="AF70" s="46">
        <f t="shared" si="32"/>
        <v>745.03</v>
      </c>
      <c r="AG70" s="46">
        <f t="shared" si="32"/>
        <v>11661.35</v>
      </c>
      <c r="AH70" s="46">
        <f t="shared" si="32"/>
        <v>670.53</v>
      </c>
      <c r="AI70" s="46">
        <f t="shared" si="32"/>
        <v>1005.79</v>
      </c>
      <c r="AJ70" s="46">
        <f t="shared" si="30"/>
        <v>521.52</v>
      </c>
      <c r="AK70" s="46">
        <f t="shared" si="30"/>
        <v>485.89</v>
      </c>
      <c r="AL70" s="46">
        <f t="shared" ref="AL70:AL103" si="46">SUM(AA70:AK70)</f>
        <v>18517.79</v>
      </c>
    </row>
    <row r="71" spans="1:38" x14ac:dyDescent="0.2">
      <c r="A71" s="43" t="s">
        <v>225</v>
      </c>
      <c r="B71" s="44">
        <f t="shared" si="33"/>
        <v>6678.14</v>
      </c>
      <c r="C71" s="44">
        <f t="shared" si="34"/>
        <v>316.35000000000002</v>
      </c>
      <c r="D71" s="44">
        <f t="shared" si="35"/>
        <v>1012.31</v>
      </c>
      <c r="E71" s="44">
        <f t="shared" si="36"/>
        <v>0</v>
      </c>
      <c r="F71" s="44">
        <f t="shared" si="37"/>
        <v>186.8</v>
      </c>
      <c r="G71" s="44">
        <f t="shared" si="38"/>
        <v>1265.3900000000001</v>
      </c>
      <c r="H71" s="44">
        <f t="shared" si="39"/>
        <v>19109.759999999998</v>
      </c>
      <c r="I71" s="44">
        <f t="shared" si="40"/>
        <v>1138.8499999999999</v>
      </c>
      <c r="J71" s="44">
        <f t="shared" si="41"/>
        <v>1708.28</v>
      </c>
      <c r="K71" s="44">
        <f t="shared" si="42"/>
        <v>885.77</v>
      </c>
      <c r="L71" s="44">
        <f t="shared" si="43"/>
        <v>575.35</v>
      </c>
      <c r="M71" s="44">
        <f t="shared" si="44"/>
        <v>32877</v>
      </c>
      <c r="N71" s="45">
        <f>'OP8 part 1 analysis'!G88</f>
        <v>0.42307692307692302</v>
      </c>
      <c r="O71" s="46">
        <f t="shared" si="31"/>
        <v>3852.7700000000004</v>
      </c>
      <c r="P71" s="46">
        <f t="shared" si="31"/>
        <v>182.51000000000002</v>
      </c>
      <c r="Q71" s="46">
        <f t="shared" si="31"/>
        <v>584.02</v>
      </c>
      <c r="R71" s="46">
        <f t="shared" ref="R71:W103" si="47">E71-AD71</f>
        <v>0</v>
      </c>
      <c r="S71" s="46">
        <f t="shared" si="47"/>
        <v>107.77000000000001</v>
      </c>
      <c r="T71" s="46">
        <f t="shared" si="47"/>
        <v>730.03000000000009</v>
      </c>
      <c r="U71" s="46">
        <f t="shared" si="47"/>
        <v>11024.859999999999</v>
      </c>
      <c r="V71" s="46">
        <f t="shared" si="47"/>
        <v>657.03</v>
      </c>
      <c r="W71" s="46">
        <f t="shared" si="47"/>
        <v>985.55</v>
      </c>
      <c r="X71" s="46">
        <f t="shared" si="29"/>
        <v>511.02</v>
      </c>
      <c r="Y71" s="46">
        <f t="shared" si="29"/>
        <v>331.93000000000006</v>
      </c>
      <c r="Z71" s="46">
        <f t="shared" si="45"/>
        <v>18967.489999999998</v>
      </c>
      <c r="AA71" s="46">
        <f t="shared" si="32"/>
        <v>2825.37</v>
      </c>
      <c r="AB71" s="46">
        <f t="shared" si="32"/>
        <v>133.84</v>
      </c>
      <c r="AC71" s="46">
        <f t="shared" si="32"/>
        <v>428.29</v>
      </c>
      <c r="AD71" s="46">
        <f t="shared" ref="AD71:AI103" si="48">ROUND(E71*$N71,2)</f>
        <v>0</v>
      </c>
      <c r="AE71" s="46">
        <f t="shared" si="48"/>
        <v>79.03</v>
      </c>
      <c r="AF71" s="46">
        <f t="shared" si="48"/>
        <v>535.36</v>
      </c>
      <c r="AG71" s="46">
        <f t="shared" si="48"/>
        <v>8084.9</v>
      </c>
      <c r="AH71" s="46">
        <f t="shared" si="48"/>
        <v>481.82</v>
      </c>
      <c r="AI71" s="46">
        <f t="shared" si="48"/>
        <v>722.73</v>
      </c>
      <c r="AJ71" s="46">
        <f t="shared" si="30"/>
        <v>374.75</v>
      </c>
      <c r="AK71" s="46">
        <f t="shared" si="30"/>
        <v>243.42</v>
      </c>
      <c r="AL71" s="46">
        <f t="shared" si="46"/>
        <v>13909.51</v>
      </c>
    </row>
    <row r="72" spans="1:38" x14ac:dyDescent="0.2">
      <c r="A72" s="43" t="s">
        <v>226</v>
      </c>
      <c r="B72" s="44">
        <f t="shared" si="33"/>
        <v>15000</v>
      </c>
      <c r="C72" s="44">
        <f t="shared" si="34"/>
        <v>117</v>
      </c>
      <c r="D72" s="44">
        <f t="shared" si="35"/>
        <v>374.4</v>
      </c>
      <c r="E72" s="44">
        <f t="shared" si="36"/>
        <v>0</v>
      </c>
      <c r="F72" s="44">
        <f t="shared" si="37"/>
        <v>180</v>
      </c>
      <c r="G72" s="44">
        <f t="shared" si="38"/>
        <v>468</v>
      </c>
      <c r="H72" s="44">
        <f t="shared" si="39"/>
        <v>10234.799999999999</v>
      </c>
      <c r="I72" s="44">
        <f t="shared" si="40"/>
        <v>421.2</v>
      </c>
      <c r="J72" s="44">
        <f t="shared" si="41"/>
        <v>631.79999999999995</v>
      </c>
      <c r="K72" s="44">
        <f t="shared" si="42"/>
        <v>327.60000000000002</v>
      </c>
      <c r="L72" s="44">
        <f t="shared" si="43"/>
        <v>660</v>
      </c>
      <c r="M72" s="44">
        <f t="shared" si="44"/>
        <v>28414.799999999996</v>
      </c>
      <c r="N72" s="45">
        <f>'OP8 part 1 analysis'!G89</f>
        <v>0.59459459459459452</v>
      </c>
      <c r="O72" s="46">
        <f t="shared" ref="O72:Q103" si="49">B72-AA72</f>
        <v>6081.08</v>
      </c>
      <c r="P72" s="46">
        <f t="shared" si="49"/>
        <v>47.430000000000007</v>
      </c>
      <c r="Q72" s="46">
        <f t="shared" si="49"/>
        <v>151.77999999999997</v>
      </c>
      <c r="R72" s="46">
        <f t="shared" si="47"/>
        <v>0</v>
      </c>
      <c r="S72" s="46">
        <f t="shared" si="47"/>
        <v>72.97</v>
      </c>
      <c r="T72" s="46">
        <f t="shared" si="47"/>
        <v>189.73000000000002</v>
      </c>
      <c r="U72" s="46">
        <f t="shared" si="47"/>
        <v>4149.2399999999989</v>
      </c>
      <c r="V72" s="46">
        <f t="shared" si="47"/>
        <v>170.76</v>
      </c>
      <c r="W72" s="46">
        <f t="shared" si="47"/>
        <v>256.13999999999993</v>
      </c>
      <c r="X72" s="46">
        <f t="shared" si="29"/>
        <v>132.81000000000003</v>
      </c>
      <c r="Y72" s="46">
        <f t="shared" si="29"/>
        <v>267.57</v>
      </c>
      <c r="Z72" s="46">
        <f t="shared" si="45"/>
        <v>11519.509999999998</v>
      </c>
      <c r="AA72" s="46">
        <f t="shared" ref="AA72:AC103" si="50">ROUND(B72*$N72,2)</f>
        <v>8918.92</v>
      </c>
      <c r="AB72" s="46">
        <f t="shared" si="50"/>
        <v>69.569999999999993</v>
      </c>
      <c r="AC72" s="46">
        <f t="shared" si="50"/>
        <v>222.62</v>
      </c>
      <c r="AD72" s="46">
        <f t="shared" si="48"/>
        <v>0</v>
      </c>
      <c r="AE72" s="46">
        <f t="shared" si="48"/>
        <v>107.03</v>
      </c>
      <c r="AF72" s="46">
        <f t="shared" si="48"/>
        <v>278.27</v>
      </c>
      <c r="AG72" s="46">
        <f t="shared" si="48"/>
        <v>6085.56</v>
      </c>
      <c r="AH72" s="46">
        <f t="shared" si="48"/>
        <v>250.44</v>
      </c>
      <c r="AI72" s="46">
        <f t="shared" si="48"/>
        <v>375.66</v>
      </c>
      <c r="AJ72" s="46">
        <f t="shared" si="30"/>
        <v>194.79</v>
      </c>
      <c r="AK72" s="46">
        <f t="shared" si="30"/>
        <v>392.43</v>
      </c>
      <c r="AL72" s="46">
        <f t="shared" si="46"/>
        <v>16895.29</v>
      </c>
    </row>
    <row r="73" spans="1:38" x14ac:dyDescent="0.2">
      <c r="A73" s="43" t="s">
        <v>227</v>
      </c>
      <c r="B73" s="44">
        <f t="shared" si="33"/>
        <v>4150.6400000000003</v>
      </c>
      <c r="C73" s="44">
        <f t="shared" si="34"/>
        <v>253.54</v>
      </c>
      <c r="D73" s="44">
        <f t="shared" si="35"/>
        <v>811.32</v>
      </c>
      <c r="E73" s="44">
        <f t="shared" si="36"/>
        <v>0</v>
      </c>
      <c r="F73" s="44">
        <f t="shared" si="37"/>
        <v>2835.59</v>
      </c>
      <c r="G73" s="44">
        <f t="shared" si="38"/>
        <v>1014.15</v>
      </c>
      <c r="H73" s="44">
        <f t="shared" si="39"/>
        <v>10904.76</v>
      </c>
      <c r="I73" s="44">
        <f t="shared" si="40"/>
        <v>912.73</v>
      </c>
      <c r="J73" s="44">
        <f t="shared" si="41"/>
        <v>1369.1</v>
      </c>
      <c r="K73" s="44">
        <f t="shared" si="42"/>
        <v>709.9</v>
      </c>
      <c r="L73" s="44">
        <f t="shared" si="43"/>
        <v>11613.28</v>
      </c>
      <c r="M73" s="44">
        <f t="shared" si="44"/>
        <v>34575.01</v>
      </c>
      <c r="N73" s="45">
        <f>'OP8 part 1 analysis'!G90</f>
        <v>0.27436367499387565</v>
      </c>
      <c r="O73" s="46">
        <f t="shared" si="49"/>
        <v>3011.8600000000006</v>
      </c>
      <c r="P73" s="46">
        <f t="shared" si="49"/>
        <v>183.98</v>
      </c>
      <c r="Q73" s="46">
        <f t="shared" si="49"/>
        <v>588.72</v>
      </c>
      <c r="R73" s="46">
        <f t="shared" si="47"/>
        <v>0</v>
      </c>
      <c r="S73" s="46">
        <f t="shared" si="47"/>
        <v>2057.61</v>
      </c>
      <c r="T73" s="46">
        <f t="shared" si="47"/>
        <v>735.9</v>
      </c>
      <c r="U73" s="46">
        <f t="shared" si="47"/>
        <v>7912.89</v>
      </c>
      <c r="V73" s="46">
        <f t="shared" si="47"/>
        <v>662.31000000000006</v>
      </c>
      <c r="W73" s="46">
        <f t="shared" si="47"/>
        <v>993.46999999999991</v>
      </c>
      <c r="X73" s="46">
        <f t="shared" si="29"/>
        <v>515.13</v>
      </c>
      <c r="Y73" s="46">
        <f t="shared" si="29"/>
        <v>8427.02</v>
      </c>
      <c r="Z73" s="46">
        <f t="shared" si="45"/>
        <v>25088.89</v>
      </c>
      <c r="AA73" s="46">
        <f t="shared" si="50"/>
        <v>1138.78</v>
      </c>
      <c r="AB73" s="46">
        <f t="shared" si="50"/>
        <v>69.56</v>
      </c>
      <c r="AC73" s="46">
        <f t="shared" si="50"/>
        <v>222.6</v>
      </c>
      <c r="AD73" s="46">
        <f t="shared" si="48"/>
        <v>0</v>
      </c>
      <c r="AE73" s="46">
        <f t="shared" si="48"/>
        <v>777.98</v>
      </c>
      <c r="AF73" s="46">
        <f t="shared" si="48"/>
        <v>278.25</v>
      </c>
      <c r="AG73" s="46">
        <f t="shared" si="48"/>
        <v>2991.87</v>
      </c>
      <c r="AH73" s="46">
        <f t="shared" si="48"/>
        <v>250.42</v>
      </c>
      <c r="AI73" s="46">
        <f t="shared" si="48"/>
        <v>375.63</v>
      </c>
      <c r="AJ73" s="46">
        <f t="shared" si="30"/>
        <v>194.77</v>
      </c>
      <c r="AK73" s="46">
        <f t="shared" si="30"/>
        <v>3186.26</v>
      </c>
      <c r="AL73" s="46">
        <f t="shared" si="46"/>
        <v>9486.1200000000008</v>
      </c>
    </row>
    <row r="74" spans="1:38" x14ac:dyDescent="0.2">
      <c r="A74" s="43" t="s">
        <v>228</v>
      </c>
      <c r="B74" s="44">
        <f t="shared" si="33"/>
        <v>4275</v>
      </c>
      <c r="C74" s="44">
        <f t="shared" si="34"/>
        <v>126.75</v>
      </c>
      <c r="D74" s="44">
        <f t="shared" si="35"/>
        <v>405.6</v>
      </c>
      <c r="E74" s="44">
        <f t="shared" si="36"/>
        <v>0</v>
      </c>
      <c r="F74" s="44">
        <f t="shared" si="37"/>
        <v>720</v>
      </c>
      <c r="G74" s="44">
        <f t="shared" si="38"/>
        <v>507</v>
      </c>
      <c r="H74" s="44">
        <f t="shared" si="39"/>
        <v>9135</v>
      </c>
      <c r="I74" s="44">
        <f t="shared" si="40"/>
        <v>456.3</v>
      </c>
      <c r="J74" s="44">
        <f t="shared" si="41"/>
        <v>684.45</v>
      </c>
      <c r="K74" s="44">
        <f t="shared" si="42"/>
        <v>354.9</v>
      </c>
      <c r="L74" s="44">
        <f t="shared" si="43"/>
        <v>585</v>
      </c>
      <c r="M74" s="44">
        <f t="shared" si="44"/>
        <v>17250</v>
      </c>
      <c r="N74" s="45">
        <f>'OP8 part 1 analysis'!G91</f>
        <v>0</v>
      </c>
      <c r="O74" s="46">
        <f t="shared" si="49"/>
        <v>4275</v>
      </c>
      <c r="P74" s="46">
        <f t="shared" si="49"/>
        <v>126.75</v>
      </c>
      <c r="Q74" s="46">
        <f t="shared" si="49"/>
        <v>405.6</v>
      </c>
      <c r="R74" s="46">
        <f t="shared" si="47"/>
        <v>0</v>
      </c>
      <c r="S74" s="46">
        <f t="shared" si="47"/>
        <v>720</v>
      </c>
      <c r="T74" s="46">
        <f t="shared" si="47"/>
        <v>507</v>
      </c>
      <c r="U74" s="46">
        <f t="shared" si="47"/>
        <v>9135</v>
      </c>
      <c r="V74" s="46">
        <f t="shared" si="47"/>
        <v>456.3</v>
      </c>
      <c r="W74" s="46">
        <f t="shared" si="47"/>
        <v>684.45</v>
      </c>
      <c r="X74" s="46">
        <f t="shared" si="29"/>
        <v>354.9</v>
      </c>
      <c r="Y74" s="46">
        <f t="shared" si="29"/>
        <v>585</v>
      </c>
      <c r="Z74" s="46">
        <f t="shared" si="45"/>
        <v>17250</v>
      </c>
      <c r="AA74" s="46">
        <f t="shared" si="50"/>
        <v>0</v>
      </c>
      <c r="AB74" s="46">
        <f t="shared" si="50"/>
        <v>0</v>
      </c>
      <c r="AC74" s="46">
        <f t="shared" si="50"/>
        <v>0</v>
      </c>
      <c r="AD74" s="46">
        <f t="shared" si="48"/>
        <v>0</v>
      </c>
      <c r="AE74" s="46">
        <f t="shared" si="48"/>
        <v>0</v>
      </c>
      <c r="AF74" s="46">
        <f t="shared" si="48"/>
        <v>0</v>
      </c>
      <c r="AG74" s="46">
        <f t="shared" si="48"/>
        <v>0</v>
      </c>
      <c r="AH74" s="46">
        <f t="shared" si="48"/>
        <v>0</v>
      </c>
      <c r="AI74" s="46">
        <f t="shared" si="48"/>
        <v>0</v>
      </c>
      <c r="AJ74" s="46">
        <f t="shared" si="30"/>
        <v>0</v>
      </c>
      <c r="AK74" s="46">
        <f t="shared" si="30"/>
        <v>0</v>
      </c>
      <c r="AL74" s="46">
        <f t="shared" si="46"/>
        <v>0</v>
      </c>
    </row>
    <row r="75" spans="1:38" x14ac:dyDescent="0.2">
      <c r="A75" s="43" t="s">
        <v>229</v>
      </c>
      <c r="B75" s="44">
        <f t="shared" si="33"/>
        <v>2434.9899999999998</v>
      </c>
      <c r="C75" s="44">
        <f t="shared" si="34"/>
        <v>60.87</v>
      </c>
      <c r="D75" s="44">
        <f t="shared" si="35"/>
        <v>194.8</v>
      </c>
      <c r="E75" s="44">
        <f t="shared" si="36"/>
        <v>0</v>
      </c>
      <c r="F75" s="44">
        <f t="shared" si="37"/>
        <v>324.67</v>
      </c>
      <c r="G75" s="44">
        <f t="shared" si="38"/>
        <v>243.5</v>
      </c>
      <c r="H75" s="44">
        <f t="shared" si="39"/>
        <v>31925.200000000001</v>
      </c>
      <c r="I75" s="44">
        <f t="shared" si="40"/>
        <v>219.15</v>
      </c>
      <c r="J75" s="44">
        <f t="shared" si="41"/>
        <v>328.72</v>
      </c>
      <c r="K75" s="44">
        <f t="shared" si="42"/>
        <v>170.45</v>
      </c>
      <c r="L75" s="44">
        <f t="shared" si="43"/>
        <v>1923.64</v>
      </c>
      <c r="M75" s="44">
        <f t="shared" si="44"/>
        <v>37825.99</v>
      </c>
      <c r="N75" s="45">
        <f>'OP8 part 1 analysis'!G92</f>
        <v>0.12790697674418605</v>
      </c>
      <c r="O75" s="46">
        <f t="shared" si="49"/>
        <v>2123.54</v>
      </c>
      <c r="P75" s="46">
        <f t="shared" si="49"/>
        <v>53.08</v>
      </c>
      <c r="Q75" s="46">
        <f t="shared" si="49"/>
        <v>169.88</v>
      </c>
      <c r="R75" s="46">
        <f t="shared" si="47"/>
        <v>0</v>
      </c>
      <c r="S75" s="46">
        <f t="shared" si="47"/>
        <v>283.14</v>
      </c>
      <c r="T75" s="46">
        <f t="shared" si="47"/>
        <v>212.35</v>
      </c>
      <c r="U75" s="46">
        <f t="shared" si="47"/>
        <v>27841.74</v>
      </c>
      <c r="V75" s="46">
        <f t="shared" si="47"/>
        <v>191.12</v>
      </c>
      <c r="W75" s="46">
        <f t="shared" si="47"/>
        <v>286.67</v>
      </c>
      <c r="X75" s="46">
        <f t="shared" si="29"/>
        <v>148.64999999999998</v>
      </c>
      <c r="Y75" s="46">
        <f t="shared" si="29"/>
        <v>1677.5900000000001</v>
      </c>
      <c r="Z75" s="46">
        <f t="shared" si="45"/>
        <v>32987.760000000002</v>
      </c>
      <c r="AA75" s="46">
        <f t="shared" si="50"/>
        <v>311.45</v>
      </c>
      <c r="AB75" s="46">
        <f t="shared" si="50"/>
        <v>7.79</v>
      </c>
      <c r="AC75" s="46">
        <f t="shared" si="50"/>
        <v>24.92</v>
      </c>
      <c r="AD75" s="46">
        <f t="shared" si="48"/>
        <v>0</v>
      </c>
      <c r="AE75" s="46">
        <f t="shared" si="48"/>
        <v>41.53</v>
      </c>
      <c r="AF75" s="46">
        <f t="shared" si="48"/>
        <v>31.15</v>
      </c>
      <c r="AG75" s="46">
        <f t="shared" si="48"/>
        <v>4083.46</v>
      </c>
      <c r="AH75" s="46">
        <f t="shared" si="48"/>
        <v>28.03</v>
      </c>
      <c r="AI75" s="46">
        <f t="shared" si="48"/>
        <v>42.05</v>
      </c>
      <c r="AJ75" s="46">
        <f t="shared" si="30"/>
        <v>21.8</v>
      </c>
      <c r="AK75" s="46">
        <f t="shared" si="30"/>
        <v>246.05</v>
      </c>
      <c r="AL75" s="46">
        <f t="shared" si="46"/>
        <v>4838.2300000000005</v>
      </c>
    </row>
    <row r="76" spans="1:38" x14ac:dyDescent="0.2">
      <c r="A76" s="43" t="s">
        <v>230</v>
      </c>
      <c r="B76" s="44">
        <f t="shared" si="33"/>
        <v>4697.6400000000003</v>
      </c>
      <c r="C76" s="44">
        <f t="shared" si="34"/>
        <v>107.65</v>
      </c>
      <c r="D76" s="44">
        <f t="shared" si="35"/>
        <v>344.49</v>
      </c>
      <c r="E76" s="44">
        <f t="shared" si="36"/>
        <v>0</v>
      </c>
      <c r="F76" s="44">
        <f t="shared" si="37"/>
        <v>0</v>
      </c>
      <c r="G76" s="44">
        <f t="shared" si="38"/>
        <v>430.62</v>
      </c>
      <c r="H76" s="44">
        <f t="shared" si="39"/>
        <v>7748.75</v>
      </c>
      <c r="I76" s="44">
        <f t="shared" si="40"/>
        <v>387.56</v>
      </c>
      <c r="J76" s="44">
        <f t="shared" si="41"/>
        <v>581.33000000000004</v>
      </c>
      <c r="K76" s="44">
        <f t="shared" si="42"/>
        <v>301.43</v>
      </c>
      <c r="L76" s="44">
        <f t="shared" si="43"/>
        <v>939.53</v>
      </c>
      <c r="M76" s="44">
        <f t="shared" si="44"/>
        <v>15539</v>
      </c>
      <c r="N76" s="45">
        <f>'OP8 part 1 analysis'!G93</f>
        <v>0</v>
      </c>
      <c r="O76" s="46">
        <f t="shared" si="49"/>
        <v>4697.6400000000003</v>
      </c>
      <c r="P76" s="46">
        <f t="shared" si="49"/>
        <v>107.65</v>
      </c>
      <c r="Q76" s="46">
        <f t="shared" si="49"/>
        <v>344.49</v>
      </c>
      <c r="R76" s="46">
        <f t="shared" si="47"/>
        <v>0</v>
      </c>
      <c r="S76" s="46">
        <f t="shared" si="47"/>
        <v>0</v>
      </c>
      <c r="T76" s="46">
        <f t="shared" si="47"/>
        <v>430.62</v>
      </c>
      <c r="U76" s="46">
        <f t="shared" si="47"/>
        <v>7748.75</v>
      </c>
      <c r="V76" s="46">
        <f t="shared" si="47"/>
        <v>387.56</v>
      </c>
      <c r="W76" s="46">
        <f t="shared" si="47"/>
        <v>581.33000000000004</v>
      </c>
      <c r="X76" s="46">
        <f t="shared" si="29"/>
        <v>301.43</v>
      </c>
      <c r="Y76" s="46">
        <f t="shared" si="29"/>
        <v>939.53</v>
      </c>
      <c r="Z76" s="46">
        <f t="shared" si="45"/>
        <v>15539</v>
      </c>
      <c r="AA76" s="46">
        <f t="shared" si="50"/>
        <v>0</v>
      </c>
      <c r="AB76" s="46">
        <f t="shared" si="50"/>
        <v>0</v>
      </c>
      <c r="AC76" s="46">
        <f t="shared" si="50"/>
        <v>0</v>
      </c>
      <c r="AD76" s="46">
        <f t="shared" si="48"/>
        <v>0</v>
      </c>
      <c r="AE76" s="46">
        <f t="shared" si="48"/>
        <v>0</v>
      </c>
      <c r="AF76" s="46">
        <f t="shared" si="48"/>
        <v>0</v>
      </c>
      <c r="AG76" s="46">
        <f t="shared" si="48"/>
        <v>0</v>
      </c>
      <c r="AH76" s="46">
        <f t="shared" si="48"/>
        <v>0</v>
      </c>
      <c r="AI76" s="46">
        <f t="shared" si="48"/>
        <v>0</v>
      </c>
      <c r="AJ76" s="46">
        <f t="shared" si="30"/>
        <v>0</v>
      </c>
      <c r="AK76" s="46">
        <f t="shared" si="30"/>
        <v>0</v>
      </c>
      <c r="AL76" s="46">
        <f t="shared" si="46"/>
        <v>0</v>
      </c>
    </row>
    <row r="77" spans="1:38" x14ac:dyDescent="0.2">
      <c r="A77" s="43" t="s">
        <v>231</v>
      </c>
      <c r="B77" s="44">
        <f t="shared" si="33"/>
        <v>11393.22</v>
      </c>
      <c r="C77" s="44">
        <f t="shared" si="34"/>
        <v>446.38</v>
      </c>
      <c r="D77" s="44">
        <f t="shared" si="35"/>
        <v>1428.4</v>
      </c>
      <c r="E77" s="44">
        <f t="shared" si="36"/>
        <v>0</v>
      </c>
      <c r="F77" s="44">
        <f t="shared" si="37"/>
        <v>255.07</v>
      </c>
      <c r="G77" s="44">
        <f t="shared" si="38"/>
        <v>1785.5</v>
      </c>
      <c r="H77" s="44">
        <f t="shared" si="39"/>
        <v>15814.47</v>
      </c>
      <c r="I77" s="44">
        <f t="shared" si="40"/>
        <v>1606.95</v>
      </c>
      <c r="J77" s="44">
        <f t="shared" si="41"/>
        <v>2410.4299999999998</v>
      </c>
      <c r="K77" s="44">
        <f t="shared" si="42"/>
        <v>1249.8499999999999</v>
      </c>
      <c r="L77" s="44">
        <f t="shared" si="43"/>
        <v>7864.72</v>
      </c>
      <c r="M77" s="44">
        <f t="shared" si="44"/>
        <v>44254.99</v>
      </c>
      <c r="N77" s="45">
        <f>'OP8 part 1 analysis'!G94</f>
        <v>0.59444677592486816</v>
      </c>
      <c r="O77" s="46">
        <f t="shared" si="49"/>
        <v>4620.5599999999995</v>
      </c>
      <c r="P77" s="46">
        <f t="shared" si="49"/>
        <v>181.02999999999997</v>
      </c>
      <c r="Q77" s="46">
        <f t="shared" si="49"/>
        <v>579.29000000000008</v>
      </c>
      <c r="R77" s="46">
        <f t="shared" si="47"/>
        <v>0</v>
      </c>
      <c r="S77" s="46">
        <f t="shared" si="47"/>
        <v>103.44</v>
      </c>
      <c r="T77" s="46">
        <f t="shared" si="47"/>
        <v>724.11999999999989</v>
      </c>
      <c r="U77" s="46">
        <f t="shared" si="47"/>
        <v>6413.6099999999988</v>
      </c>
      <c r="V77" s="46">
        <f t="shared" si="47"/>
        <v>651.70000000000005</v>
      </c>
      <c r="W77" s="46">
        <f t="shared" si="47"/>
        <v>977.56</v>
      </c>
      <c r="X77" s="46">
        <f t="shared" si="29"/>
        <v>506.87999999999988</v>
      </c>
      <c r="Y77" s="46">
        <f t="shared" si="29"/>
        <v>3189.5600000000004</v>
      </c>
      <c r="Z77" s="46">
        <f t="shared" si="45"/>
        <v>17947.749999999996</v>
      </c>
      <c r="AA77" s="46">
        <f t="shared" si="50"/>
        <v>6772.66</v>
      </c>
      <c r="AB77" s="46">
        <f t="shared" si="50"/>
        <v>265.35000000000002</v>
      </c>
      <c r="AC77" s="46">
        <f t="shared" si="50"/>
        <v>849.11</v>
      </c>
      <c r="AD77" s="46">
        <f t="shared" si="48"/>
        <v>0</v>
      </c>
      <c r="AE77" s="46">
        <f t="shared" si="48"/>
        <v>151.63</v>
      </c>
      <c r="AF77" s="46">
        <f t="shared" si="48"/>
        <v>1061.3800000000001</v>
      </c>
      <c r="AG77" s="46">
        <f t="shared" si="48"/>
        <v>9400.86</v>
      </c>
      <c r="AH77" s="46">
        <f t="shared" si="48"/>
        <v>955.25</v>
      </c>
      <c r="AI77" s="46">
        <f t="shared" si="48"/>
        <v>1432.87</v>
      </c>
      <c r="AJ77" s="46">
        <f t="shared" si="30"/>
        <v>742.97</v>
      </c>
      <c r="AK77" s="46">
        <f t="shared" si="30"/>
        <v>4675.16</v>
      </c>
      <c r="AL77" s="46">
        <f t="shared" si="46"/>
        <v>26307.24</v>
      </c>
    </row>
    <row r="78" spans="1:38" x14ac:dyDescent="0.2">
      <c r="A78" s="43" t="s">
        <v>232</v>
      </c>
      <c r="B78" s="44">
        <f t="shared" si="33"/>
        <v>11494.08</v>
      </c>
      <c r="C78" s="44">
        <f t="shared" si="34"/>
        <v>167.99</v>
      </c>
      <c r="D78" s="44">
        <f t="shared" si="35"/>
        <v>537.57000000000005</v>
      </c>
      <c r="E78" s="44">
        <f t="shared" si="36"/>
        <v>0</v>
      </c>
      <c r="F78" s="44">
        <f t="shared" si="37"/>
        <v>0</v>
      </c>
      <c r="G78" s="44">
        <f t="shared" si="38"/>
        <v>671.96</v>
      </c>
      <c r="H78" s="44">
        <f t="shared" si="39"/>
        <v>6454.37</v>
      </c>
      <c r="I78" s="44">
        <f t="shared" si="40"/>
        <v>604.77</v>
      </c>
      <c r="J78" s="44">
        <f t="shared" si="41"/>
        <v>907.15</v>
      </c>
      <c r="K78" s="44">
        <f t="shared" si="42"/>
        <v>470.37</v>
      </c>
      <c r="L78" s="44">
        <f t="shared" si="43"/>
        <v>795.74</v>
      </c>
      <c r="M78" s="44">
        <f t="shared" si="44"/>
        <v>22104</v>
      </c>
      <c r="N78" s="45">
        <f>'OP8 part 1 analysis'!G95</f>
        <v>0</v>
      </c>
      <c r="O78" s="46">
        <f t="shared" si="49"/>
        <v>11494.08</v>
      </c>
      <c r="P78" s="46">
        <f t="shared" si="49"/>
        <v>167.99</v>
      </c>
      <c r="Q78" s="46">
        <f t="shared" si="49"/>
        <v>537.57000000000005</v>
      </c>
      <c r="R78" s="46">
        <f t="shared" si="47"/>
        <v>0</v>
      </c>
      <c r="S78" s="46">
        <f t="shared" si="47"/>
        <v>0</v>
      </c>
      <c r="T78" s="46">
        <f t="shared" si="47"/>
        <v>671.96</v>
      </c>
      <c r="U78" s="46">
        <f t="shared" si="47"/>
        <v>6454.37</v>
      </c>
      <c r="V78" s="46">
        <f t="shared" si="47"/>
        <v>604.77</v>
      </c>
      <c r="W78" s="46">
        <f t="shared" si="47"/>
        <v>907.15</v>
      </c>
      <c r="X78" s="46">
        <f t="shared" si="29"/>
        <v>470.37</v>
      </c>
      <c r="Y78" s="46">
        <f t="shared" si="29"/>
        <v>795.74</v>
      </c>
      <c r="Z78" s="46">
        <f t="shared" si="45"/>
        <v>22104</v>
      </c>
      <c r="AA78" s="46">
        <f t="shared" si="50"/>
        <v>0</v>
      </c>
      <c r="AB78" s="46">
        <f t="shared" si="50"/>
        <v>0</v>
      </c>
      <c r="AC78" s="46">
        <f t="shared" si="50"/>
        <v>0</v>
      </c>
      <c r="AD78" s="46">
        <f t="shared" si="48"/>
        <v>0</v>
      </c>
      <c r="AE78" s="46">
        <f t="shared" si="48"/>
        <v>0</v>
      </c>
      <c r="AF78" s="46">
        <f t="shared" si="48"/>
        <v>0</v>
      </c>
      <c r="AG78" s="46">
        <f t="shared" si="48"/>
        <v>0</v>
      </c>
      <c r="AH78" s="46">
        <f t="shared" si="48"/>
        <v>0</v>
      </c>
      <c r="AI78" s="46">
        <f t="shared" si="48"/>
        <v>0</v>
      </c>
      <c r="AJ78" s="46">
        <f t="shared" si="30"/>
        <v>0</v>
      </c>
      <c r="AK78" s="46">
        <f t="shared" si="30"/>
        <v>0</v>
      </c>
      <c r="AL78" s="46">
        <f t="shared" si="46"/>
        <v>0</v>
      </c>
    </row>
    <row r="79" spans="1:38" x14ac:dyDescent="0.2">
      <c r="A79" s="43" t="s">
        <v>134</v>
      </c>
      <c r="B79" s="44">
        <f t="shared" si="33"/>
        <v>0</v>
      </c>
      <c r="C79" s="44">
        <f t="shared" si="34"/>
        <v>0</v>
      </c>
      <c r="D79" s="44">
        <f t="shared" si="35"/>
        <v>0</v>
      </c>
      <c r="E79" s="44">
        <f t="shared" si="36"/>
        <v>0</v>
      </c>
      <c r="F79" s="44">
        <f t="shared" si="37"/>
        <v>0</v>
      </c>
      <c r="G79" s="44">
        <f t="shared" si="38"/>
        <v>0</v>
      </c>
      <c r="H79" s="44">
        <f t="shared" si="39"/>
        <v>0</v>
      </c>
      <c r="I79" s="44">
        <f t="shared" si="40"/>
        <v>0</v>
      </c>
      <c r="J79" s="44">
        <f t="shared" si="41"/>
        <v>0</v>
      </c>
      <c r="K79" s="44">
        <f t="shared" si="42"/>
        <v>0</v>
      </c>
      <c r="L79" s="44">
        <f t="shared" si="43"/>
        <v>0</v>
      </c>
      <c r="M79" s="44">
        <f t="shared" si="44"/>
        <v>0</v>
      </c>
      <c r="N79" s="45">
        <f>'OP8 part 1 analysis'!G96</f>
        <v>0.88</v>
      </c>
      <c r="O79" s="46">
        <f t="shared" si="49"/>
        <v>0</v>
      </c>
      <c r="P79" s="46">
        <f t="shared" si="49"/>
        <v>0</v>
      </c>
      <c r="Q79" s="46">
        <f t="shared" si="49"/>
        <v>0</v>
      </c>
      <c r="R79" s="46">
        <f t="shared" si="47"/>
        <v>0</v>
      </c>
      <c r="S79" s="46">
        <f t="shared" si="47"/>
        <v>0</v>
      </c>
      <c r="T79" s="46">
        <f t="shared" si="47"/>
        <v>0</v>
      </c>
      <c r="U79" s="46">
        <f t="shared" si="47"/>
        <v>0</v>
      </c>
      <c r="V79" s="46">
        <f t="shared" si="47"/>
        <v>0</v>
      </c>
      <c r="W79" s="46">
        <f t="shared" si="47"/>
        <v>0</v>
      </c>
      <c r="X79" s="46">
        <f t="shared" si="29"/>
        <v>0</v>
      </c>
      <c r="Y79" s="46">
        <f t="shared" si="29"/>
        <v>0</v>
      </c>
      <c r="Z79" s="46">
        <f t="shared" si="45"/>
        <v>0</v>
      </c>
      <c r="AA79" s="46">
        <f t="shared" si="50"/>
        <v>0</v>
      </c>
      <c r="AB79" s="46">
        <f t="shared" si="50"/>
        <v>0</v>
      </c>
      <c r="AC79" s="46">
        <f t="shared" si="50"/>
        <v>0</v>
      </c>
      <c r="AD79" s="46">
        <f t="shared" si="48"/>
        <v>0</v>
      </c>
      <c r="AE79" s="46">
        <f t="shared" si="48"/>
        <v>0</v>
      </c>
      <c r="AF79" s="46">
        <f t="shared" si="48"/>
        <v>0</v>
      </c>
      <c r="AG79" s="46">
        <f t="shared" si="48"/>
        <v>0</v>
      </c>
      <c r="AH79" s="46">
        <f t="shared" si="48"/>
        <v>0</v>
      </c>
      <c r="AI79" s="46">
        <f t="shared" si="48"/>
        <v>0</v>
      </c>
      <c r="AJ79" s="46">
        <f t="shared" si="30"/>
        <v>0</v>
      </c>
      <c r="AK79" s="46">
        <f t="shared" si="30"/>
        <v>0</v>
      </c>
      <c r="AL79" s="46">
        <f t="shared" si="46"/>
        <v>0</v>
      </c>
    </row>
    <row r="80" spans="1:38" x14ac:dyDescent="0.2">
      <c r="A80" s="43" t="s">
        <v>233</v>
      </c>
      <c r="B80" s="44">
        <f t="shared" si="33"/>
        <v>6600</v>
      </c>
      <c r="C80" s="44">
        <f t="shared" si="34"/>
        <v>0</v>
      </c>
      <c r="D80" s="44">
        <f t="shared" si="35"/>
        <v>0</v>
      </c>
      <c r="E80" s="44">
        <f t="shared" si="36"/>
        <v>0</v>
      </c>
      <c r="F80" s="44">
        <f t="shared" si="37"/>
        <v>120</v>
      </c>
      <c r="G80" s="44">
        <f t="shared" si="38"/>
        <v>0</v>
      </c>
      <c r="H80" s="44">
        <f t="shared" si="39"/>
        <v>11077.2</v>
      </c>
      <c r="I80" s="44">
        <f t="shared" si="40"/>
        <v>0</v>
      </c>
      <c r="J80" s="44">
        <f t="shared" si="41"/>
        <v>0</v>
      </c>
      <c r="K80" s="44">
        <f t="shared" si="42"/>
        <v>0</v>
      </c>
      <c r="L80" s="44">
        <f t="shared" si="43"/>
        <v>2100</v>
      </c>
      <c r="M80" s="44">
        <f t="shared" si="44"/>
        <v>19897.2</v>
      </c>
      <c r="N80" s="45">
        <f>'OP8 part 1 analysis'!G97</f>
        <v>0.12790697674418605</v>
      </c>
      <c r="O80" s="46">
        <f t="shared" si="49"/>
        <v>5755.8099999999995</v>
      </c>
      <c r="P80" s="46">
        <f t="shared" si="49"/>
        <v>0</v>
      </c>
      <c r="Q80" s="46">
        <f t="shared" si="49"/>
        <v>0</v>
      </c>
      <c r="R80" s="46">
        <f t="shared" si="47"/>
        <v>0</v>
      </c>
      <c r="S80" s="46">
        <f t="shared" si="47"/>
        <v>104.65</v>
      </c>
      <c r="T80" s="46">
        <f t="shared" si="47"/>
        <v>0</v>
      </c>
      <c r="U80" s="46">
        <f t="shared" si="47"/>
        <v>9660.35</v>
      </c>
      <c r="V80" s="46">
        <f t="shared" si="47"/>
        <v>0</v>
      </c>
      <c r="W80" s="46">
        <f t="shared" si="47"/>
        <v>0</v>
      </c>
      <c r="X80" s="46">
        <f t="shared" si="29"/>
        <v>0</v>
      </c>
      <c r="Y80" s="46">
        <f t="shared" si="29"/>
        <v>1831.4</v>
      </c>
      <c r="Z80" s="46">
        <f t="shared" si="45"/>
        <v>17352.21</v>
      </c>
      <c r="AA80" s="46">
        <f t="shared" si="50"/>
        <v>844.19</v>
      </c>
      <c r="AB80" s="46">
        <f t="shared" si="50"/>
        <v>0</v>
      </c>
      <c r="AC80" s="46">
        <f t="shared" si="50"/>
        <v>0</v>
      </c>
      <c r="AD80" s="46">
        <f t="shared" si="48"/>
        <v>0</v>
      </c>
      <c r="AE80" s="46">
        <f t="shared" si="48"/>
        <v>15.35</v>
      </c>
      <c r="AF80" s="46">
        <f t="shared" si="48"/>
        <v>0</v>
      </c>
      <c r="AG80" s="46">
        <f t="shared" si="48"/>
        <v>1416.85</v>
      </c>
      <c r="AH80" s="46">
        <f t="shared" si="48"/>
        <v>0</v>
      </c>
      <c r="AI80" s="46">
        <f t="shared" si="48"/>
        <v>0</v>
      </c>
      <c r="AJ80" s="46">
        <f t="shared" si="30"/>
        <v>0</v>
      </c>
      <c r="AK80" s="46">
        <f t="shared" si="30"/>
        <v>268.60000000000002</v>
      </c>
      <c r="AL80" s="46">
        <f t="shared" si="46"/>
        <v>2544.9899999999998</v>
      </c>
    </row>
    <row r="81" spans="1:38" x14ac:dyDescent="0.2">
      <c r="A81" s="43" t="s">
        <v>234</v>
      </c>
      <c r="B81" s="44">
        <f t="shared" si="33"/>
        <v>13535.25</v>
      </c>
      <c r="C81" s="44">
        <f t="shared" si="34"/>
        <v>468</v>
      </c>
      <c r="D81" s="44">
        <f t="shared" si="35"/>
        <v>1497.6</v>
      </c>
      <c r="E81" s="44">
        <f t="shared" si="36"/>
        <v>0</v>
      </c>
      <c r="F81" s="44">
        <f t="shared" si="37"/>
        <v>0</v>
      </c>
      <c r="G81" s="44">
        <f t="shared" si="38"/>
        <v>1872</v>
      </c>
      <c r="H81" s="44">
        <f t="shared" si="39"/>
        <v>5907</v>
      </c>
      <c r="I81" s="44">
        <f t="shared" si="40"/>
        <v>1684.8</v>
      </c>
      <c r="J81" s="44">
        <f t="shared" si="41"/>
        <v>2527.1999999999998</v>
      </c>
      <c r="K81" s="44">
        <f t="shared" si="42"/>
        <v>1310.4000000000001</v>
      </c>
      <c r="L81" s="44">
        <f t="shared" si="43"/>
        <v>6225</v>
      </c>
      <c r="M81" s="44">
        <f t="shared" si="44"/>
        <v>35027.25</v>
      </c>
      <c r="N81" s="45">
        <f>'OP8 part 1 analysis'!G98</f>
        <v>0.53987730061349692</v>
      </c>
      <c r="O81" s="46">
        <f t="shared" si="49"/>
        <v>6227.88</v>
      </c>
      <c r="P81" s="46">
        <f t="shared" si="49"/>
        <v>215.34</v>
      </c>
      <c r="Q81" s="46">
        <f t="shared" si="49"/>
        <v>689.07999999999993</v>
      </c>
      <c r="R81" s="46">
        <f t="shared" si="47"/>
        <v>0</v>
      </c>
      <c r="S81" s="46">
        <f t="shared" si="47"/>
        <v>0</v>
      </c>
      <c r="T81" s="46">
        <f t="shared" si="47"/>
        <v>861.35</v>
      </c>
      <c r="U81" s="46">
        <f t="shared" si="47"/>
        <v>2717.94</v>
      </c>
      <c r="V81" s="46">
        <f t="shared" si="47"/>
        <v>775.20999999999992</v>
      </c>
      <c r="W81" s="46">
        <f t="shared" si="47"/>
        <v>1162.8199999999997</v>
      </c>
      <c r="X81" s="46">
        <f t="shared" si="29"/>
        <v>602.94000000000005</v>
      </c>
      <c r="Y81" s="46">
        <f t="shared" si="29"/>
        <v>2864.26</v>
      </c>
      <c r="Z81" s="46">
        <f t="shared" si="45"/>
        <v>16116.82</v>
      </c>
      <c r="AA81" s="46">
        <f t="shared" si="50"/>
        <v>7307.37</v>
      </c>
      <c r="AB81" s="46">
        <f t="shared" si="50"/>
        <v>252.66</v>
      </c>
      <c r="AC81" s="46">
        <f t="shared" si="50"/>
        <v>808.52</v>
      </c>
      <c r="AD81" s="46">
        <f t="shared" si="48"/>
        <v>0</v>
      </c>
      <c r="AE81" s="46">
        <f t="shared" si="48"/>
        <v>0</v>
      </c>
      <c r="AF81" s="46">
        <f t="shared" si="48"/>
        <v>1010.65</v>
      </c>
      <c r="AG81" s="46">
        <f t="shared" si="48"/>
        <v>3189.06</v>
      </c>
      <c r="AH81" s="46">
        <f t="shared" si="48"/>
        <v>909.59</v>
      </c>
      <c r="AI81" s="46">
        <f t="shared" si="48"/>
        <v>1364.38</v>
      </c>
      <c r="AJ81" s="46">
        <f t="shared" si="30"/>
        <v>707.46</v>
      </c>
      <c r="AK81" s="46">
        <f t="shared" si="30"/>
        <v>3360.74</v>
      </c>
      <c r="AL81" s="46">
        <f t="shared" si="46"/>
        <v>18910.43</v>
      </c>
    </row>
    <row r="82" spans="1:38" x14ac:dyDescent="0.2">
      <c r="A82" s="43" t="s">
        <v>235</v>
      </c>
      <c r="B82" s="44">
        <f t="shared" si="33"/>
        <v>10800</v>
      </c>
      <c r="C82" s="44">
        <f t="shared" si="34"/>
        <v>3000</v>
      </c>
      <c r="D82" s="44">
        <f t="shared" si="35"/>
        <v>1099.01</v>
      </c>
      <c r="E82" s="44">
        <f t="shared" si="36"/>
        <v>0</v>
      </c>
      <c r="F82" s="44">
        <f t="shared" si="37"/>
        <v>512.4</v>
      </c>
      <c r="G82" s="44">
        <f t="shared" si="38"/>
        <v>1373.76</v>
      </c>
      <c r="H82" s="44">
        <f t="shared" si="39"/>
        <v>12000</v>
      </c>
      <c r="I82" s="44">
        <f t="shared" si="40"/>
        <v>1236.3800000000001</v>
      </c>
      <c r="J82" s="44">
        <f t="shared" si="41"/>
        <v>1854.58</v>
      </c>
      <c r="K82" s="44">
        <f t="shared" si="42"/>
        <v>961.63</v>
      </c>
      <c r="L82" s="44">
        <f t="shared" si="43"/>
        <v>2803.8</v>
      </c>
      <c r="M82" s="44">
        <f t="shared" si="44"/>
        <v>35641.56</v>
      </c>
      <c r="N82" s="45">
        <f>'OP8 part 1 analysis'!G99</f>
        <v>0.67514185472343735</v>
      </c>
      <c r="O82" s="46">
        <f t="shared" si="49"/>
        <v>3508.4700000000003</v>
      </c>
      <c r="P82" s="46">
        <f t="shared" si="49"/>
        <v>974.56999999999994</v>
      </c>
      <c r="Q82" s="46">
        <f t="shared" si="49"/>
        <v>357.02</v>
      </c>
      <c r="R82" s="46">
        <f t="shared" si="47"/>
        <v>0</v>
      </c>
      <c r="S82" s="46">
        <f t="shared" si="47"/>
        <v>166.45999999999998</v>
      </c>
      <c r="T82" s="46">
        <f t="shared" si="47"/>
        <v>446.28</v>
      </c>
      <c r="U82" s="46">
        <f t="shared" si="47"/>
        <v>3898.3</v>
      </c>
      <c r="V82" s="46">
        <f t="shared" si="47"/>
        <v>401.65000000000009</v>
      </c>
      <c r="W82" s="46">
        <f t="shared" si="47"/>
        <v>602.48</v>
      </c>
      <c r="X82" s="46">
        <f t="shared" si="29"/>
        <v>312.39</v>
      </c>
      <c r="Y82" s="46">
        <f t="shared" si="29"/>
        <v>910.84000000000015</v>
      </c>
      <c r="Z82" s="46">
        <f t="shared" si="45"/>
        <v>11578.459999999997</v>
      </c>
      <c r="AA82" s="46">
        <f t="shared" si="50"/>
        <v>7291.53</v>
      </c>
      <c r="AB82" s="46">
        <f t="shared" si="50"/>
        <v>2025.43</v>
      </c>
      <c r="AC82" s="46">
        <f t="shared" si="50"/>
        <v>741.99</v>
      </c>
      <c r="AD82" s="46">
        <f t="shared" si="48"/>
        <v>0</v>
      </c>
      <c r="AE82" s="46">
        <f t="shared" si="48"/>
        <v>345.94</v>
      </c>
      <c r="AF82" s="46">
        <f t="shared" si="48"/>
        <v>927.48</v>
      </c>
      <c r="AG82" s="46">
        <f t="shared" si="48"/>
        <v>8101.7</v>
      </c>
      <c r="AH82" s="46">
        <f t="shared" si="48"/>
        <v>834.73</v>
      </c>
      <c r="AI82" s="46">
        <f t="shared" si="48"/>
        <v>1252.0999999999999</v>
      </c>
      <c r="AJ82" s="46">
        <f t="shared" si="30"/>
        <v>649.24</v>
      </c>
      <c r="AK82" s="46">
        <f t="shared" si="30"/>
        <v>1892.96</v>
      </c>
      <c r="AL82" s="46">
        <f t="shared" si="46"/>
        <v>24063.1</v>
      </c>
    </row>
    <row r="83" spans="1:38" x14ac:dyDescent="0.2">
      <c r="A83" s="43" t="s">
        <v>236</v>
      </c>
      <c r="B83" s="44">
        <f t="shared" si="33"/>
        <v>4680</v>
      </c>
      <c r="C83" s="44">
        <f t="shared" si="34"/>
        <v>254.49</v>
      </c>
      <c r="D83" s="44">
        <f t="shared" si="35"/>
        <v>814.37</v>
      </c>
      <c r="E83" s="44">
        <f t="shared" si="36"/>
        <v>0</v>
      </c>
      <c r="F83" s="44">
        <f t="shared" si="37"/>
        <v>180</v>
      </c>
      <c r="G83" s="44">
        <f t="shared" si="38"/>
        <v>1017.96</v>
      </c>
      <c r="H83" s="44">
        <f t="shared" si="39"/>
        <v>4173</v>
      </c>
      <c r="I83" s="44">
        <f t="shared" si="40"/>
        <v>916.16</v>
      </c>
      <c r="J83" s="44">
        <f t="shared" si="41"/>
        <v>1374.25</v>
      </c>
      <c r="K83" s="44">
        <f t="shared" si="42"/>
        <v>712.57</v>
      </c>
      <c r="L83" s="44">
        <f t="shared" si="43"/>
        <v>1080</v>
      </c>
      <c r="M83" s="44">
        <f t="shared" si="44"/>
        <v>15202.8</v>
      </c>
      <c r="N83" s="45">
        <f>'OP8 part 1 analysis'!G100</f>
        <v>0.59459459459459452</v>
      </c>
      <c r="O83" s="46">
        <f t="shared" si="49"/>
        <v>1897.3000000000002</v>
      </c>
      <c r="P83" s="46">
        <f t="shared" si="49"/>
        <v>103.17000000000002</v>
      </c>
      <c r="Q83" s="46">
        <f t="shared" si="49"/>
        <v>330.15</v>
      </c>
      <c r="R83" s="46">
        <f t="shared" si="47"/>
        <v>0</v>
      </c>
      <c r="S83" s="46">
        <f t="shared" si="47"/>
        <v>72.97</v>
      </c>
      <c r="T83" s="46">
        <f t="shared" si="47"/>
        <v>412.69000000000005</v>
      </c>
      <c r="U83" s="46">
        <f t="shared" si="47"/>
        <v>1691.7600000000002</v>
      </c>
      <c r="V83" s="46">
        <f t="shared" si="47"/>
        <v>371.41999999999996</v>
      </c>
      <c r="W83" s="46">
        <f t="shared" si="47"/>
        <v>557.13</v>
      </c>
      <c r="X83" s="46">
        <f t="shared" si="29"/>
        <v>288.88000000000005</v>
      </c>
      <c r="Y83" s="46">
        <f t="shared" si="29"/>
        <v>437.84000000000003</v>
      </c>
      <c r="Z83" s="46">
        <f t="shared" si="45"/>
        <v>6163.3100000000013</v>
      </c>
      <c r="AA83" s="46">
        <f t="shared" si="50"/>
        <v>2782.7</v>
      </c>
      <c r="AB83" s="46">
        <f t="shared" si="50"/>
        <v>151.32</v>
      </c>
      <c r="AC83" s="46">
        <f t="shared" si="50"/>
        <v>484.22</v>
      </c>
      <c r="AD83" s="46">
        <f t="shared" si="48"/>
        <v>0</v>
      </c>
      <c r="AE83" s="46">
        <f t="shared" si="48"/>
        <v>107.03</v>
      </c>
      <c r="AF83" s="46">
        <f t="shared" si="48"/>
        <v>605.27</v>
      </c>
      <c r="AG83" s="46">
        <f t="shared" si="48"/>
        <v>2481.2399999999998</v>
      </c>
      <c r="AH83" s="46">
        <f t="shared" si="48"/>
        <v>544.74</v>
      </c>
      <c r="AI83" s="46">
        <f t="shared" si="48"/>
        <v>817.12</v>
      </c>
      <c r="AJ83" s="46">
        <f t="shared" si="30"/>
        <v>423.69</v>
      </c>
      <c r="AK83" s="46">
        <f t="shared" si="30"/>
        <v>642.16</v>
      </c>
      <c r="AL83" s="46">
        <f t="shared" si="46"/>
        <v>9039.49</v>
      </c>
    </row>
    <row r="84" spans="1:38" x14ac:dyDescent="0.2">
      <c r="A84" s="43" t="s">
        <v>237</v>
      </c>
      <c r="B84" s="44">
        <f t="shared" si="33"/>
        <v>8805</v>
      </c>
      <c r="C84" s="44">
        <f t="shared" si="34"/>
        <v>94.58</v>
      </c>
      <c r="D84" s="44">
        <f t="shared" si="35"/>
        <v>302.64</v>
      </c>
      <c r="E84" s="44">
        <f t="shared" si="36"/>
        <v>0</v>
      </c>
      <c r="F84" s="44">
        <f t="shared" si="37"/>
        <v>1500</v>
      </c>
      <c r="G84" s="44">
        <f t="shared" si="38"/>
        <v>378.3</v>
      </c>
      <c r="H84" s="44">
        <f t="shared" si="39"/>
        <v>13173</v>
      </c>
      <c r="I84" s="44">
        <f t="shared" si="40"/>
        <v>340.47</v>
      </c>
      <c r="J84" s="44">
        <f t="shared" si="41"/>
        <v>510.71</v>
      </c>
      <c r="K84" s="44">
        <f t="shared" si="42"/>
        <v>264.81</v>
      </c>
      <c r="L84" s="44">
        <f t="shared" si="43"/>
        <v>2541</v>
      </c>
      <c r="M84" s="44">
        <f t="shared" si="44"/>
        <v>27910.51</v>
      </c>
      <c r="N84" s="45">
        <f>'OP8 part 1 analysis'!G101</f>
        <v>0.55353034273273005</v>
      </c>
      <c r="O84" s="46">
        <f t="shared" si="49"/>
        <v>3931.17</v>
      </c>
      <c r="P84" s="46">
        <f t="shared" si="49"/>
        <v>42.23</v>
      </c>
      <c r="Q84" s="46">
        <f t="shared" si="49"/>
        <v>135.11999999999998</v>
      </c>
      <c r="R84" s="46">
        <f t="shared" si="47"/>
        <v>0</v>
      </c>
      <c r="S84" s="46">
        <f t="shared" si="47"/>
        <v>669.7</v>
      </c>
      <c r="T84" s="46">
        <f t="shared" si="47"/>
        <v>168.9</v>
      </c>
      <c r="U84" s="46">
        <f t="shared" si="47"/>
        <v>5881.34</v>
      </c>
      <c r="V84" s="46">
        <f t="shared" si="47"/>
        <v>152.01000000000002</v>
      </c>
      <c r="W84" s="46">
        <f t="shared" si="47"/>
        <v>228.01999999999998</v>
      </c>
      <c r="X84" s="46">
        <f t="shared" si="29"/>
        <v>118.22999999999999</v>
      </c>
      <c r="Y84" s="46">
        <f t="shared" si="29"/>
        <v>1134.48</v>
      </c>
      <c r="Z84" s="46">
        <f t="shared" si="45"/>
        <v>12461.199999999999</v>
      </c>
      <c r="AA84" s="46">
        <f t="shared" si="50"/>
        <v>4873.83</v>
      </c>
      <c r="AB84" s="46">
        <f t="shared" si="50"/>
        <v>52.35</v>
      </c>
      <c r="AC84" s="46">
        <f t="shared" si="50"/>
        <v>167.52</v>
      </c>
      <c r="AD84" s="46">
        <f t="shared" si="48"/>
        <v>0</v>
      </c>
      <c r="AE84" s="46">
        <f t="shared" si="48"/>
        <v>830.3</v>
      </c>
      <c r="AF84" s="46">
        <f t="shared" si="48"/>
        <v>209.4</v>
      </c>
      <c r="AG84" s="46">
        <f t="shared" si="48"/>
        <v>7291.66</v>
      </c>
      <c r="AH84" s="46">
        <f t="shared" si="48"/>
        <v>188.46</v>
      </c>
      <c r="AI84" s="46">
        <f t="shared" si="48"/>
        <v>282.69</v>
      </c>
      <c r="AJ84" s="46">
        <f t="shared" si="30"/>
        <v>146.58000000000001</v>
      </c>
      <c r="AK84" s="46">
        <f t="shared" si="30"/>
        <v>1406.52</v>
      </c>
      <c r="AL84" s="46">
        <f t="shared" si="46"/>
        <v>15449.310000000001</v>
      </c>
    </row>
    <row r="85" spans="1:38" x14ac:dyDescent="0.2">
      <c r="A85" s="43" t="s">
        <v>238</v>
      </c>
      <c r="B85" s="44">
        <f t="shared" si="33"/>
        <v>18000</v>
      </c>
      <c r="C85" s="44">
        <f t="shared" si="34"/>
        <v>80</v>
      </c>
      <c r="D85" s="44">
        <f t="shared" si="35"/>
        <v>256</v>
      </c>
      <c r="E85" s="44">
        <f t="shared" si="36"/>
        <v>0</v>
      </c>
      <c r="F85" s="44">
        <f t="shared" si="37"/>
        <v>250</v>
      </c>
      <c r="G85" s="44">
        <f t="shared" si="38"/>
        <v>320</v>
      </c>
      <c r="H85" s="44">
        <f t="shared" si="39"/>
        <v>17150</v>
      </c>
      <c r="I85" s="44">
        <f t="shared" si="40"/>
        <v>288</v>
      </c>
      <c r="J85" s="44">
        <f t="shared" si="41"/>
        <v>432</v>
      </c>
      <c r="K85" s="44">
        <f t="shared" si="42"/>
        <v>224</v>
      </c>
      <c r="L85" s="44">
        <f t="shared" si="43"/>
        <v>800</v>
      </c>
      <c r="M85" s="44">
        <f t="shared" si="44"/>
        <v>37800</v>
      </c>
      <c r="N85" s="45">
        <f>'OP8 part 1 analysis'!G102</f>
        <v>0.59459459459459452</v>
      </c>
      <c r="O85" s="46">
        <f t="shared" si="49"/>
        <v>7297.2999999999993</v>
      </c>
      <c r="P85" s="46">
        <f t="shared" si="49"/>
        <v>32.43</v>
      </c>
      <c r="Q85" s="46">
        <f t="shared" si="49"/>
        <v>103.78</v>
      </c>
      <c r="R85" s="46">
        <f t="shared" si="47"/>
        <v>0</v>
      </c>
      <c r="S85" s="46">
        <f t="shared" si="47"/>
        <v>101.35</v>
      </c>
      <c r="T85" s="46">
        <f t="shared" si="47"/>
        <v>129.72999999999999</v>
      </c>
      <c r="U85" s="46">
        <f t="shared" si="47"/>
        <v>6952.7000000000007</v>
      </c>
      <c r="V85" s="46">
        <f t="shared" si="47"/>
        <v>116.75999999999999</v>
      </c>
      <c r="W85" s="46">
        <f t="shared" si="47"/>
        <v>175.14</v>
      </c>
      <c r="X85" s="46">
        <f t="shared" si="29"/>
        <v>90.81</v>
      </c>
      <c r="Y85" s="46">
        <f t="shared" si="29"/>
        <v>324.32</v>
      </c>
      <c r="Z85" s="46">
        <f t="shared" si="45"/>
        <v>15324.32</v>
      </c>
      <c r="AA85" s="46">
        <f t="shared" si="50"/>
        <v>10702.7</v>
      </c>
      <c r="AB85" s="46">
        <f t="shared" si="50"/>
        <v>47.57</v>
      </c>
      <c r="AC85" s="46">
        <f t="shared" si="50"/>
        <v>152.22</v>
      </c>
      <c r="AD85" s="46">
        <f t="shared" si="48"/>
        <v>0</v>
      </c>
      <c r="AE85" s="46">
        <f t="shared" si="48"/>
        <v>148.65</v>
      </c>
      <c r="AF85" s="46">
        <f t="shared" si="48"/>
        <v>190.27</v>
      </c>
      <c r="AG85" s="46">
        <f t="shared" si="48"/>
        <v>10197.299999999999</v>
      </c>
      <c r="AH85" s="46">
        <f t="shared" si="48"/>
        <v>171.24</v>
      </c>
      <c r="AI85" s="46">
        <f t="shared" si="48"/>
        <v>256.86</v>
      </c>
      <c r="AJ85" s="46">
        <f t="shared" si="30"/>
        <v>133.19</v>
      </c>
      <c r="AK85" s="46">
        <f t="shared" si="30"/>
        <v>475.68</v>
      </c>
      <c r="AL85" s="46">
        <f t="shared" si="46"/>
        <v>22475.68</v>
      </c>
    </row>
    <row r="86" spans="1:38" x14ac:dyDescent="0.2">
      <c r="A86" s="43" t="s">
        <v>239</v>
      </c>
      <c r="B86" s="44">
        <f t="shared" si="33"/>
        <v>7586.32</v>
      </c>
      <c r="C86" s="44">
        <f t="shared" si="34"/>
        <v>160.47999999999999</v>
      </c>
      <c r="D86" s="44">
        <f t="shared" si="35"/>
        <v>513.54</v>
      </c>
      <c r="E86" s="44">
        <f t="shared" si="36"/>
        <v>0</v>
      </c>
      <c r="F86" s="44">
        <f t="shared" si="37"/>
        <v>476.58</v>
      </c>
      <c r="G86" s="44">
        <f t="shared" si="38"/>
        <v>641.91999999999996</v>
      </c>
      <c r="H86" s="44">
        <f t="shared" si="39"/>
        <v>13723.45</v>
      </c>
      <c r="I86" s="44">
        <f t="shared" si="40"/>
        <v>577.73</v>
      </c>
      <c r="J86" s="44">
        <f t="shared" si="41"/>
        <v>866.59</v>
      </c>
      <c r="K86" s="44">
        <f t="shared" si="42"/>
        <v>449.34</v>
      </c>
      <c r="L86" s="44">
        <f t="shared" si="43"/>
        <v>16826.060000000001</v>
      </c>
      <c r="M86" s="44">
        <f t="shared" si="44"/>
        <v>41822.01</v>
      </c>
      <c r="N86" s="45">
        <f>'OP8 part 1 analysis'!G103</f>
        <v>0.59459459459459452</v>
      </c>
      <c r="O86" s="46">
        <f t="shared" si="49"/>
        <v>3075.54</v>
      </c>
      <c r="P86" s="46">
        <f t="shared" si="49"/>
        <v>65.059999999999988</v>
      </c>
      <c r="Q86" s="46">
        <f t="shared" si="49"/>
        <v>208.18999999999994</v>
      </c>
      <c r="R86" s="46">
        <f t="shared" si="47"/>
        <v>0</v>
      </c>
      <c r="S86" s="46">
        <f t="shared" si="47"/>
        <v>193.20999999999998</v>
      </c>
      <c r="T86" s="46">
        <f t="shared" si="47"/>
        <v>260.23999999999995</v>
      </c>
      <c r="U86" s="46">
        <f t="shared" si="47"/>
        <v>5563.56</v>
      </c>
      <c r="V86" s="46">
        <f t="shared" si="47"/>
        <v>234.21000000000004</v>
      </c>
      <c r="W86" s="46">
        <f t="shared" si="47"/>
        <v>351.32000000000005</v>
      </c>
      <c r="X86" s="46">
        <f t="shared" si="29"/>
        <v>182.15999999999997</v>
      </c>
      <c r="Y86" s="46">
        <f t="shared" si="29"/>
        <v>6821.380000000001</v>
      </c>
      <c r="Z86" s="46">
        <f t="shared" si="45"/>
        <v>16954.87</v>
      </c>
      <c r="AA86" s="46">
        <f t="shared" si="50"/>
        <v>4510.78</v>
      </c>
      <c r="AB86" s="46">
        <f t="shared" si="50"/>
        <v>95.42</v>
      </c>
      <c r="AC86" s="46">
        <f t="shared" si="50"/>
        <v>305.35000000000002</v>
      </c>
      <c r="AD86" s="46">
        <f t="shared" si="48"/>
        <v>0</v>
      </c>
      <c r="AE86" s="46">
        <f t="shared" si="48"/>
        <v>283.37</v>
      </c>
      <c r="AF86" s="46">
        <f t="shared" si="48"/>
        <v>381.68</v>
      </c>
      <c r="AG86" s="46">
        <f t="shared" si="48"/>
        <v>8159.89</v>
      </c>
      <c r="AH86" s="46">
        <f t="shared" si="48"/>
        <v>343.52</v>
      </c>
      <c r="AI86" s="46">
        <f t="shared" si="48"/>
        <v>515.27</v>
      </c>
      <c r="AJ86" s="46">
        <f t="shared" si="30"/>
        <v>267.18</v>
      </c>
      <c r="AK86" s="46">
        <f t="shared" si="30"/>
        <v>10004.68</v>
      </c>
      <c r="AL86" s="46">
        <f t="shared" si="46"/>
        <v>24867.140000000003</v>
      </c>
    </row>
    <row r="87" spans="1:38" x14ac:dyDescent="0.2">
      <c r="A87" s="43" t="s">
        <v>240</v>
      </c>
      <c r="B87" s="44">
        <f t="shared" si="33"/>
        <v>616.28</v>
      </c>
      <c r="C87" s="44">
        <f t="shared" si="34"/>
        <v>472.04</v>
      </c>
      <c r="D87" s="44">
        <f t="shared" si="35"/>
        <v>1510.54</v>
      </c>
      <c r="E87" s="44">
        <f t="shared" si="36"/>
        <v>0</v>
      </c>
      <c r="F87" s="44">
        <f t="shared" si="37"/>
        <v>616.28</v>
      </c>
      <c r="G87" s="44">
        <f t="shared" si="38"/>
        <v>1888.18</v>
      </c>
      <c r="H87" s="44">
        <f t="shared" si="39"/>
        <v>19312.650000000001</v>
      </c>
      <c r="I87" s="44">
        <f t="shared" si="40"/>
        <v>1699.36</v>
      </c>
      <c r="J87" s="44">
        <f t="shared" si="41"/>
        <v>2549.04</v>
      </c>
      <c r="K87" s="44">
        <f t="shared" si="42"/>
        <v>1321.72</v>
      </c>
      <c r="L87" s="44">
        <f t="shared" si="43"/>
        <v>1090.3</v>
      </c>
      <c r="M87" s="44">
        <f t="shared" si="44"/>
        <v>31076.390000000003</v>
      </c>
      <c r="N87" s="45">
        <f>'OP8 part 1 analysis'!G104</f>
        <v>0.54314780179778044</v>
      </c>
      <c r="O87" s="46">
        <f t="shared" si="49"/>
        <v>281.54999999999995</v>
      </c>
      <c r="P87" s="46">
        <f t="shared" si="49"/>
        <v>215.65000000000003</v>
      </c>
      <c r="Q87" s="46">
        <f t="shared" si="49"/>
        <v>690.08999999999992</v>
      </c>
      <c r="R87" s="46">
        <f t="shared" si="47"/>
        <v>0</v>
      </c>
      <c r="S87" s="46">
        <f t="shared" si="47"/>
        <v>281.54999999999995</v>
      </c>
      <c r="T87" s="46">
        <f t="shared" si="47"/>
        <v>862.62000000000012</v>
      </c>
      <c r="U87" s="46">
        <f t="shared" si="47"/>
        <v>8823.0300000000007</v>
      </c>
      <c r="V87" s="46">
        <f t="shared" si="47"/>
        <v>776.3599999999999</v>
      </c>
      <c r="W87" s="46">
        <f t="shared" si="47"/>
        <v>1164.53</v>
      </c>
      <c r="X87" s="46">
        <f t="shared" si="29"/>
        <v>603.83000000000004</v>
      </c>
      <c r="Y87" s="46">
        <f t="shared" si="29"/>
        <v>498.1099999999999</v>
      </c>
      <c r="Z87" s="46">
        <f t="shared" si="45"/>
        <v>14197.320000000003</v>
      </c>
      <c r="AA87" s="46">
        <f t="shared" si="50"/>
        <v>334.73</v>
      </c>
      <c r="AB87" s="46">
        <f t="shared" si="50"/>
        <v>256.39</v>
      </c>
      <c r="AC87" s="46">
        <f t="shared" si="50"/>
        <v>820.45</v>
      </c>
      <c r="AD87" s="46">
        <f t="shared" si="48"/>
        <v>0</v>
      </c>
      <c r="AE87" s="46">
        <f t="shared" si="48"/>
        <v>334.73</v>
      </c>
      <c r="AF87" s="46">
        <f t="shared" si="48"/>
        <v>1025.56</v>
      </c>
      <c r="AG87" s="46">
        <f t="shared" si="48"/>
        <v>10489.62</v>
      </c>
      <c r="AH87" s="46">
        <f t="shared" si="48"/>
        <v>923</v>
      </c>
      <c r="AI87" s="46">
        <f t="shared" si="48"/>
        <v>1384.51</v>
      </c>
      <c r="AJ87" s="46">
        <f t="shared" si="30"/>
        <v>717.89</v>
      </c>
      <c r="AK87" s="46">
        <f t="shared" si="30"/>
        <v>592.19000000000005</v>
      </c>
      <c r="AL87" s="46">
        <f t="shared" si="46"/>
        <v>16879.07</v>
      </c>
    </row>
    <row r="88" spans="1:38" x14ac:dyDescent="0.2">
      <c r="A88" s="43" t="s">
        <v>241</v>
      </c>
      <c r="B88" s="44">
        <f t="shared" si="33"/>
        <v>1500</v>
      </c>
      <c r="C88" s="44">
        <f t="shared" si="34"/>
        <v>390</v>
      </c>
      <c r="D88" s="44">
        <f t="shared" si="35"/>
        <v>1248</v>
      </c>
      <c r="E88" s="44">
        <f t="shared" si="36"/>
        <v>0</v>
      </c>
      <c r="F88" s="44">
        <f t="shared" si="37"/>
        <v>720</v>
      </c>
      <c r="G88" s="44">
        <f t="shared" si="38"/>
        <v>1560</v>
      </c>
      <c r="H88" s="44">
        <f t="shared" si="39"/>
        <v>12000</v>
      </c>
      <c r="I88" s="44">
        <f t="shared" si="40"/>
        <v>1404</v>
      </c>
      <c r="J88" s="44">
        <f t="shared" si="41"/>
        <v>2106</v>
      </c>
      <c r="K88" s="44">
        <f t="shared" si="42"/>
        <v>1092</v>
      </c>
      <c r="L88" s="44">
        <f t="shared" si="43"/>
        <v>2400</v>
      </c>
      <c r="M88" s="44">
        <f t="shared" si="44"/>
        <v>24420</v>
      </c>
      <c r="N88" s="45">
        <f>'OP8 part 1 analysis'!G105</f>
        <v>0.53987730061349692</v>
      </c>
      <c r="O88" s="46">
        <f t="shared" si="49"/>
        <v>690.18</v>
      </c>
      <c r="P88" s="46">
        <f t="shared" si="49"/>
        <v>179.45</v>
      </c>
      <c r="Q88" s="46">
        <f t="shared" si="49"/>
        <v>574.23</v>
      </c>
      <c r="R88" s="46">
        <f t="shared" si="47"/>
        <v>0</v>
      </c>
      <c r="S88" s="46">
        <f t="shared" si="47"/>
        <v>331.29</v>
      </c>
      <c r="T88" s="46">
        <f t="shared" si="47"/>
        <v>717.79</v>
      </c>
      <c r="U88" s="46">
        <f t="shared" si="47"/>
        <v>5521.47</v>
      </c>
      <c r="V88" s="46">
        <f t="shared" si="47"/>
        <v>646.01</v>
      </c>
      <c r="W88" s="46">
        <f t="shared" si="47"/>
        <v>969.02</v>
      </c>
      <c r="X88" s="46">
        <f t="shared" si="29"/>
        <v>502.45000000000005</v>
      </c>
      <c r="Y88" s="46">
        <f t="shared" si="29"/>
        <v>1104.29</v>
      </c>
      <c r="Z88" s="46">
        <f t="shared" si="45"/>
        <v>11236.18</v>
      </c>
      <c r="AA88" s="46">
        <f t="shared" si="50"/>
        <v>809.82</v>
      </c>
      <c r="AB88" s="46">
        <f t="shared" si="50"/>
        <v>210.55</v>
      </c>
      <c r="AC88" s="46">
        <f t="shared" si="50"/>
        <v>673.77</v>
      </c>
      <c r="AD88" s="46">
        <f t="shared" si="48"/>
        <v>0</v>
      </c>
      <c r="AE88" s="46">
        <f t="shared" si="48"/>
        <v>388.71</v>
      </c>
      <c r="AF88" s="46">
        <f t="shared" si="48"/>
        <v>842.21</v>
      </c>
      <c r="AG88" s="46">
        <f t="shared" si="48"/>
        <v>6478.53</v>
      </c>
      <c r="AH88" s="46">
        <f t="shared" si="48"/>
        <v>757.99</v>
      </c>
      <c r="AI88" s="46">
        <f t="shared" si="48"/>
        <v>1136.98</v>
      </c>
      <c r="AJ88" s="46">
        <f t="shared" si="30"/>
        <v>589.54999999999995</v>
      </c>
      <c r="AK88" s="46">
        <f t="shared" si="30"/>
        <v>1295.71</v>
      </c>
      <c r="AL88" s="46">
        <f t="shared" si="46"/>
        <v>13183.82</v>
      </c>
    </row>
    <row r="89" spans="1:38" x14ac:dyDescent="0.2">
      <c r="A89" s="43" t="s">
        <v>242</v>
      </c>
      <c r="B89" s="44">
        <f t="shared" si="33"/>
        <v>8136</v>
      </c>
      <c r="C89" s="44">
        <f t="shared" si="34"/>
        <v>117</v>
      </c>
      <c r="D89" s="44">
        <f t="shared" si="35"/>
        <v>374.4</v>
      </c>
      <c r="E89" s="44">
        <f t="shared" si="36"/>
        <v>0</v>
      </c>
      <c r="F89" s="44">
        <f t="shared" si="37"/>
        <v>0</v>
      </c>
      <c r="G89" s="44">
        <f t="shared" si="38"/>
        <v>468</v>
      </c>
      <c r="H89" s="44">
        <f t="shared" si="39"/>
        <v>3770.4</v>
      </c>
      <c r="I89" s="44">
        <f t="shared" si="40"/>
        <v>421.2</v>
      </c>
      <c r="J89" s="44">
        <f t="shared" si="41"/>
        <v>631.79999999999995</v>
      </c>
      <c r="K89" s="44">
        <f t="shared" si="42"/>
        <v>327.60000000000002</v>
      </c>
      <c r="L89" s="44">
        <f t="shared" si="43"/>
        <v>3855.6</v>
      </c>
      <c r="M89" s="44">
        <f t="shared" si="44"/>
        <v>18102</v>
      </c>
      <c r="N89" s="45">
        <f>'OP8 part 1 analysis'!G106</f>
        <v>0.74576271186440679</v>
      </c>
      <c r="O89" s="46">
        <f t="shared" si="49"/>
        <v>2068.4700000000003</v>
      </c>
      <c r="P89" s="46">
        <f t="shared" si="49"/>
        <v>29.75</v>
      </c>
      <c r="Q89" s="46">
        <f t="shared" si="49"/>
        <v>95.19</v>
      </c>
      <c r="R89" s="46">
        <f t="shared" si="47"/>
        <v>0</v>
      </c>
      <c r="S89" s="46">
        <f t="shared" si="47"/>
        <v>0</v>
      </c>
      <c r="T89" s="46">
        <f t="shared" si="47"/>
        <v>118.98000000000002</v>
      </c>
      <c r="U89" s="46">
        <f t="shared" si="47"/>
        <v>958.57999999999993</v>
      </c>
      <c r="V89" s="46">
        <f t="shared" si="47"/>
        <v>107.07999999999998</v>
      </c>
      <c r="W89" s="46">
        <f t="shared" si="47"/>
        <v>160.62999999999994</v>
      </c>
      <c r="X89" s="46">
        <f t="shared" si="29"/>
        <v>83.29000000000002</v>
      </c>
      <c r="Y89" s="46">
        <f t="shared" si="29"/>
        <v>980.23999999999978</v>
      </c>
      <c r="Z89" s="46">
        <f t="shared" si="45"/>
        <v>4602.21</v>
      </c>
      <c r="AA89" s="46">
        <f t="shared" si="50"/>
        <v>6067.53</v>
      </c>
      <c r="AB89" s="46">
        <f t="shared" si="50"/>
        <v>87.25</v>
      </c>
      <c r="AC89" s="46">
        <f t="shared" si="50"/>
        <v>279.20999999999998</v>
      </c>
      <c r="AD89" s="46">
        <f t="shared" si="48"/>
        <v>0</v>
      </c>
      <c r="AE89" s="46">
        <f t="shared" si="48"/>
        <v>0</v>
      </c>
      <c r="AF89" s="46">
        <f t="shared" si="48"/>
        <v>349.02</v>
      </c>
      <c r="AG89" s="46">
        <f t="shared" si="48"/>
        <v>2811.82</v>
      </c>
      <c r="AH89" s="46">
        <f t="shared" si="48"/>
        <v>314.12</v>
      </c>
      <c r="AI89" s="46">
        <f t="shared" si="48"/>
        <v>471.17</v>
      </c>
      <c r="AJ89" s="46">
        <f t="shared" si="30"/>
        <v>244.31</v>
      </c>
      <c r="AK89" s="46">
        <f t="shared" si="30"/>
        <v>2875.36</v>
      </c>
      <c r="AL89" s="46">
        <f t="shared" si="46"/>
        <v>13499.79</v>
      </c>
    </row>
    <row r="90" spans="1:38" x14ac:dyDescent="0.2">
      <c r="A90" s="43" t="s">
        <v>243</v>
      </c>
      <c r="B90" s="44">
        <f t="shared" si="33"/>
        <v>8604.99</v>
      </c>
      <c r="C90" s="44">
        <f t="shared" si="34"/>
        <v>275.52</v>
      </c>
      <c r="D90" s="44">
        <f t="shared" si="35"/>
        <v>881.67</v>
      </c>
      <c r="E90" s="44">
        <f t="shared" si="36"/>
        <v>0</v>
      </c>
      <c r="F90" s="44">
        <f t="shared" si="37"/>
        <v>455.78</v>
      </c>
      <c r="G90" s="44">
        <f t="shared" si="38"/>
        <v>1102.0899999999999</v>
      </c>
      <c r="H90" s="44">
        <f t="shared" si="39"/>
        <v>11234.89</v>
      </c>
      <c r="I90" s="44">
        <f t="shared" si="40"/>
        <v>991.88</v>
      </c>
      <c r="J90" s="44">
        <f t="shared" si="41"/>
        <v>1487.82</v>
      </c>
      <c r="K90" s="44">
        <f t="shared" si="42"/>
        <v>771.46</v>
      </c>
      <c r="L90" s="44">
        <f t="shared" si="43"/>
        <v>3665.71</v>
      </c>
      <c r="M90" s="44">
        <f t="shared" si="44"/>
        <v>29471.81</v>
      </c>
      <c r="N90" s="45">
        <f>'OP8 part 1 analysis'!G107</f>
        <v>0</v>
      </c>
      <c r="O90" s="46">
        <f t="shared" si="49"/>
        <v>8604.99</v>
      </c>
      <c r="P90" s="46">
        <f t="shared" si="49"/>
        <v>275.52</v>
      </c>
      <c r="Q90" s="46">
        <f t="shared" si="49"/>
        <v>881.67</v>
      </c>
      <c r="R90" s="46">
        <f t="shared" si="47"/>
        <v>0</v>
      </c>
      <c r="S90" s="46">
        <f t="shared" si="47"/>
        <v>455.78</v>
      </c>
      <c r="T90" s="46">
        <f t="shared" si="47"/>
        <v>1102.0899999999999</v>
      </c>
      <c r="U90" s="46">
        <f t="shared" si="47"/>
        <v>11234.89</v>
      </c>
      <c r="V90" s="46">
        <f t="shared" si="47"/>
        <v>991.88</v>
      </c>
      <c r="W90" s="46">
        <f t="shared" si="47"/>
        <v>1487.82</v>
      </c>
      <c r="X90" s="46">
        <f t="shared" si="29"/>
        <v>771.46</v>
      </c>
      <c r="Y90" s="46">
        <f t="shared" si="29"/>
        <v>3665.71</v>
      </c>
      <c r="Z90" s="46">
        <f t="shared" si="45"/>
        <v>29471.81</v>
      </c>
      <c r="AA90" s="46">
        <f t="shared" si="50"/>
        <v>0</v>
      </c>
      <c r="AB90" s="46">
        <f t="shared" si="50"/>
        <v>0</v>
      </c>
      <c r="AC90" s="46">
        <f t="shared" si="50"/>
        <v>0</v>
      </c>
      <c r="AD90" s="46">
        <f t="shared" si="48"/>
        <v>0</v>
      </c>
      <c r="AE90" s="46">
        <f t="shared" si="48"/>
        <v>0</v>
      </c>
      <c r="AF90" s="46">
        <f t="shared" si="48"/>
        <v>0</v>
      </c>
      <c r="AG90" s="46">
        <f t="shared" si="48"/>
        <v>0</v>
      </c>
      <c r="AH90" s="46">
        <f t="shared" si="48"/>
        <v>0</v>
      </c>
      <c r="AI90" s="46">
        <f t="shared" si="48"/>
        <v>0</v>
      </c>
      <c r="AJ90" s="46">
        <f t="shared" si="30"/>
        <v>0</v>
      </c>
      <c r="AK90" s="46">
        <f t="shared" si="30"/>
        <v>0</v>
      </c>
      <c r="AL90" s="46">
        <f t="shared" si="46"/>
        <v>0</v>
      </c>
    </row>
    <row r="91" spans="1:38" x14ac:dyDescent="0.2">
      <c r="A91" s="43" t="s">
        <v>244</v>
      </c>
      <c r="B91" s="44">
        <f t="shared" si="33"/>
        <v>5673.75</v>
      </c>
      <c r="C91" s="44">
        <f t="shared" si="34"/>
        <v>122.4</v>
      </c>
      <c r="D91" s="44">
        <f t="shared" si="35"/>
        <v>391.68</v>
      </c>
      <c r="E91" s="44">
        <f t="shared" si="36"/>
        <v>0</v>
      </c>
      <c r="F91" s="44">
        <f t="shared" si="37"/>
        <v>375</v>
      </c>
      <c r="G91" s="44">
        <f t="shared" si="38"/>
        <v>489.6</v>
      </c>
      <c r="H91" s="44">
        <f t="shared" si="39"/>
        <v>4479</v>
      </c>
      <c r="I91" s="44">
        <f t="shared" si="40"/>
        <v>440.64</v>
      </c>
      <c r="J91" s="44">
        <f t="shared" si="41"/>
        <v>660.96</v>
      </c>
      <c r="K91" s="44">
        <f t="shared" si="42"/>
        <v>342.72</v>
      </c>
      <c r="L91" s="44">
        <f t="shared" si="43"/>
        <v>1943.25</v>
      </c>
      <c r="M91" s="44">
        <f t="shared" si="44"/>
        <v>14918.999999999998</v>
      </c>
      <c r="N91" s="45">
        <f>'OP8 part 1 analysis'!G108</f>
        <v>0.58446451326943316</v>
      </c>
      <c r="O91" s="46">
        <f t="shared" si="49"/>
        <v>2357.64</v>
      </c>
      <c r="P91" s="46">
        <f t="shared" si="49"/>
        <v>50.86</v>
      </c>
      <c r="Q91" s="46">
        <f t="shared" si="49"/>
        <v>162.76000000000002</v>
      </c>
      <c r="R91" s="46">
        <f t="shared" si="47"/>
        <v>0</v>
      </c>
      <c r="S91" s="46">
        <f t="shared" si="47"/>
        <v>155.83000000000001</v>
      </c>
      <c r="T91" s="46">
        <f t="shared" si="47"/>
        <v>203.45000000000005</v>
      </c>
      <c r="U91" s="46">
        <f t="shared" si="47"/>
        <v>1861.1799999999998</v>
      </c>
      <c r="V91" s="46">
        <f t="shared" si="47"/>
        <v>183.09999999999997</v>
      </c>
      <c r="W91" s="46">
        <f t="shared" si="47"/>
        <v>274.65000000000003</v>
      </c>
      <c r="X91" s="46">
        <f t="shared" si="29"/>
        <v>142.41000000000003</v>
      </c>
      <c r="Y91" s="46">
        <f t="shared" si="29"/>
        <v>807.49</v>
      </c>
      <c r="Z91" s="46">
        <f t="shared" si="45"/>
        <v>6199.369999999999</v>
      </c>
      <c r="AA91" s="46">
        <f t="shared" si="50"/>
        <v>3316.11</v>
      </c>
      <c r="AB91" s="46">
        <f t="shared" si="50"/>
        <v>71.540000000000006</v>
      </c>
      <c r="AC91" s="46">
        <f t="shared" si="50"/>
        <v>228.92</v>
      </c>
      <c r="AD91" s="46">
        <f t="shared" si="48"/>
        <v>0</v>
      </c>
      <c r="AE91" s="46">
        <f t="shared" si="48"/>
        <v>219.17</v>
      </c>
      <c r="AF91" s="46">
        <f t="shared" si="48"/>
        <v>286.14999999999998</v>
      </c>
      <c r="AG91" s="46">
        <f t="shared" si="48"/>
        <v>2617.8200000000002</v>
      </c>
      <c r="AH91" s="46">
        <f t="shared" si="48"/>
        <v>257.54000000000002</v>
      </c>
      <c r="AI91" s="46">
        <f t="shared" si="48"/>
        <v>386.31</v>
      </c>
      <c r="AJ91" s="46">
        <f t="shared" si="30"/>
        <v>200.31</v>
      </c>
      <c r="AK91" s="46">
        <f t="shared" si="30"/>
        <v>1135.76</v>
      </c>
      <c r="AL91" s="46">
        <f t="shared" si="46"/>
        <v>8719.630000000001</v>
      </c>
    </row>
    <row r="92" spans="1:38" x14ac:dyDescent="0.2">
      <c r="A92" s="43" t="s">
        <v>245</v>
      </c>
      <c r="B92" s="44">
        <f t="shared" si="33"/>
        <v>10500</v>
      </c>
      <c r="C92" s="44">
        <f t="shared" si="34"/>
        <v>262.5</v>
      </c>
      <c r="D92" s="44">
        <f t="shared" si="35"/>
        <v>840</v>
      </c>
      <c r="E92" s="44">
        <f t="shared" si="36"/>
        <v>0</v>
      </c>
      <c r="F92" s="44">
        <f t="shared" si="37"/>
        <v>600</v>
      </c>
      <c r="G92" s="44">
        <f t="shared" si="38"/>
        <v>1050</v>
      </c>
      <c r="H92" s="44">
        <f t="shared" si="39"/>
        <v>7500</v>
      </c>
      <c r="I92" s="44">
        <f t="shared" si="40"/>
        <v>945</v>
      </c>
      <c r="J92" s="44">
        <f t="shared" si="41"/>
        <v>1417.5</v>
      </c>
      <c r="K92" s="44">
        <f t="shared" si="42"/>
        <v>735</v>
      </c>
      <c r="L92" s="44">
        <f t="shared" si="43"/>
        <v>1500</v>
      </c>
      <c r="M92" s="44">
        <f t="shared" si="44"/>
        <v>25350</v>
      </c>
      <c r="N92" s="45">
        <f>'OP8 part 1 analysis'!G109</f>
        <v>0.46808510638297868</v>
      </c>
      <c r="O92" s="46">
        <f t="shared" si="49"/>
        <v>5585.11</v>
      </c>
      <c r="P92" s="46">
        <f t="shared" si="49"/>
        <v>139.63</v>
      </c>
      <c r="Q92" s="46">
        <f t="shared" si="49"/>
        <v>446.81</v>
      </c>
      <c r="R92" s="46">
        <f t="shared" si="47"/>
        <v>0</v>
      </c>
      <c r="S92" s="46">
        <f t="shared" si="47"/>
        <v>319.14999999999998</v>
      </c>
      <c r="T92" s="46">
        <f t="shared" si="47"/>
        <v>558.51</v>
      </c>
      <c r="U92" s="46">
        <f t="shared" si="47"/>
        <v>3989.36</v>
      </c>
      <c r="V92" s="46">
        <f t="shared" si="47"/>
        <v>502.66</v>
      </c>
      <c r="W92" s="46">
        <f t="shared" si="47"/>
        <v>753.99</v>
      </c>
      <c r="X92" s="46">
        <f t="shared" si="29"/>
        <v>390.96</v>
      </c>
      <c r="Y92" s="46">
        <f t="shared" si="29"/>
        <v>797.87</v>
      </c>
      <c r="Z92" s="46">
        <f t="shared" si="45"/>
        <v>13484.05</v>
      </c>
      <c r="AA92" s="46">
        <f t="shared" si="50"/>
        <v>4914.8900000000003</v>
      </c>
      <c r="AB92" s="46">
        <f t="shared" si="50"/>
        <v>122.87</v>
      </c>
      <c r="AC92" s="46">
        <f t="shared" si="50"/>
        <v>393.19</v>
      </c>
      <c r="AD92" s="46">
        <f t="shared" si="48"/>
        <v>0</v>
      </c>
      <c r="AE92" s="46">
        <f t="shared" si="48"/>
        <v>280.85000000000002</v>
      </c>
      <c r="AF92" s="46">
        <f t="shared" si="48"/>
        <v>491.49</v>
      </c>
      <c r="AG92" s="46">
        <f t="shared" si="48"/>
        <v>3510.64</v>
      </c>
      <c r="AH92" s="46">
        <f t="shared" si="48"/>
        <v>442.34</v>
      </c>
      <c r="AI92" s="46">
        <f t="shared" si="48"/>
        <v>663.51</v>
      </c>
      <c r="AJ92" s="46">
        <f t="shared" si="30"/>
        <v>344.04</v>
      </c>
      <c r="AK92" s="46">
        <f t="shared" si="30"/>
        <v>702.13</v>
      </c>
      <c r="AL92" s="46">
        <f t="shared" si="46"/>
        <v>11865.95</v>
      </c>
    </row>
    <row r="93" spans="1:38" x14ac:dyDescent="0.2">
      <c r="A93" s="43" t="s">
        <v>246</v>
      </c>
      <c r="B93" s="44">
        <f t="shared" si="33"/>
        <v>8000</v>
      </c>
      <c r="C93" s="44">
        <f t="shared" si="34"/>
        <v>1032.55</v>
      </c>
      <c r="D93" s="44">
        <f t="shared" si="35"/>
        <v>3304.16</v>
      </c>
      <c r="E93" s="44">
        <f t="shared" si="36"/>
        <v>6730</v>
      </c>
      <c r="F93" s="44">
        <f t="shared" si="37"/>
        <v>0</v>
      </c>
      <c r="G93" s="44">
        <f t="shared" si="38"/>
        <v>4130.2</v>
      </c>
      <c r="H93" s="44">
        <f t="shared" si="39"/>
        <v>0</v>
      </c>
      <c r="I93" s="44">
        <f t="shared" si="40"/>
        <v>3717.18</v>
      </c>
      <c r="J93" s="44">
        <f t="shared" si="41"/>
        <v>5575.77</v>
      </c>
      <c r="K93" s="44">
        <f t="shared" si="42"/>
        <v>2891.14</v>
      </c>
      <c r="L93" s="44">
        <f t="shared" si="43"/>
        <v>5000</v>
      </c>
      <c r="M93" s="44">
        <f t="shared" si="44"/>
        <v>40381</v>
      </c>
      <c r="N93" s="45">
        <f>'OP8 part 1 analysis'!G110</f>
        <v>0.53987730061349692</v>
      </c>
      <c r="O93" s="46">
        <f t="shared" si="49"/>
        <v>3680.9799999999996</v>
      </c>
      <c r="P93" s="46">
        <f t="shared" si="49"/>
        <v>475.09999999999991</v>
      </c>
      <c r="Q93" s="46">
        <f t="shared" si="49"/>
        <v>1520.32</v>
      </c>
      <c r="R93" s="46">
        <f t="shared" si="47"/>
        <v>3096.63</v>
      </c>
      <c r="S93" s="46">
        <f t="shared" si="47"/>
        <v>0</v>
      </c>
      <c r="T93" s="46">
        <f t="shared" si="47"/>
        <v>1900.3999999999996</v>
      </c>
      <c r="U93" s="46">
        <f t="shared" si="47"/>
        <v>0</v>
      </c>
      <c r="V93" s="46">
        <f t="shared" si="47"/>
        <v>1710.36</v>
      </c>
      <c r="W93" s="46">
        <f t="shared" si="47"/>
        <v>2565.5400000000004</v>
      </c>
      <c r="X93" s="46">
        <f t="shared" si="29"/>
        <v>1330.28</v>
      </c>
      <c r="Y93" s="46">
        <f t="shared" si="29"/>
        <v>2300.61</v>
      </c>
      <c r="Z93" s="46">
        <f t="shared" si="45"/>
        <v>18580.22</v>
      </c>
      <c r="AA93" s="46">
        <f t="shared" si="50"/>
        <v>4319.0200000000004</v>
      </c>
      <c r="AB93" s="46">
        <f t="shared" si="50"/>
        <v>557.45000000000005</v>
      </c>
      <c r="AC93" s="46">
        <f t="shared" si="50"/>
        <v>1783.84</v>
      </c>
      <c r="AD93" s="46">
        <f t="shared" si="48"/>
        <v>3633.37</v>
      </c>
      <c r="AE93" s="46">
        <f t="shared" si="48"/>
        <v>0</v>
      </c>
      <c r="AF93" s="46">
        <f t="shared" si="48"/>
        <v>2229.8000000000002</v>
      </c>
      <c r="AG93" s="46">
        <f t="shared" si="48"/>
        <v>0</v>
      </c>
      <c r="AH93" s="46">
        <f t="shared" si="48"/>
        <v>2006.82</v>
      </c>
      <c r="AI93" s="46">
        <f t="shared" si="48"/>
        <v>3010.23</v>
      </c>
      <c r="AJ93" s="46">
        <f t="shared" si="30"/>
        <v>1560.86</v>
      </c>
      <c r="AK93" s="46">
        <f t="shared" si="30"/>
        <v>2699.39</v>
      </c>
      <c r="AL93" s="46">
        <f t="shared" si="46"/>
        <v>21800.78</v>
      </c>
    </row>
    <row r="94" spans="1:38" x14ac:dyDescent="0.2">
      <c r="A94" s="43" t="s">
        <v>247</v>
      </c>
      <c r="B94" s="44">
        <f t="shared" si="33"/>
        <v>817.39</v>
      </c>
      <c r="C94" s="44">
        <f t="shared" si="34"/>
        <v>40.869999999999997</v>
      </c>
      <c r="D94" s="44">
        <f t="shared" si="35"/>
        <v>130.78</v>
      </c>
      <c r="E94" s="44">
        <f t="shared" si="36"/>
        <v>0</v>
      </c>
      <c r="F94" s="44">
        <f t="shared" si="37"/>
        <v>408.69</v>
      </c>
      <c r="G94" s="44">
        <f t="shared" si="38"/>
        <v>163.47999999999999</v>
      </c>
      <c r="H94" s="44">
        <f t="shared" si="39"/>
        <v>13855.51</v>
      </c>
      <c r="I94" s="44">
        <f t="shared" si="40"/>
        <v>147.13</v>
      </c>
      <c r="J94" s="44">
        <f t="shared" si="41"/>
        <v>220.69</v>
      </c>
      <c r="K94" s="44">
        <f t="shared" si="42"/>
        <v>114.43</v>
      </c>
      <c r="L94" s="44">
        <f t="shared" si="43"/>
        <v>10626.02</v>
      </c>
      <c r="M94" s="44">
        <f t="shared" si="44"/>
        <v>26524.99</v>
      </c>
      <c r="N94" s="45">
        <f>'OP8 part 1 analysis'!G111</f>
        <v>0</v>
      </c>
      <c r="O94" s="46">
        <f t="shared" si="49"/>
        <v>817.39</v>
      </c>
      <c r="P94" s="46">
        <f t="shared" si="49"/>
        <v>40.869999999999997</v>
      </c>
      <c r="Q94" s="46">
        <f t="shared" si="49"/>
        <v>130.78</v>
      </c>
      <c r="R94" s="46">
        <f t="shared" si="47"/>
        <v>0</v>
      </c>
      <c r="S94" s="46">
        <f t="shared" si="47"/>
        <v>408.69</v>
      </c>
      <c r="T94" s="46">
        <f t="shared" si="47"/>
        <v>163.47999999999999</v>
      </c>
      <c r="U94" s="46">
        <f t="shared" si="47"/>
        <v>13855.51</v>
      </c>
      <c r="V94" s="46">
        <f t="shared" si="47"/>
        <v>147.13</v>
      </c>
      <c r="W94" s="46">
        <f t="shared" si="47"/>
        <v>220.69</v>
      </c>
      <c r="X94" s="46">
        <f t="shared" si="29"/>
        <v>114.43</v>
      </c>
      <c r="Y94" s="46">
        <f t="shared" si="29"/>
        <v>10626.02</v>
      </c>
      <c r="Z94" s="46">
        <f t="shared" si="45"/>
        <v>26524.99</v>
      </c>
      <c r="AA94" s="46">
        <f t="shared" si="50"/>
        <v>0</v>
      </c>
      <c r="AB94" s="46">
        <f t="shared" si="50"/>
        <v>0</v>
      </c>
      <c r="AC94" s="46">
        <f t="shared" si="50"/>
        <v>0</v>
      </c>
      <c r="AD94" s="46">
        <f t="shared" si="48"/>
        <v>0</v>
      </c>
      <c r="AE94" s="46">
        <f t="shared" si="48"/>
        <v>0</v>
      </c>
      <c r="AF94" s="46">
        <f t="shared" si="48"/>
        <v>0</v>
      </c>
      <c r="AG94" s="46">
        <f t="shared" si="48"/>
        <v>0</v>
      </c>
      <c r="AH94" s="46">
        <f t="shared" si="48"/>
        <v>0</v>
      </c>
      <c r="AI94" s="46">
        <f t="shared" si="48"/>
        <v>0</v>
      </c>
      <c r="AJ94" s="46">
        <f t="shared" si="30"/>
        <v>0</v>
      </c>
      <c r="AK94" s="46">
        <f t="shared" si="30"/>
        <v>0</v>
      </c>
      <c r="AL94" s="46">
        <f t="shared" si="46"/>
        <v>0</v>
      </c>
    </row>
    <row r="95" spans="1:38" x14ac:dyDescent="0.2">
      <c r="A95" s="43" t="s">
        <v>248</v>
      </c>
      <c r="B95" s="44">
        <f t="shared" si="33"/>
        <v>19926.77</v>
      </c>
      <c r="C95" s="44">
        <f t="shared" si="34"/>
        <v>282.64999999999998</v>
      </c>
      <c r="D95" s="44">
        <f t="shared" si="35"/>
        <v>904.47</v>
      </c>
      <c r="E95" s="44">
        <f t="shared" si="36"/>
        <v>0</v>
      </c>
      <c r="F95" s="44">
        <f t="shared" si="37"/>
        <v>0</v>
      </c>
      <c r="G95" s="44">
        <f t="shared" si="38"/>
        <v>1130.5899999999999</v>
      </c>
      <c r="H95" s="44">
        <f t="shared" si="39"/>
        <v>6459.4</v>
      </c>
      <c r="I95" s="44">
        <f t="shared" si="40"/>
        <v>1017.53</v>
      </c>
      <c r="J95" s="44">
        <f t="shared" si="41"/>
        <v>1526.3</v>
      </c>
      <c r="K95" s="44">
        <f t="shared" si="42"/>
        <v>791.41</v>
      </c>
      <c r="L95" s="44">
        <f t="shared" si="43"/>
        <v>1562.88</v>
      </c>
      <c r="M95" s="44">
        <f t="shared" si="44"/>
        <v>33602</v>
      </c>
      <c r="N95" s="45">
        <f>'OP8 part 1 analysis'!G112</f>
        <v>0.34016627809791927</v>
      </c>
      <c r="O95" s="46">
        <f t="shared" si="49"/>
        <v>13148.35</v>
      </c>
      <c r="P95" s="46">
        <f t="shared" si="49"/>
        <v>186.49999999999997</v>
      </c>
      <c r="Q95" s="46">
        <f t="shared" si="49"/>
        <v>596.79999999999995</v>
      </c>
      <c r="R95" s="46">
        <f t="shared" si="47"/>
        <v>0</v>
      </c>
      <c r="S95" s="46">
        <f t="shared" si="47"/>
        <v>0</v>
      </c>
      <c r="T95" s="46">
        <f t="shared" si="47"/>
        <v>746</v>
      </c>
      <c r="U95" s="46">
        <f t="shared" si="47"/>
        <v>4262.1299999999992</v>
      </c>
      <c r="V95" s="46">
        <f t="shared" si="47"/>
        <v>671.4</v>
      </c>
      <c r="W95" s="46">
        <f t="shared" si="47"/>
        <v>1007.0999999999999</v>
      </c>
      <c r="X95" s="46">
        <f t="shared" si="29"/>
        <v>522.20000000000005</v>
      </c>
      <c r="Y95" s="46">
        <f t="shared" si="29"/>
        <v>1031.2400000000002</v>
      </c>
      <c r="Z95" s="46">
        <f t="shared" si="45"/>
        <v>22171.72</v>
      </c>
      <c r="AA95" s="46">
        <f t="shared" si="50"/>
        <v>6778.42</v>
      </c>
      <c r="AB95" s="46">
        <f t="shared" si="50"/>
        <v>96.15</v>
      </c>
      <c r="AC95" s="46">
        <f t="shared" si="50"/>
        <v>307.67</v>
      </c>
      <c r="AD95" s="46">
        <f t="shared" si="48"/>
        <v>0</v>
      </c>
      <c r="AE95" s="46">
        <f t="shared" si="48"/>
        <v>0</v>
      </c>
      <c r="AF95" s="46">
        <f t="shared" si="48"/>
        <v>384.59</v>
      </c>
      <c r="AG95" s="46">
        <f t="shared" si="48"/>
        <v>2197.27</v>
      </c>
      <c r="AH95" s="46">
        <f t="shared" si="48"/>
        <v>346.13</v>
      </c>
      <c r="AI95" s="46">
        <f t="shared" si="48"/>
        <v>519.20000000000005</v>
      </c>
      <c r="AJ95" s="46">
        <f t="shared" si="30"/>
        <v>269.20999999999998</v>
      </c>
      <c r="AK95" s="46">
        <f t="shared" si="30"/>
        <v>531.64</v>
      </c>
      <c r="AL95" s="46">
        <f t="shared" si="46"/>
        <v>11430.279999999999</v>
      </c>
    </row>
    <row r="96" spans="1:38" x14ac:dyDescent="0.2">
      <c r="A96" s="43" t="s">
        <v>249</v>
      </c>
      <c r="B96" s="44">
        <f t="shared" si="33"/>
        <v>3267.72</v>
      </c>
      <c r="C96" s="44">
        <f t="shared" si="34"/>
        <v>516.71</v>
      </c>
      <c r="D96" s="44">
        <f t="shared" si="35"/>
        <v>1653.47</v>
      </c>
      <c r="E96" s="44">
        <f t="shared" si="36"/>
        <v>0</v>
      </c>
      <c r="F96" s="44">
        <f t="shared" si="37"/>
        <v>0</v>
      </c>
      <c r="G96" s="44">
        <f t="shared" si="38"/>
        <v>2066.84</v>
      </c>
      <c r="H96" s="44">
        <f t="shared" si="39"/>
        <v>204.23</v>
      </c>
      <c r="I96" s="44">
        <f t="shared" si="40"/>
        <v>1860.15</v>
      </c>
      <c r="J96" s="44">
        <f t="shared" si="41"/>
        <v>2790.23</v>
      </c>
      <c r="K96" s="44">
        <f t="shared" si="42"/>
        <v>1446.79</v>
      </c>
      <c r="L96" s="44">
        <f t="shared" si="43"/>
        <v>1633.86</v>
      </c>
      <c r="M96" s="44">
        <f t="shared" si="44"/>
        <v>15440</v>
      </c>
      <c r="N96" s="45">
        <f>'OP8 part 1 analysis'!G113</f>
        <v>0.36974789915966383</v>
      </c>
      <c r="O96" s="46">
        <f t="shared" si="49"/>
        <v>2059.4899999999998</v>
      </c>
      <c r="P96" s="46">
        <f t="shared" si="49"/>
        <v>325.66000000000003</v>
      </c>
      <c r="Q96" s="46">
        <f t="shared" si="49"/>
        <v>1042.0999999999999</v>
      </c>
      <c r="R96" s="46">
        <f t="shared" si="47"/>
        <v>0</v>
      </c>
      <c r="S96" s="46">
        <f t="shared" si="47"/>
        <v>0</v>
      </c>
      <c r="T96" s="46">
        <f t="shared" si="47"/>
        <v>1302.6300000000001</v>
      </c>
      <c r="U96" s="46">
        <f t="shared" si="47"/>
        <v>128.71999999999997</v>
      </c>
      <c r="V96" s="46">
        <f t="shared" si="47"/>
        <v>1172.3600000000001</v>
      </c>
      <c r="W96" s="46">
        <f t="shared" si="47"/>
        <v>1758.55</v>
      </c>
      <c r="X96" s="46">
        <f t="shared" si="29"/>
        <v>911.83999999999992</v>
      </c>
      <c r="Y96" s="46">
        <f t="shared" si="29"/>
        <v>1029.7399999999998</v>
      </c>
      <c r="Z96" s="46">
        <f t="shared" si="45"/>
        <v>9731.0899999999983</v>
      </c>
      <c r="AA96" s="46">
        <f t="shared" si="50"/>
        <v>1208.23</v>
      </c>
      <c r="AB96" s="46">
        <f t="shared" si="50"/>
        <v>191.05</v>
      </c>
      <c r="AC96" s="46">
        <f t="shared" si="50"/>
        <v>611.37</v>
      </c>
      <c r="AD96" s="46">
        <f t="shared" si="48"/>
        <v>0</v>
      </c>
      <c r="AE96" s="46">
        <f t="shared" si="48"/>
        <v>0</v>
      </c>
      <c r="AF96" s="46">
        <f t="shared" si="48"/>
        <v>764.21</v>
      </c>
      <c r="AG96" s="46">
        <f t="shared" si="48"/>
        <v>75.510000000000005</v>
      </c>
      <c r="AH96" s="46">
        <f t="shared" si="48"/>
        <v>687.79</v>
      </c>
      <c r="AI96" s="46">
        <f t="shared" si="48"/>
        <v>1031.68</v>
      </c>
      <c r="AJ96" s="46">
        <f t="shared" si="30"/>
        <v>534.95000000000005</v>
      </c>
      <c r="AK96" s="46">
        <f t="shared" si="30"/>
        <v>604.12</v>
      </c>
      <c r="AL96" s="46">
        <f t="shared" si="46"/>
        <v>5708.91</v>
      </c>
    </row>
    <row r="97" spans="1:38" x14ac:dyDescent="0.2">
      <c r="A97" s="43" t="s">
        <v>250</v>
      </c>
      <c r="B97" s="44">
        <f t="shared" si="33"/>
        <v>10565.39</v>
      </c>
      <c r="C97" s="44">
        <f t="shared" si="34"/>
        <v>684.28</v>
      </c>
      <c r="D97" s="44">
        <f t="shared" si="35"/>
        <v>2189.6999999999998</v>
      </c>
      <c r="E97" s="44">
        <f t="shared" si="36"/>
        <v>0</v>
      </c>
      <c r="F97" s="44">
        <f t="shared" si="37"/>
        <v>1673.06</v>
      </c>
      <c r="G97" s="44">
        <f t="shared" si="38"/>
        <v>2737.13</v>
      </c>
      <c r="H97" s="44">
        <f t="shared" si="39"/>
        <v>21130.78</v>
      </c>
      <c r="I97" s="44">
        <f t="shared" si="40"/>
        <v>2463.42</v>
      </c>
      <c r="J97" s="44">
        <f t="shared" si="41"/>
        <v>3695.13</v>
      </c>
      <c r="K97" s="44">
        <f t="shared" si="42"/>
        <v>1915.99</v>
      </c>
      <c r="L97" s="44">
        <f t="shared" si="43"/>
        <v>4216.12</v>
      </c>
      <c r="M97" s="44">
        <f t="shared" si="44"/>
        <v>51270.999999999993</v>
      </c>
      <c r="N97" s="45">
        <f>'OP8 part 1 analysis'!G114</f>
        <v>0</v>
      </c>
      <c r="O97" s="46">
        <f t="shared" si="49"/>
        <v>10565.39</v>
      </c>
      <c r="P97" s="46">
        <f t="shared" si="49"/>
        <v>684.28</v>
      </c>
      <c r="Q97" s="46">
        <f t="shared" si="49"/>
        <v>2189.6999999999998</v>
      </c>
      <c r="R97" s="46">
        <f t="shared" si="47"/>
        <v>0</v>
      </c>
      <c r="S97" s="46">
        <f t="shared" si="47"/>
        <v>1673.06</v>
      </c>
      <c r="T97" s="46">
        <f t="shared" si="47"/>
        <v>2737.13</v>
      </c>
      <c r="U97" s="46">
        <f t="shared" si="47"/>
        <v>21130.78</v>
      </c>
      <c r="V97" s="46">
        <f t="shared" si="47"/>
        <v>2463.42</v>
      </c>
      <c r="W97" s="46">
        <f t="shared" si="47"/>
        <v>3695.13</v>
      </c>
      <c r="X97" s="46">
        <f t="shared" si="29"/>
        <v>1915.99</v>
      </c>
      <c r="Y97" s="46">
        <f t="shared" si="29"/>
        <v>4216.12</v>
      </c>
      <c r="Z97" s="46">
        <f t="shared" si="45"/>
        <v>51270.999999999993</v>
      </c>
      <c r="AA97" s="46">
        <f t="shared" si="50"/>
        <v>0</v>
      </c>
      <c r="AB97" s="46">
        <f t="shared" si="50"/>
        <v>0</v>
      </c>
      <c r="AC97" s="46">
        <f t="shared" si="50"/>
        <v>0</v>
      </c>
      <c r="AD97" s="46">
        <f t="shared" si="48"/>
        <v>0</v>
      </c>
      <c r="AE97" s="46">
        <f t="shared" si="48"/>
        <v>0</v>
      </c>
      <c r="AF97" s="46">
        <f t="shared" si="48"/>
        <v>0</v>
      </c>
      <c r="AG97" s="46">
        <f t="shared" si="48"/>
        <v>0</v>
      </c>
      <c r="AH97" s="46">
        <f t="shared" si="48"/>
        <v>0</v>
      </c>
      <c r="AI97" s="46">
        <f t="shared" si="48"/>
        <v>0</v>
      </c>
      <c r="AJ97" s="46">
        <f t="shared" si="30"/>
        <v>0</v>
      </c>
      <c r="AK97" s="46">
        <f t="shared" si="30"/>
        <v>0</v>
      </c>
      <c r="AL97" s="46">
        <f t="shared" si="46"/>
        <v>0</v>
      </c>
    </row>
    <row r="98" spans="1:38" x14ac:dyDescent="0.2">
      <c r="A98" s="43" t="s">
        <v>251</v>
      </c>
      <c r="B98" s="44">
        <f t="shared" si="33"/>
        <v>1974.95</v>
      </c>
      <c r="C98" s="44">
        <f t="shared" si="34"/>
        <v>204.83</v>
      </c>
      <c r="D98" s="44">
        <f t="shared" si="35"/>
        <v>655.47</v>
      </c>
      <c r="E98" s="44">
        <f t="shared" si="36"/>
        <v>0</v>
      </c>
      <c r="F98" s="44">
        <f t="shared" si="37"/>
        <v>2018.47</v>
      </c>
      <c r="G98" s="44">
        <f t="shared" si="38"/>
        <v>819.34</v>
      </c>
      <c r="H98" s="44">
        <f t="shared" si="39"/>
        <v>9985.68</v>
      </c>
      <c r="I98" s="44">
        <f t="shared" si="40"/>
        <v>737.4</v>
      </c>
      <c r="J98" s="44">
        <f t="shared" si="41"/>
        <v>1106.1099999999999</v>
      </c>
      <c r="K98" s="44">
        <f t="shared" si="42"/>
        <v>573.54</v>
      </c>
      <c r="L98" s="44">
        <f t="shared" si="43"/>
        <v>1280.22</v>
      </c>
      <c r="M98" s="44">
        <f t="shared" si="44"/>
        <v>19356.010000000006</v>
      </c>
      <c r="N98" s="45">
        <f>'OP8 part 1 analysis'!G115</f>
        <v>0.65596330275229353</v>
      </c>
      <c r="O98" s="46">
        <f t="shared" si="49"/>
        <v>679.46</v>
      </c>
      <c r="P98" s="46">
        <f t="shared" si="49"/>
        <v>70.47</v>
      </c>
      <c r="Q98" s="46">
        <f t="shared" si="49"/>
        <v>225.51000000000005</v>
      </c>
      <c r="R98" s="46">
        <f t="shared" si="47"/>
        <v>0</v>
      </c>
      <c r="S98" s="46">
        <f t="shared" si="47"/>
        <v>694.43000000000006</v>
      </c>
      <c r="T98" s="46">
        <f t="shared" si="47"/>
        <v>281.88</v>
      </c>
      <c r="U98" s="46">
        <f t="shared" si="47"/>
        <v>3435.4400000000005</v>
      </c>
      <c r="V98" s="46">
        <f t="shared" si="47"/>
        <v>253.69</v>
      </c>
      <c r="W98" s="46">
        <f t="shared" si="47"/>
        <v>380.53999999999985</v>
      </c>
      <c r="X98" s="46">
        <f t="shared" si="29"/>
        <v>197.31999999999994</v>
      </c>
      <c r="Y98" s="46">
        <f t="shared" si="29"/>
        <v>440.44000000000005</v>
      </c>
      <c r="Z98" s="46">
        <f t="shared" si="45"/>
        <v>6659.18</v>
      </c>
      <c r="AA98" s="46">
        <f t="shared" si="50"/>
        <v>1295.49</v>
      </c>
      <c r="AB98" s="46">
        <f t="shared" si="50"/>
        <v>134.36000000000001</v>
      </c>
      <c r="AC98" s="46">
        <f t="shared" si="50"/>
        <v>429.96</v>
      </c>
      <c r="AD98" s="46">
        <f t="shared" si="48"/>
        <v>0</v>
      </c>
      <c r="AE98" s="46">
        <f t="shared" si="48"/>
        <v>1324.04</v>
      </c>
      <c r="AF98" s="46">
        <f t="shared" si="48"/>
        <v>537.46</v>
      </c>
      <c r="AG98" s="46">
        <f t="shared" si="48"/>
        <v>6550.24</v>
      </c>
      <c r="AH98" s="46">
        <f t="shared" si="48"/>
        <v>483.71</v>
      </c>
      <c r="AI98" s="46">
        <f t="shared" si="48"/>
        <v>725.57</v>
      </c>
      <c r="AJ98" s="46">
        <f t="shared" si="30"/>
        <v>376.22</v>
      </c>
      <c r="AK98" s="46">
        <f t="shared" si="30"/>
        <v>839.78</v>
      </c>
      <c r="AL98" s="46">
        <f t="shared" si="46"/>
        <v>12696.829999999998</v>
      </c>
    </row>
    <row r="99" spans="1:38" x14ac:dyDescent="0.2">
      <c r="A99" s="43" t="s">
        <v>252</v>
      </c>
      <c r="B99" s="44">
        <f t="shared" si="33"/>
        <v>216</v>
      </c>
      <c r="C99" s="44">
        <f t="shared" si="34"/>
        <v>361.8</v>
      </c>
      <c r="D99" s="44">
        <f t="shared" si="35"/>
        <v>1157.76</v>
      </c>
      <c r="E99" s="44">
        <f t="shared" si="36"/>
        <v>0</v>
      </c>
      <c r="F99" s="44">
        <f t="shared" si="37"/>
        <v>60</v>
      </c>
      <c r="G99" s="44">
        <f t="shared" si="38"/>
        <v>1447.2</v>
      </c>
      <c r="H99" s="44">
        <f t="shared" si="39"/>
        <v>2160</v>
      </c>
      <c r="I99" s="44">
        <f t="shared" si="40"/>
        <v>1302.48</v>
      </c>
      <c r="J99" s="44">
        <f t="shared" si="41"/>
        <v>1953.72</v>
      </c>
      <c r="K99" s="44">
        <f t="shared" si="42"/>
        <v>1013.04</v>
      </c>
      <c r="L99" s="44">
        <f t="shared" si="43"/>
        <v>480</v>
      </c>
      <c r="M99" s="44">
        <f t="shared" si="44"/>
        <v>10152</v>
      </c>
      <c r="N99" s="45">
        <f>'OP8 part 1 analysis'!G116</f>
        <v>0.12790697674418605</v>
      </c>
      <c r="O99" s="46">
        <f t="shared" si="49"/>
        <v>188.37</v>
      </c>
      <c r="P99" s="46">
        <f t="shared" si="49"/>
        <v>315.52</v>
      </c>
      <c r="Q99" s="46">
        <f t="shared" si="49"/>
        <v>1009.67</v>
      </c>
      <c r="R99" s="46">
        <f t="shared" si="47"/>
        <v>0</v>
      </c>
      <c r="S99" s="46">
        <f t="shared" si="47"/>
        <v>52.33</v>
      </c>
      <c r="T99" s="46">
        <f t="shared" si="47"/>
        <v>1262.0900000000001</v>
      </c>
      <c r="U99" s="46">
        <f t="shared" si="47"/>
        <v>1883.72</v>
      </c>
      <c r="V99" s="46">
        <f t="shared" si="47"/>
        <v>1135.8800000000001</v>
      </c>
      <c r="W99" s="46">
        <f t="shared" si="47"/>
        <v>1703.83</v>
      </c>
      <c r="X99" s="46">
        <f t="shared" si="29"/>
        <v>883.47</v>
      </c>
      <c r="Y99" s="46">
        <f t="shared" si="29"/>
        <v>418.6</v>
      </c>
      <c r="Z99" s="46">
        <f t="shared" si="45"/>
        <v>8853.48</v>
      </c>
      <c r="AA99" s="46">
        <f t="shared" si="50"/>
        <v>27.63</v>
      </c>
      <c r="AB99" s="46">
        <f t="shared" si="50"/>
        <v>46.28</v>
      </c>
      <c r="AC99" s="46">
        <f t="shared" si="50"/>
        <v>148.09</v>
      </c>
      <c r="AD99" s="46">
        <f t="shared" si="48"/>
        <v>0</v>
      </c>
      <c r="AE99" s="46">
        <f t="shared" si="48"/>
        <v>7.67</v>
      </c>
      <c r="AF99" s="46">
        <f t="shared" si="48"/>
        <v>185.11</v>
      </c>
      <c r="AG99" s="46">
        <f t="shared" si="48"/>
        <v>276.27999999999997</v>
      </c>
      <c r="AH99" s="46">
        <f t="shared" si="48"/>
        <v>166.6</v>
      </c>
      <c r="AI99" s="46">
        <f t="shared" si="48"/>
        <v>249.89</v>
      </c>
      <c r="AJ99" s="46">
        <f t="shared" si="30"/>
        <v>129.57</v>
      </c>
      <c r="AK99" s="46">
        <f t="shared" si="30"/>
        <v>61.4</v>
      </c>
      <c r="AL99" s="46">
        <f t="shared" si="46"/>
        <v>1298.52</v>
      </c>
    </row>
    <row r="100" spans="1:38" x14ac:dyDescent="0.2">
      <c r="A100" s="43" t="s">
        <v>253</v>
      </c>
      <c r="B100" s="44">
        <f t="shared" si="33"/>
        <v>4260</v>
      </c>
      <c r="C100" s="44">
        <f t="shared" si="34"/>
        <v>78</v>
      </c>
      <c r="D100" s="44">
        <f t="shared" si="35"/>
        <v>249.6</v>
      </c>
      <c r="E100" s="44">
        <f t="shared" si="36"/>
        <v>0</v>
      </c>
      <c r="F100" s="44">
        <f t="shared" si="37"/>
        <v>180</v>
      </c>
      <c r="G100" s="44">
        <f t="shared" si="38"/>
        <v>312</v>
      </c>
      <c r="H100" s="44">
        <f t="shared" si="39"/>
        <v>17124</v>
      </c>
      <c r="I100" s="44">
        <f t="shared" si="40"/>
        <v>280.8</v>
      </c>
      <c r="J100" s="44">
        <f t="shared" si="41"/>
        <v>421.2</v>
      </c>
      <c r="K100" s="44">
        <f t="shared" si="42"/>
        <v>218.4</v>
      </c>
      <c r="L100" s="44">
        <f t="shared" si="43"/>
        <v>1728</v>
      </c>
      <c r="M100" s="44">
        <f t="shared" si="44"/>
        <v>24852</v>
      </c>
      <c r="N100" s="45">
        <f>'OP8 part 1 analysis'!G117</f>
        <v>0.13892078071182548</v>
      </c>
      <c r="O100" s="46">
        <f t="shared" si="49"/>
        <v>3668.2</v>
      </c>
      <c r="P100" s="46">
        <f t="shared" si="49"/>
        <v>67.16</v>
      </c>
      <c r="Q100" s="46">
        <f t="shared" si="49"/>
        <v>214.93</v>
      </c>
      <c r="R100" s="46">
        <f t="shared" si="47"/>
        <v>0</v>
      </c>
      <c r="S100" s="46">
        <f t="shared" si="47"/>
        <v>154.99</v>
      </c>
      <c r="T100" s="46">
        <f t="shared" si="47"/>
        <v>268.65999999999997</v>
      </c>
      <c r="U100" s="46">
        <f t="shared" si="47"/>
        <v>14745.119999999999</v>
      </c>
      <c r="V100" s="46">
        <f t="shared" si="47"/>
        <v>241.79000000000002</v>
      </c>
      <c r="W100" s="46">
        <f t="shared" si="47"/>
        <v>362.69</v>
      </c>
      <c r="X100" s="46">
        <f t="shared" si="29"/>
        <v>188.06</v>
      </c>
      <c r="Y100" s="46">
        <f t="shared" si="29"/>
        <v>1487.94</v>
      </c>
      <c r="Z100" s="46">
        <f t="shared" si="45"/>
        <v>21399.539999999997</v>
      </c>
      <c r="AA100" s="46">
        <f t="shared" si="50"/>
        <v>591.79999999999995</v>
      </c>
      <c r="AB100" s="46">
        <f t="shared" si="50"/>
        <v>10.84</v>
      </c>
      <c r="AC100" s="46">
        <f t="shared" si="50"/>
        <v>34.67</v>
      </c>
      <c r="AD100" s="46">
        <f t="shared" si="48"/>
        <v>0</v>
      </c>
      <c r="AE100" s="46">
        <f t="shared" si="48"/>
        <v>25.01</v>
      </c>
      <c r="AF100" s="46">
        <f t="shared" si="48"/>
        <v>43.34</v>
      </c>
      <c r="AG100" s="46">
        <f t="shared" si="48"/>
        <v>2378.88</v>
      </c>
      <c r="AH100" s="46">
        <f t="shared" si="48"/>
        <v>39.01</v>
      </c>
      <c r="AI100" s="46">
        <f t="shared" si="48"/>
        <v>58.51</v>
      </c>
      <c r="AJ100" s="46">
        <f t="shared" si="30"/>
        <v>30.34</v>
      </c>
      <c r="AK100" s="46">
        <f t="shared" si="30"/>
        <v>240.06</v>
      </c>
      <c r="AL100" s="46">
        <f t="shared" si="46"/>
        <v>3452.4600000000005</v>
      </c>
    </row>
    <row r="101" spans="1:38" x14ac:dyDescent="0.2">
      <c r="A101" s="43" t="s">
        <v>254</v>
      </c>
      <c r="B101" s="44">
        <f t="shared" si="33"/>
        <v>3600</v>
      </c>
      <c r="C101" s="44">
        <f t="shared" si="34"/>
        <v>221.31</v>
      </c>
      <c r="D101" s="44">
        <f t="shared" si="35"/>
        <v>708.19</v>
      </c>
      <c r="E101" s="44">
        <f t="shared" si="36"/>
        <v>0</v>
      </c>
      <c r="F101" s="44">
        <f t="shared" si="37"/>
        <v>0</v>
      </c>
      <c r="G101" s="44">
        <f t="shared" si="38"/>
        <v>885.24</v>
      </c>
      <c r="H101" s="44">
        <f t="shared" si="39"/>
        <v>4800</v>
      </c>
      <c r="I101" s="44">
        <f t="shared" si="40"/>
        <v>796.72</v>
      </c>
      <c r="J101" s="44">
        <f t="shared" si="41"/>
        <v>1195.07</v>
      </c>
      <c r="K101" s="44">
        <f t="shared" si="42"/>
        <v>619.66999999999996</v>
      </c>
      <c r="L101" s="44">
        <f t="shared" si="43"/>
        <v>600</v>
      </c>
      <c r="M101" s="44">
        <f t="shared" si="44"/>
        <v>13426.199999999999</v>
      </c>
      <c r="N101" s="45">
        <f>'OP8 part 1 analysis'!G118</f>
        <v>0.74576271186440679</v>
      </c>
      <c r="O101" s="46">
        <f t="shared" si="49"/>
        <v>915.25</v>
      </c>
      <c r="P101" s="46">
        <f t="shared" si="49"/>
        <v>56.27000000000001</v>
      </c>
      <c r="Q101" s="46">
        <f t="shared" si="49"/>
        <v>180.05000000000007</v>
      </c>
      <c r="R101" s="46">
        <f t="shared" si="47"/>
        <v>0</v>
      </c>
      <c r="S101" s="46">
        <f t="shared" si="47"/>
        <v>0</v>
      </c>
      <c r="T101" s="46">
        <f t="shared" si="47"/>
        <v>225.06000000000006</v>
      </c>
      <c r="U101" s="46">
        <f t="shared" si="47"/>
        <v>1220.3400000000001</v>
      </c>
      <c r="V101" s="46">
        <f t="shared" si="47"/>
        <v>202.56000000000006</v>
      </c>
      <c r="W101" s="46">
        <f t="shared" si="47"/>
        <v>303.82999999999993</v>
      </c>
      <c r="X101" s="46">
        <f t="shared" si="29"/>
        <v>157.53999999999996</v>
      </c>
      <c r="Y101" s="46">
        <f t="shared" si="29"/>
        <v>152.54000000000002</v>
      </c>
      <c r="Z101" s="46">
        <f t="shared" si="45"/>
        <v>3413.44</v>
      </c>
      <c r="AA101" s="46">
        <f t="shared" si="50"/>
        <v>2684.75</v>
      </c>
      <c r="AB101" s="46">
        <f t="shared" si="50"/>
        <v>165.04</v>
      </c>
      <c r="AC101" s="46">
        <f t="shared" si="50"/>
        <v>528.14</v>
      </c>
      <c r="AD101" s="46">
        <f t="shared" si="48"/>
        <v>0</v>
      </c>
      <c r="AE101" s="46">
        <f t="shared" si="48"/>
        <v>0</v>
      </c>
      <c r="AF101" s="46">
        <f t="shared" si="48"/>
        <v>660.18</v>
      </c>
      <c r="AG101" s="46">
        <f t="shared" si="48"/>
        <v>3579.66</v>
      </c>
      <c r="AH101" s="46">
        <f t="shared" si="48"/>
        <v>594.16</v>
      </c>
      <c r="AI101" s="46">
        <f t="shared" si="48"/>
        <v>891.24</v>
      </c>
      <c r="AJ101" s="46">
        <f t="shared" si="30"/>
        <v>462.13</v>
      </c>
      <c r="AK101" s="46">
        <f t="shared" si="30"/>
        <v>447.46</v>
      </c>
      <c r="AL101" s="46">
        <f t="shared" si="46"/>
        <v>10012.759999999998</v>
      </c>
    </row>
    <row r="102" spans="1:38" x14ac:dyDescent="0.2">
      <c r="A102" s="43" t="s">
        <v>255</v>
      </c>
      <c r="B102" s="44">
        <f t="shared" si="33"/>
        <v>19716.89</v>
      </c>
      <c r="C102" s="44">
        <f t="shared" si="34"/>
        <v>274.67</v>
      </c>
      <c r="D102" s="44">
        <f t="shared" si="35"/>
        <v>878.95</v>
      </c>
      <c r="E102" s="44">
        <f t="shared" si="36"/>
        <v>0</v>
      </c>
      <c r="F102" s="44">
        <f t="shared" si="37"/>
        <v>248.01</v>
      </c>
      <c r="G102" s="44">
        <f t="shared" si="38"/>
        <v>1098.69</v>
      </c>
      <c r="H102" s="44">
        <f t="shared" si="39"/>
        <v>6355.7</v>
      </c>
      <c r="I102" s="44">
        <f t="shared" si="40"/>
        <v>988.82</v>
      </c>
      <c r="J102" s="44">
        <f t="shared" si="41"/>
        <v>1483.23</v>
      </c>
      <c r="K102" s="44">
        <f t="shared" si="42"/>
        <v>769.08</v>
      </c>
      <c r="L102" s="44">
        <f t="shared" si="43"/>
        <v>7675.95</v>
      </c>
      <c r="M102" s="44">
        <f t="shared" si="44"/>
        <v>39489.99</v>
      </c>
      <c r="N102" s="45">
        <f>'OP8 part 1 analysis'!G119</f>
        <v>0.29840972871842841</v>
      </c>
      <c r="O102" s="46">
        <f t="shared" si="49"/>
        <v>13833.18</v>
      </c>
      <c r="P102" s="46">
        <f t="shared" si="49"/>
        <v>192.71000000000004</v>
      </c>
      <c r="Q102" s="46">
        <f t="shared" si="49"/>
        <v>616.66000000000008</v>
      </c>
      <c r="R102" s="46">
        <f t="shared" si="47"/>
        <v>0</v>
      </c>
      <c r="S102" s="46">
        <f t="shared" si="47"/>
        <v>174</v>
      </c>
      <c r="T102" s="46">
        <f t="shared" si="47"/>
        <v>770.83</v>
      </c>
      <c r="U102" s="46">
        <f t="shared" si="47"/>
        <v>4459.1000000000004</v>
      </c>
      <c r="V102" s="46">
        <f t="shared" si="47"/>
        <v>693.75</v>
      </c>
      <c r="W102" s="46">
        <f t="shared" si="47"/>
        <v>1040.6199999999999</v>
      </c>
      <c r="X102" s="46">
        <f t="shared" si="29"/>
        <v>539.58000000000004</v>
      </c>
      <c r="Y102" s="46">
        <f t="shared" si="29"/>
        <v>5385.37</v>
      </c>
      <c r="Z102" s="46">
        <f t="shared" si="45"/>
        <v>27705.8</v>
      </c>
      <c r="AA102" s="46">
        <f t="shared" si="50"/>
        <v>5883.71</v>
      </c>
      <c r="AB102" s="46">
        <f t="shared" si="50"/>
        <v>81.96</v>
      </c>
      <c r="AC102" s="46">
        <f t="shared" si="50"/>
        <v>262.29000000000002</v>
      </c>
      <c r="AD102" s="46">
        <f t="shared" si="48"/>
        <v>0</v>
      </c>
      <c r="AE102" s="46">
        <f t="shared" si="48"/>
        <v>74.010000000000005</v>
      </c>
      <c r="AF102" s="46">
        <f t="shared" si="48"/>
        <v>327.86</v>
      </c>
      <c r="AG102" s="46">
        <f t="shared" si="48"/>
        <v>1896.6</v>
      </c>
      <c r="AH102" s="46">
        <f t="shared" si="48"/>
        <v>295.07</v>
      </c>
      <c r="AI102" s="46">
        <f t="shared" si="48"/>
        <v>442.61</v>
      </c>
      <c r="AJ102" s="46">
        <f t="shared" si="30"/>
        <v>229.5</v>
      </c>
      <c r="AK102" s="46">
        <f t="shared" si="30"/>
        <v>2290.58</v>
      </c>
      <c r="AL102" s="46">
        <f t="shared" si="46"/>
        <v>11784.19</v>
      </c>
    </row>
    <row r="103" spans="1:38" x14ac:dyDescent="0.2">
      <c r="A103" s="43" t="s">
        <v>256</v>
      </c>
      <c r="B103" s="44">
        <f t="shared" si="33"/>
        <v>19370.75</v>
      </c>
      <c r="C103" s="44">
        <f t="shared" si="34"/>
        <v>474.89</v>
      </c>
      <c r="D103" s="44">
        <f t="shared" si="35"/>
        <v>1519.64</v>
      </c>
      <c r="E103" s="44">
        <f t="shared" si="36"/>
        <v>0</v>
      </c>
      <c r="F103" s="44">
        <f t="shared" si="37"/>
        <v>1776.05</v>
      </c>
      <c r="G103" s="44">
        <f t="shared" si="38"/>
        <v>1899.55</v>
      </c>
      <c r="H103" s="44">
        <f t="shared" si="39"/>
        <v>18580.18</v>
      </c>
      <c r="I103" s="44">
        <f t="shared" si="40"/>
        <v>1709.6</v>
      </c>
      <c r="J103" s="44">
        <f t="shared" si="41"/>
        <v>2564.39</v>
      </c>
      <c r="K103" s="44">
        <f t="shared" si="42"/>
        <v>1329.69</v>
      </c>
      <c r="L103" s="44">
        <f t="shared" si="43"/>
        <v>3601.28</v>
      </c>
      <c r="M103" s="44">
        <f t="shared" si="44"/>
        <v>52826.02</v>
      </c>
      <c r="N103" s="45">
        <f>'OP8 part 1 analysis'!G120</f>
        <v>0.59459459459459452</v>
      </c>
      <c r="O103" s="46">
        <f t="shared" si="49"/>
        <v>7853.01</v>
      </c>
      <c r="P103" s="46">
        <f t="shared" si="49"/>
        <v>192.51999999999998</v>
      </c>
      <c r="Q103" s="46">
        <f t="shared" si="49"/>
        <v>616.07000000000005</v>
      </c>
      <c r="R103" s="46">
        <f t="shared" si="47"/>
        <v>0</v>
      </c>
      <c r="S103" s="46">
        <f t="shared" si="47"/>
        <v>720.02</v>
      </c>
      <c r="T103" s="46">
        <f t="shared" si="47"/>
        <v>770.08999999999992</v>
      </c>
      <c r="U103" s="46">
        <f t="shared" si="47"/>
        <v>7532.51</v>
      </c>
      <c r="V103" s="46">
        <f t="shared" si="47"/>
        <v>693.07999999999993</v>
      </c>
      <c r="W103" s="46">
        <f t="shared" si="47"/>
        <v>1039.6199999999999</v>
      </c>
      <c r="X103" s="46">
        <f t="shared" si="29"/>
        <v>539.06000000000006</v>
      </c>
      <c r="Y103" s="46">
        <f t="shared" si="29"/>
        <v>1459.98</v>
      </c>
      <c r="Z103" s="46">
        <f t="shared" si="45"/>
        <v>21415.960000000003</v>
      </c>
      <c r="AA103" s="46">
        <f t="shared" si="50"/>
        <v>11517.74</v>
      </c>
      <c r="AB103" s="46">
        <f t="shared" si="50"/>
        <v>282.37</v>
      </c>
      <c r="AC103" s="46">
        <f t="shared" si="50"/>
        <v>903.57</v>
      </c>
      <c r="AD103" s="46">
        <f t="shared" si="48"/>
        <v>0</v>
      </c>
      <c r="AE103" s="46">
        <f t="shared" si="48"/>
        <v>1056.03</v>
      </c>
      <c r="AF103" s="46">
        <f t="shared" si="48"/>
        <v>1129.46</v>
      </c>
      <c r="AG103" s="46">
        <f t="shared" si="48"/>
        <v>11047.67</v>
      </c>
      <c r="AH103" s="46">
        <f t="shared" si="48"/>
        <v>1016.52</v>
      </c>
      <c r="AI103" s="46">
        <f t="shared" si="48"/>
        <v>1524.77</v>
      </c>
      <c r="AJ103" s="46">
        <f t="shared" si="30"/>
        <v>790.63</v>
      </c>
      <c r="AK103" s="46">
        <f t="shared" si="30"/>
        <v>2141.3000000000002</v>
      </c>
      <c r="AL103" s="46">
        <f t="shared" si="46"/>
        <v>31410.060000000005</v>
      </c>
    </row>
    <row r="104" spans="1:38" s="49" customFormat="1" x14ac:dyDescent="0.2">
      <c r="A104" s="47" t="s">
        <v>156</v>
      </c>
      <c r="B104" s="48">
        <f>SUM(B5:B103)</f>
        <v>739985.32</v>
      </c>
      <c r="C104" s="48">
        <f t="shared" ref="C104:M104" si="51">SUM(C5:C103)</f>
        <v>28836.650000000005</v>
      </c>
      <c r="D104" s="48">
        <f t="shared" si="51"/>
        <v>76244.34</v>
      </c>
      <c r="E104" s="48">
        <f t="shared" si="51"/>
        <v>10730</v>
      </c>
      <c r="F104" s="48">
        <f t="shared" si="51"/>
        <v>41312.410000000003</v>
      </c>
      <c r="G104" s="48">
        <f t="shared" si="51"/>
        <v>94629.99</v>
      </c>
      <c r="H104" s="48">
        <f t="shared" si="51"/>
        <v>999887.04</v>
      </c>
      <c r="I104" s="48">
        <f t="shared" si="51"/>
        <v>103726.78000000001</v>
      </c>
      <c r="J104" s="48">
        <f t="shared" si="51"/>
        <v>130256.27000000002</v>
      </c>
      <c r="K104" s="48">
        <f t="shared" si="51"/>
        <v>69965.539999999994</v>
      </c>
      <c r="L104" s="48">
        <f t="shared" si="51"/>
        <v>290459.34999999998</v>
      </c>
      <c r="M104" s="48">
        <f t="shared" si="51"/>
        <v>2586033.6900000004</v>
      </c>
      <c r="O104" s="50">
        <f>SUM(O5:O103)</f>
        <v>457042.45999999996</v>
      </c>
      <c r="P104" s="50">
        <f t="shared" ref="P104:AL104" si="52">SUM(P5:P103)</f>
        <v>18357.2</v>
      </c>
      <c r="Q104" s="50">
        <f t="shared" si="52"/>
        <v>48408.649999999994</v>
      </c>
      <c r="R104" s="50">
        <f t="shared" si="52"/>
        <v>4937.12</v>
      </c>
      <c r="S104" s="50">
        <f t="shared" si="52"/>
        <v>23355.010000000006</v>
      </c>
      <c r="T104" s="50">
        <f t="shared" si="52"/>
        <v>59792.350000000006</v>
      </c>
      <c r="U104" s="50">
        <f t="shared" si="52"/>
        <v>642972.83999999962</v>
      </c>
      <c r="V104" s="50">
        <f t="shared" si="52"/>
        <v>66458.400000000009</v>
      </c>
      <c r="W104" s="50">
        <f t="shared" si="52"/>
        <v>81111.609999999986</v>
      </c>
      <c r="X104" s="50">
        <f t="shared" si="52"/>
        <v>45492.93</v>
      </c>
      <c r="Y104" s="50">
        <f t="shared" si="52"/>
        <v>182950.59999999995</v>
      </c>
      <c r="Z104" s="50">
        <f t="shared" si="52"/>
        <v>1630879.1700000002</v>
      </c>
      <c r="AA104" s="50">
        <f t="shared" si="52"/>
        <v>282942.86</v>
      </c>
      <c r="AB104" s="50">
        <f t="shared" si="52"/>
        <v>10479.450000000006</v>
      </c>
      <c r="AC104" s="50">
        <f t="shared" si="52"/>
        <v>27835.689999999991</v>
      </c>
      <c r="AD104" s="50">
        <f t="shared" si="52"/>
        <v>5792.88</v>
      </c>
      <c r="AE104" s="50">
        <f t="shared" si="52"/>
        <v>17957.399999999994</v>
      </c>
      <c r="AF104" s="50">
        <f t="shared" si="52"/>
        <v>34837.640000000007</v>
      </c>
      <c r="AG104" s="50">
        <f t="shared" si="52"/>
        <v>356914.2</v>
      </c>
      <c r="AH104" s="50">
        <f t="shared" si="52"/>
        <v>37268.379999999997</v>
      </c>
      <c r="AI104" s="50">
        <f t="shared" si="52"/>
        <v>49144.66</v>
      </c>
      <c r="AJ104" s="50">
        <f t="shared" si="52"/>
        <v>24472.610000000008</v>
      </c>
      <c r="AK104" s="50">
        <f t="shared" si="52"/>
        <v>107508.75</v>
      </c>
      <c r="AL104" s="50">
        <f t="shared" si="52"/>
        <v>955154.52</v>
      </c>
    </row>
    <row r="105" spans="1:38" s="49" customFormat="1" x14ac:dyDescent="0.2">
      <c r="A105" s="49" t="s">
        <v>362</v>
      </c>
      <c r="B105" s="252">
        <f>O105+AA105</f>
        <v>2782875</v>
      </c>
      <c r="C105" s="252">
        <f t="shared" ref="C105:L105" si="53">P105+AB105</f>
        <v>36642</v>
      </c>
      <c r="D105" s="252">
        <f t="shared" si="53"/>
        <v>260812</v>
      </c>
      <c r="E105" s="252">
        <f t="shared" si="53"/>
        <v>339558</v>
      </c>
      <c r="F105" s="252">
        <f t="shared" si="53"/>
        <v>377950</v>
      </c>
      <c r="G105" s="252">
        <f t="shared" si="53"/>
        <v>166336</v>
      </c>
      <c r="H105" s="252">
        <f t="shared" si="53"/>
        <v>2141732</v>
      </c>
      <c r="I105" s="252">
        <f t="shared" si="53"/>
        <v>125915</v>
      </c>
      <c r="J105" s="252">
        <f t="shared" si="53"/>
        <v>118158</v>
      </c>
      <c r="K105" s="252">
        <f t="shared" si="53"/>
        <v>771238</v>
      </c>
      <c r="L105" s="252">
        <f t="shared" si="53"/>
        <v>723294</v>
      </c>
      <c r="M105" s="252">
        <f>SUM(B105:L105)</f>
        <v>7844510</v>
      </c>
      <c r="O105" s="252">
        <f>breakdown!Q36</f>
        <v>1365708</v>
      </c>
      <c r="P105" s="252">
        <f>breakdown!Q38</f>
        <v>17982</v>
      </c>
      <c r="Q105" s="252">
        <f>breakdown!Q40</f>
        <v>127995</v>
      </c>
      <c r="R105" s="252">
        <f>breakdown!Q46</f>
        <v>166640</v>
      </c>
      <c r="S105" s="252">
        <f>breakdown!Q41</f>
        <v>185481</v>
      </c>
      <c r="T105" s="252">
        <f>breakdown!Q43</f>
        <v>81630</v>
      </c>
      <c r="U105" s="252">
        <f>breakdown!Q44</f>
        <v>1051064</v>
      </c>
      <c r="V105" s="252">
        <f>breakdown!Q45</f>
        <v>61793</v>
      </c>
      <c r="W105" s="252">
        <f>breakdown!Q47</f>
        <v>57987</v>
      </c>
      <c r="X105" s="252">
        <f>breakdown!Q48</f>
        <v>378488</v>
      </c>
      <c r="Y105" s="252">
        <f>breakdown!Q50</f>
        <v>354960</v>
      </c>
      <c r="Z105" s="252">
        <f>SUM(O105:Y105)</f>
        <v>3849728</v>
      </c>
      <c r="AA105" s="252">
        <f>breakdown!H36</f>
        <v>1417167</v>
      </c>
      <c r="AB105" s="252">
        <f>breakdown!H38</f>
        <v>18660</v>
      </c>
      <c r="AC105" s="252">
        <f>breakdown!H40</f>
        <v>132817</v>
      </c>
      <c r="AD105" s="252">
        <f>breakdown!H46</f>
        <v>172918</v>
      </c>
      <c r="AE105" s="252">
        <f>breakdown!H41</f>
        <v>192469</v>
      </c>
      <c r="AF105" s="252">
        <f>breakdown!H43</f>
        <v>84706</v>
      </c>
      <c r="AG105" s="252">
        <f>breakdown!H44</f>
        <v>1090668</v>
      </c>
      <c r="AH105" s="252">
        <f>breakdown!H45</f>
        <v>64122</v>
      </c>
      <c r="AI105" s="252">
        <f>breakdown!H47</f>
        <v>60171</v>
      </c>
      <c r="AJ105" s="252">
        <f>breakdown!H48</f>
        <v>392750</v>
      </c>
      <c r="AK105" s="252">
        <f>breakdown!H50</f>
        <v>368334</v>
      </c>
      <c r="AL105" s="252">
        <f>SUM(AA105:AK105)</f>
        <v>3994782</v>
      </c>
    </row>
    <row r="106" spans="1:38" s="49" customFormat="1" x14ac:dyDescent="0.2">
      <c r="A106" s="49" t="s">
        <v>363</v>
      </c>
      <c r="B106" s="253">
        <f>B105/B104</f>
        <v>3.7607164963759012</v>
      </c>
      <c r="C106" s="253">
        <f t="shared" ref="C106:M106" si="54">C105/C104</f>
        <v>1.270674644939686</v>
      </c>
      <c r="D106" s="253">
        <f t="shared" si="54"/>
        <v>3.4207391656875776</v>
      </c>
      <c r="E106" s="253">
        <f t="shared" si="54"/>
        <v>31.645666356011183</v>
      </c>
      <c r="F106" s="253">
        <f t="shared" si="54"/>
        <v>9.1485827140077269</v>
      </c>
      <c r="G106" s="253">
        <f t="shared" si="54"/>
        <v>1.7577514274280277</v>
      </c>
      <c r="H106" s="253">
        <f t="shared" si="54"/>
        <v>2.1419739573782253</v>
      </c>
      <c r="I106" s="253">
        <f t="shared" si="54"/>
        <v>1.2139102361029619</v>
      </c>
      <c r="J106" s="254">
        <f t="shared" si="54"/>
        <v>0.90711948069755088</v>
      </c>
      <c r="K106" s="253">
        <f t="shared" si="54"/>
        <v>11.023112234965957</v>
      </c>
      <c r="L106" s="253">
        <f t="shared" si="54"/>
        <v>2.4901728933842207</v>
      </c>
      <c r="M106" s="253">
        <f t="shared" si="54"/>
        <v>3.0334136907551263</v>
      </c>
      <c r="O106" s="253">
        <f t="shared" ref="O106" si="55">O105/O104</f>
        <v>2.9881425021211379</v>
      </c>
      <c r="P106" s="254">
        <f t="shared" ref="P106" si="56">P105/P104</f>
        <v>0.97956115311703307</v>
      </c>
      <c r="Q106" s="253">
        <f t="shared" ref="Q106" si="57">Q105/Q104</f>
        <v>2.6440522509923334</v>
      </c>
      <c r="R106" s="253">
        <f t="shared" ref="R106" si="58">R105/R104</f>
        <v>33.752471076254984</v>
      </c>
      <c r="S106" s="253">
        <f t="shared" ref="S106" si="59">S105/S104</f>
        <v>7.9418077748628644</v>
      </c>
      <c r="T106" s="253">
        <f t="shared" ref="T106" si="60">T105/T104</f>
        <v>1.3652248155491462</v>
      </c>
      <c r="U106" s="253">
        <f t="shared" ref="U106" si="61">U105/U104</f>
        <v>1.6346942430725389</v>
      </c>
      <c r="V106" s="254">
        <f t="shared" ref="V106" si="62">V105/V104</f>
        <v>0.92979969424482067</v>
      </c>
      <c r="W106" s="254">
        <f t="shared" ref="W106" si="63">W105/W104</f>
        <v>0.71490382202991665</v>
      </c>
      <c r="X106" s="253">
        <f t="shared" ref="X106" si="64">X105/X104</f>
        <v>8.3197103374084715</v>
      </c>
      <c r="Y106" s="253">
        <f t="shared" ref="Y106" si="65">Y105/Y104</f>
        <v>1.9401958780129724</v>
      </c>
      <c r="Z106" s="253">
        <f t="shared" ref="Z106" si="66">Z105/Z104</f>
        <v>2.360523128148114</v>
      </c>
      <c r="AA106" s="253">
        <f t="shared" ref="AA106" si="67">AA105/AA104</f>
        <v>5.008668534699904</v>
      </c>
      <c r="AB106" s="253">
        <f t="shared" ref="AB106" si="68">AB105/AB104</f>
        <v>1.7806278001230971</v>
      </c>
      <c r="AC106" s="253">
        <f t="shared" ref="AC106" si="69">AC105/AC104</f>
        <v>4.7714642604512427</v>
      </c>
      <c r="AD106" s="253">
        <f t="shared" ref="AD106" si="70">AD105/AD104</f>
        <v>29.850091836875613</v>
      </c>
      <c r="AE106" s="253">
        <f t="shared" ref="AE106" si="71">AE105/AE104</f>
        <v>10.718088364685315</v>
      </c>
      <c r="AF106" s="253">
        <f t="shared" ref="AF106" si="72">AF105/AF104</f>
        <v>2.4314505804641184</v>
      </c>
      <c r="AG106" s="253">
        <f t="shared" ref="AG106" si="73">AG105/AG104</f>
        <v>3.055826862590505</v>
      </c>
      <c r="AH106" s="253">
        <f t="shared" ref="AH106" si="74">AH105/AH104</f>
        <v>1.7205470159958658</v>
      </c>
      <c r="AI106" s="253">
        <f t="shared" ref="AI106" si="75">AI105/AI104</f>
        <v>1.2243649666108178</v>
      </c>
      <c r="AJ106" s="253">
        <f t="shared" ref="AJ106" si="76">AJ105/AJ104</f>
        <v>16.048553873085048</v>
      </c>
      <c r="AK106" s="253">
        <f t="shared" ref="AK106" si="77">AK105/AK104</f>
        <v>3.4260839234015834</v>
      </c>
      <c r="AL106" s="253">
        <f t="shared" ref="AL106" si="78">AL105/AL104</f>
        <v>4.1823410938787164</v>
      </c>
    </row>
    <row r="107" spans="1:38" x14ac:dyDescent="0.2">
      <c r="L107" s="51" t="s">
        <v>364</v>
      </c>
      <c r="M107" s="46">
        <f>SUM([2]RPA_Kris!B5:B6)</f>
        <v>978310</v>
      </c>
    </row>
    <row r="108" spans="1:38" x14ac:dyDescent="0.2">
      <c r="A108" s="49" t="s">
        <v>365</v>
      </c>
      <c r="L108" s="51" t="s">
        <v>366</v>
      </c>
      <c r="M108" s="46">
        <f>SUM([2]RPA_Kris!C5:C6)</f>
        <v>1223317</v>
      </c>
    </row>
    <row r="109" spans="1:38" x14ac:dyDescent="0.2">
      <c r="L109" s="51" t="s">
        <v>367</v>
      </c>
      <c r="M109" s="46">
        <f>SUM([2]RPA_Kris!D5:D6)</f>
        <v>1223317</v>
      </c>
    </row>
    <row r="110" spans="1:38" x14ac:dyDescent="0.2">
      <c r="L110" s="51" t="s">
        <v>368</v>
      </c>
      <c r="M110" s="46">
        <f>SUM([2]RPA_Kris!E5:E6)</f>
        <v>218100</v>
      </c>
    </row>
    <row r="111" spans="1:38" x14ac:dyDescent="0.2">
      <c r="M111" s="50">
        <f>SUM(M104:M110)</f>
        <v>14073590.723413693</v>
      </c>
      <c r="N111" s="49"/>
    </row>
  </sheetData>
  <mergeCells count="3">
    <mergeCell ref="A1:M1"/>
    <mergeCell ref="O2:Z2"/>
    <mergeCell ref="AA2:AL2"/>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300EE-88B3-4958-85F0-397EF5FCE25E}">
  <dimension ref="B1:BN196"/>
  <sheetViews>
    <sheetView topLeftCell="K67" zoomScaleNormal="120" workbookViewId="0">
      <selection activeCell="S7" sqref="S7:S79"/>
    </sheetView>
  </sheetViews>
  <sheetFormatPr defaultColWidth="9" defaultRowHeight="15" x14ac:dyDescent="0.25"/>
  <cols>
    <col min="1" max="1" width="9" style="65"/>
    <col min="2" max="2" width="20.85546875" style="63" bestFit="1" customWidth="1"/>
    <col min="3" max="3" width="25.85546875" style="63" bestFit="1" customWidth="1"/>
    <col min="4" max="4" width="4.85546875" style="65" customWidth="1"/>
    <col min="5" max="5" width="7.42578125" style="65" customWidth="1"/>
    <col min="6" max="6" width="5.7109375" style="65" customWidth="1"/>
    <col min="7" max="7" width="7.7109375" style="65" customWidth="1"/>
    <col min="8" max="8" width="6.85546875" style="65" customWidth="1"/>
    <col min="9" max="9" width="13.85546875" style="65" customWidth="1"/>
    <col min="10" max="10" width="9" style="65" customWidth="1"/>
    <col min="11" max="11" width="14.42578125" style="65" customWidth="1"/>
    <col min="12" max="12" width="14.28515625" style="66" customWidth="1"/>
    <col min="13" max="13" width="27.28515625" style="65" customWidth="1"/>
    <col min="14" max="14" width="16.42578125" style="65" customWidth="1"/>
    <col min="15" max="25" width="13.85546875" style="67" customWidth="1"/>
    <col min="26" max="26" width="20" style="69" customWidth="1"/>
    <col min="27" max="27" width="9" style="67"/>
    <col min="28" max="31" width="9" style="65"/>
    <col min="32" max="32" width="22" style="65" bestFit="1" customWidth="1"/>
    <col min="33" max="33" width="27.42578125" style="65" bestFit="1" customWidth="1"/>
    <col min="34" max="34" width="4.85546875" style="66" bestFit="1" customWidth="1"/>
    <col min="35" max="35" width="6.7109375" style="66" bestFit="1" customWidth="1"/>
    <col min="36" max="36" width="6.42578125" style="66" bestFit="1" customWidth="1"/>
    <col min="37" max="37" width="6" style="66" customWidth="1"/>
    <col min="38" max="38" width="7" style="66" bestFit="1" customWidth="1"/>
    <col min="39" max="39" width="14.7109375" style="65" bestFit="1" customWidth="1"/>
    <col min="40" max="40" width="9.28515625" style="65" bestFit="1" customWidth="1"/>
    <col min="41" max="51" width="13.85546875" style="65" customWidth="1"/>
    <col min="52" max="52" width="21.140625" style="65" bestFit="1" customWidth="1"/>
    <col min="53" max="57" width="9" style="65"/>
    <col min="58" max="58" width="17.7109375" style="65" bestFit="1" customWidth="1"/>
    <col min="59" max="59" width="26.5703125" style="65" customWidth="1"/>
    <col min="60" max="62" width="9" style="65"/>
    <col min="63" max="63" width="24.28515625" style="65" bestFit="1" customWidth="1"/>
    <col min="64" max="64" width="9" style="65"/>
    <col min="65" max="65" width="16.140625" style="65" bestFit="1" customWidth="1"/>
    <col min="66" max="16384" width="9" style="65"/>
  </cols>
  <sheetData>
    <row r="1" spans="2:66" x14ac:dyDescent="0.25">
      <c r="C1" s="64" t="s">
        <v>369</v>
      </c>
      <c r="T1" s="68">
        <v>72400</v>
      </c>
      <c r="AF1" s="70" t="s">
        <v>370</v>
      </c>
    </row>
    <row r="2" spans="2:66" x14ac:dyDescent="0.25">
      <c r="B2" s="63">
        <v>1</v>
      </c>
      <c r="C2" s="63">
        <v>2</v>
      </c>
      <c r="D2" s="63">
        <v>3</v>
      </c>
      <c r="E2" s="63">
        <v>4</v>
      </c>
      <c r="F2" s="63">
        <v>5</v>
      </c>
      <c r="G2" s="63">
        <v>6</v>
      </c>
      <c r="H2" s="63">
        <v>7</v>
      </c>
      <c r="I2" s="63">
        <v>8</v>
      </c>
      <c r="J2" s="63">
        <v>9</v>
      </c>
      <c r="K2" s="63">
        <v>10</v>
      </c>
      <c r="L2" s="63">
        <v>11</v>
      </c>
      <c r="M2" s="63">
        <v>12</v>
      </c>
      <c r="N2" s="63">
        <v>13</v>
      </c>
      <c r="O2" s="63">
        <v>14</v>
      </c>
      <c r="P2" s="63">
        <v>15</v>
      </c>
      <c r="Q2" s="63">
        <v>16</v>
      </c>
      <c r="R2" s="63">
        <v>17</v>
      </c>
      <c r="S2" s="63">
        <v>18</v>
      </c>
      <c r="T2" s="63">
        <v>19</v>
      </c>
      <c r="U2" s="63">
        <v>20</v>
      </c>
      <c r="V2" s="63">
        <v>21</v>
      </c>
      <c r="W2" s="63">
        <v>22</v>
      </c>
      <c r="X2" s="63">
        <v>23</v>
      </c>
      <c r="Y2" s="63">
        <v>24</v>
      </c>
      <c r="Z2" s="63">
        <v>25</v>
      </c>
      <c r="AT2" s="68">
        <v>72400</v>
      </c>
    </row>
    <row r="3" spans="2:66" s="75" customFormat="1" ht="60" x14ac:dyDescent="0.25">
      <c r="B3" s="71" t="s">
        <v>371</v>
      </c>
      <c r="C3" s="71" t="s">
        <v>372</v>
      </c>
      <c r="D3" s="71" t="s">
        <v>373</v>
      </c>
      <c r="E3" s="71" t="s">
        <v>374</v>
      </c>
      <c r="F3" s="71" t="s">
        <v>375</v>
      </c>
      <c r="G3" s="71" t="s">
        <v>376</v>
      </c>
      <c r="H3" s="71" t="s">
        <v>377</v>
      </c>
      <c r="I3" s="71" t="s">
        <v>378</v>
      </c>
      <c r="J3" s="71" t="s">
        <v>159</v>
      </c>
      <c r="K3" s="71" t="s">
        <v>379</v>
      </c>
      <c r="L3" s="71" t="s">
        <v>380</v>
      </c>
      <c r="M3" s="71" t="s">
        <v>381</v>
      </c>
      <c r="N3" s="71" t="s">
        <v>382</v>
      </c>
      <c r="O3" s="72" t="s">
        <v>144</v>
      </c>
      <c r="P3" s="72" t="s">
        <v>145</v>
      </c>
      <c r="Q3" s="72" t="s">
        <v>146</v>
      </c>
      <c r="R3" s="72" t="s">
        <v>383</v>
      </c>
      <c r="S3" s="72" t="s">
        <v>148</v>
      </c>
      <c r="T3" s="72" t="s">
        <v>149</v>
      </c>
      <c r="U3" s="72" t="s">
        <v>150</v>
      </c>
      <c r="V3" s="72" t="s">
        <v>151</v>
      </c>
      <c r="W3" s="72" t="s">
        <v>152</v>
      </c>
      <c r="X3" s="72" t="s">
        <v>153</v>
      </c>
      <c r="Y3" s="72" t="s">
        <v>154</v>
      </c>
      <c r="Z3" s="73" t="s">
        <v>360</v>
      </c>
      <c r="AA3" s="74"/>
      <c r="AF3" s="71" t="s">
        <v>371</v>
      </c>
      <c r="AG3" s="71" t="s">
        <v>372</v>
      </c>
      <c r="AH3" s="71" t="s">
        <v>373</v>
      </c>
      <c r="AI3" s="71" t="s">
        <v>374</v>
      </c>
      <c r="AJ3" s="71" t="s">
        <v>375</v>
      </c>
      <c r="AK3" s="71" t="s">
        <v>376</v>
      </c>
      <c r="AL3" s="71" t="s">
        <v>377</v>
      </c>
      <c r="AM3" s="71" t="s">
        <v>378</v>
      </c>
      <c r="AN3" s="71" t="s">
        <v>159</v>
      </c>
      <c r="AO3" s="72" t="s">
        <v>144</v>
      </c>
      <c r="AP3" s="72" t="s">
        <v>145</v>
      </c>
      <c r="AQ3" s="72" t="s">
        <v>146</v>
      </c>
      <c r="AR3" s="72" t="s">
        <v>383</v>
      </c>
      <c r="AS3" s="72" t="s">
        <v>148</v>
      </c>
      <c r="AT3" s="72" t="s">
        <v>149</v>
      </c>
      <c r="AU3" s="72" t="s">
        <v>150</v>
      </c>
      <c r="AV3" s="72" t="s">
        <v>151</v>
      </c>
      <c r="AW3" s="72" t="s">
        <v>152</v>
      </c>
      <c r="AX3" s="72" t="s">
        <v>153</v>
      </c>
      <c r="AY3" s="72" t="s">
        <v>154</v>
      </c>
      <c r="AZ3" s="73" t="s">
        <v>360</v>
      </c>
      <c r="BF3" s="75" t="s">
        <v>122</v>
      </c>
      <c r="BG3" s="75" t="s">
        <v>384</v>
      </c>
      <c r="BH3" s="75" t="s">
        <v>156</v>
      </c>
      <c r="BK3" s="75" t="s">
        <v>122</v>
      </c>
      <c r="BL3" s="75" t="s">
        <v>385</v>
      </c>
      <c r="BM3" s="75" t="s">
        <v>384</v>
      </c>
      <c r="BN3" s="75" t="s">
        <v>156</v>
      </c>
    </row>
    <row r="4" spans="2:66" x14ac:dyDescent="0.25">
      <c r="B4" s="76" t="s">
        <v>386</v>
      </c>
      <c r="C4" s="76" t="s">
        <v>386</v>
      </c>
      <c r="D4" s="77" t="s">
        <v>387</v>
      </c>
      <c r="E4" s="77" t="s">
        <v>388</v>
      </c>
      <c r="F4" s="77"/>
      <c r="G4" s="77"/>
      <c r="H4" s="77">
        <v>2</v>
      </c>
      <c r="I4" s="77" t="s">
        <v>389</v>
      </c>
      <c r="J4" s="77" t="s">
        <v>390</v>
      </c>
      <c r="K4" s="77" t="s">
        <v>391</v>
      </c>
      <c r="L4" s="78" t="str">
        <f t="shared" ref="L4:L67" si="0">IF(COUNTIF($BF:$BF,TRIM($C4))&gt;0,"Yes","")</f>
        <v/>
      </c>
      <c r="M4" s="77" t="str" cm="1">
        <f t="array" ref="M4">IF(OR(UPPER(TRIM($C4))="BRAZIL",UPPER(TRIM($C4))="INDIA",UPPER(TRIM($C4))="PHILIPPINES"),
   "UNDP OP8 COB - RPA",
   IFERROR(
     VLOOKUP($C4,$BF:$BG,2,0),
     _xlfn.SWITCH(UPPER(TRIM($K4)),
       "N/A","N/A",
       "VACANT","UNDP OP8 COB - Vacant",
       "UNDP","UNDP OP8 COB - UNDP CO",
       "UN COMPOUND","UNDP OP8 COB - UN Compound",
       "UNDP - WFH","UNDP OP8 COB - UNDP WFH",
"UNICEF","UNDP OP8 COB - UNICEF",
       "NHI","n.End of June 2026",
       "PRIVATE LEASE","k.End of Mar 2026",
       ""
     )
   )
)</f>
        <v>UNDP OP8 COB - Vacant</v>
      </c>
      <c r="N4" s="77" t="str">
        <f t="shared" ref="N4:N67" si="1">IF(M4="N/A","N/A",IF(ISNUMBER(SEARCH("UNDP OP8 COB", M4)), "UNDP Action","UNOPS Action"))</f>
        <v>UNDP Action</v>
      </c>
      <c r="O4" s="79">
        <f>IFERROR(VLOOKUP($C4,'[15]2024 COBs'!$AA:$AK,5,0),"")</f>
        <v>8700</v>
      </c>
      <c r="P4" s="79">
        <f>IFERROR((VLOOKUP($C4,'[15]2024 COBs'!$AA:$AK,8,0)+VLOOKUP($C4,'[15]2024 COBs'!$AA:$AK,9,0)+VLOOKUP($C4,'[15]2024 COBs'!$AA:$AK,10,0)+VLOOKUP($C4,'[15]2024 COBs'!$AA:$AK,11,0))*5%,"")</f>
        <v>270</v>
      </c>
      <c r="Q4" s="79">
        <f>IFERROR((VLOOKUP($C4,'[15]2024 COBs'!$AA:$AK,8,0)+VLOOKUP($C4,'[15]2024 COBs'!$AA:$AK,9,0)+VLOOKUP($C4,'[15]2024 COBs'!$AA:$AK,10,0)+VLOOKUP($C4,'[15]2024 COBs'!$AA:$AK,11,0))*16%,"")</f>
        <v>864</v>
      </c>
      <c r="R4" s="79"/>
      <c r="S4" s="79">
        <f>IFERROR(VLOOKUP($C4,'[15]2024 COBs'!$AA:$AK,7,0),"")</f>
        <v>600</v>
      </c>
      <c r="T4" s="79">
        <f>IFERROR((VLOOKUP($C4,'[15]2024 COBs'!$AA:$AK,8,0)+VLOOKUP($C4,'[15]2024 COBs'!$AA:$AK,9,0)+VLOOKUP($C4,'[15]2024 COBs'!$AA:$AK,10,0)+VLOOKUP($C4,'[15]2024 COBs'!$AA:$AK,11,0))*20%,"")</f>
        <v>1080</v>
      </c>
      <c r="U4" s="79">
        <f>IFERROR(VLOOKUP($C4,'[15]2024 COBs'!$AA:$AK,6,0),"")</f>
        <v>11100</v>
      </c>
      <c r="V4" s="79">
        <f>IFERROR((VLOOKUP($C4,'[15]2024 COBs'!$AA:$AK,8,0)+VLOOKUP($C4,'[15]2024 COBs'!$AA:$AK,9,0)+VLOOKUP($C4,'[15]2024 COBs'!$AA:$AK,10,0)+VLOOKUP($C4,'[15]2024 COBs'!$AA:$AK,11,0))*18%,"")</f>
        <v>972</v>
      </c>
      <c r="W4" s="79">
        <f>IFERROR((VLOOKUP($C4,'[15]2024 COBs'!$AA:$AK,8,0)+VLOOKUP($C4,'[15]2024 COBs'!$AA:$AK,9,0)+VLOOKUP($C4,'[15]2024 COBs'!$AA:$AK,10,0)+VLOOKUP($C4,'[15]2024 COBs'!$AA:$AK,11,0))*27%,"")</f>
        <v>1458</v>
      </c>
      <c r="X4" s="79">
        <f>IFERROR((VLOOKUP($C4,'[15]2024 COBs'!$AA:$AK,8,0)+VLOOKUP($C4,'[15]2024 COBs'!$AA:$AK,9,0)+VLOOKUP($C4,'[15]2024 COBs'!$AA:$AK,10,0)+VLOOKUP($C4,'[15]2024 COBs'!$AA:$AK,11,0))*14%,"")</f>
        <v>756.00000000000011</v>
      </c>
      <c r="Y4" s="79">
        <f>IFERROR(VLOOKUP($C4,'[15]2024 COBs'!$AA:$AK,4,0),"")</f>
        <v>3600</v>
      </c>
      <c r="Z4" s="80">
        <f t="shared" ref="Z4:Z21" si="2">SUM(O4:Y4)</f>
        <v>29400</v>
      </c>
      <c r="AF4" s="76" t="s">
        <v>392</v>
      </c>
      <c r="AG4" s="76" t="s">
        <v>392</v>
      </c>
      <c r="AH4" s="78" t="s">
        <v>393</v>
      </c>
      <c r="AI4" s="78" t="s">
        <v>394</v>
      </c>
      <c r="AJ4" s="78"/>
      <c r="AK4" s="78"/>
      <c r="AL4" s="78">
        <v>3</v>
      </c>
      <c r="AM4" s="77" t="s">
        <v>389</v>
      </c>
      <c r="AN4" s="77" t="s">
        <v>395</v>
      </c>
      <c r="AO4" s="79"/>
      <c r="AP4" s="79"/>
      <c r="AQ4" s="79"/>
      <c r="AR4" s="79"/>
      <c r="AS4" s="79"/>
      <c r="AT4" s="79"/>
      <c r="AU4" s="79"/>
      <c r="AV4" s="79"/>
      <c r="AW4" s="79"/>
      <c r="AX4" s="79"/>
      <c r="AY4" s="79"/>
      <c r="AZ4" s="80">
        <f>SUM(AO4:AY4)</f>
        <v>0</v>
      </c>
      <c r="BF4" s="65" t="s">
        <v>163</v>
      </c>
      <c r="BG4" s="65" t="s">
        <v>396</v>
      </c>
      <c r="BH4" s="65">
        <v>1</v>
      </c>
      <c r="BK4" s="65" t="s">
        <v>157</v>
      </c>
      <c r="BL4" s="65" t="s">
        <v>397</v>
      </c>
      <c r="BM4" s="65" t="s">
        <v>398</v>
      </c>
      <c r="BN4" s="65">
        <v>1</v>
      </c>
    </row>
    <row r="5" spans="2:66" x14ac:dyDescent="0.25">
      <c r="B5" s="76" t="s">
        <v>157</v>
      </c>
      <c r="C5" s="76" t="s">
        <v>157</v>
      </c>
      <c r="D5" s="77" t="s">
        <v>399</v>
      </c>
      <c r="E5" s="77" t="s">
        <v>400</v>
      </c>
      <c r="F5" s="77"/>
      <c r="G5" s="77"/>
      <c r="H5" s="77">
        <v>2</v>
      </c>
      <c r="I5" s="77" t="s">
        <v>401</v>
      </c>
      <c r="J5" s="77" t="s">
        <v>390</v>
      </c>
      <c r="K5" s="77" t="s">
        <v>17</v>
      </c>
      <c r="L5" s="78" t="str">
        <f t="shared" si="0"/>
        <v/>
      </c>
      <c r="M5" s="77" t="str" cm="1">
        <f t="array" ref="M5">IF(OR(UPPER(TRIM($C5))="BRAZIL",UPPER(TRIM($C5))="INDIA",UPPER(TRIM($C5))="PHILIPPINES"),
   "UNDP OP8 COB - RPA",
   IFERROR(
     VLOOKUP($C5,$BF:$BG,2,0),
     _xlfn.SWITCH(UPPER(TRIM($K5)),
       "N/A","N/A",
       "VACANT","UNDP OP8 COB - Vacant",
       "UNDP","UNDP OP8 COB - UNDP CO",
       "UN COMPOUND","UNDP OP8 COB - UN Compound",
       "UNDP - WFH","UNDP OP8 COB - UNDP WFH",
"UNICEF","UNDP OP8 COB - UNICEF",
       "NHI","n.End of June 2026",
       "PRIVATE LEASE","k.End of Mar 2026",
       ""
     )
   )
)</f>
        <v>UNDP OP8 COB - UNDP CO</v>
      </c>
      <c r="N5" s="77" t="str">
        <f t="shared" si="1"/>
        <v>UNDP Action</v>
      </c>
      <c r="O5" s="79">
        <f>IFERROR(VLOOKUP($C5,'[15]2024 COBs'!$AA:$AK,5,0),"")</f>
        <v>1104.3694081942338</v>
      </c>
      <c r="P5" s="79">
        <f>IFERROR((VLOOKUP($C5,'[15]2024 COBs'!$AA:$AK,8,0)+VLOOKUP($C5,'[15]2024 COBs'!$AA:$AK,9,0)+VLOOKUP($C5,'[15]2024 COBs'!$AA:$AK,10,0)+VLOOKUP($C5,'[15]2024 COBs'!$AA:$AK,11,0))*5%,"")</f>
        <v>140.26707132018211</v>
      </c>
      <c r="Q5" s="79">
        <f>IFERROR((VLOOKUP($C5,'[15]2024 COBs'!$AA:$AK,8,0)+VLOOKUP($C5,'[15]2024 COBs'!$AA:$AK,9,0)+VLOOKUP($C5,'[15]2024 COBs'!$AA:$AK,10,0)+VLOOKUP($C5,'[15]2024 COBs'!$AA:$AK,11,0))*16%,"")</f>
        <v>448.85462822458277</v>
      </c>
      <c r="R5" s="79"/>
      <c r="S5" s="79">
        <f>IFERROR(VLOOKUP($C5,'[15]2024 COBs'!$AA:$AK,7,0),"")</f>
        <v>93.511380880121393</v>
      </c>
      <c r="T5" s="79">
        <f>IFERROR((VLOOKUP($C5,'[15]2024 COBs'!$AA:$AK,8,0)+VLOOKUP($C5,'[15]2024 COBs'!$AA:$AK,9,0)+VLOOKUP($C5,'[15]2024 COBs'!$AA:$AK,10,0)+VLOOKUP($C5,'[15]2024 COBs'!$AA:$AK,11,0))*20%,"")</f>
        <v>561.06828528072845</v>
      </c>
      <c r="U5" s="79">
        <f>IFERROR(VLOOKUP($C5,'[15]2024 COBs'!$AA:$AK,6,0),"")</f>
        <v>11402.777784522003</v>
      </c>
      <c r="V5" s="79">
        <f>IFERROR((VLOOKUP($C5,'[15]2024 COBs'!$AA:$AK,8,0)+VLOOKUP($C5,'[15]2024 COBs'!$AA:$AK,9,0)+VLOOKUP($C5,'[15]2024 COBs'!$AA:$AK,10,0)+VLOOKUP($C5,'[15]2024 COBs'!$AA:$AK,11,0))*18%,"")</f>
        <v>504.96145675265558</v>
      </c>
      <c r="W5" s="79">
        <f>IFERROR((VLOOKUP($C5,'[15]2024 COBs'!$AA:$AK,8,0)+VLOOKUP($C5,'[15]2024 COBs'!$AA:$AK,9,0)+VLOOKUP($C5,'[15]2024 COBs'!$AA:$AK,10,0)+VLOOKUP($C5,'[15]2024 COBs'!$AA:$AK,11,0))*27%,"")</f>
        <v>757.44218512898351</v>
      </c>
      <c r="X5" s="79">
        <f>IFERROR((VLOOKUP($C5,'[15]2024 COBs'!$AA:$AK,8,0)+VLOOKUP($C5,'[15]2024 COBs'!$AA:$AK,9,0)+VLOOKUP($C5,'[15]2024 COBs'!$AA:$AK,10,0)+VLOOKUP($C5,'[15]2024 COBs'!$AA:$AK,11,0))*14%,"")</f>
        <v>392.74779969650996</v>
      </c>
      <c r="Y5" s="79">
        <f>IFERROR(VLOOKUP($C5,'[15]2024 COBs'!$AA:$AK,4,0),"")</f>
        <v>0</v>
      </c>
      <c r="Z5" s="80">
        <f t="shared" si="2"/>
        <v>15406</v>
      </c>
      <c r="AF5" s="76" t="s">
        <v>169</v>
      </c>
      <c r="AG5" s="76" t="s">
        <v>169</v>
      </c>
      <c r="AH5" s="78" t="s">
        <v>402</v>
      </c>
      <c r="AI5" s="78" t="s">
        <v>394</v>
      </c>
      <c r="AJ5" s="78"/>
      <c r="AK5" s="78"/>
      <c r="AL5" s="78">
        <v>2</v>
      </c>
      <c r="AM5" s="77" t="s">
        <v>401</v>
      </c>
      <c r="AN5" s="77" t="s">
        <v>390</v>
      </c>
      <c r="AO5" s="79"/>
      <c r="AP5" s="79"/>
      <c r="AQ5" s="79"/>
      <c r="AR5" s="79"/>
      <c r="AS5" s="79"/>
      <c r="AT5" s="79"/>
      <c r="AU5" s="79"/>
      <c r="AV5" s="79"/>
      <c r="AW5" s="79"/>
      <c r="AX5" s="79"/>
      <c r="AY5" s="79"/>
      <c r="AZ5" s="80">
        <f t="shared" ref="AZ5:AZ57" si="3">SUM(AO5:AY5)</f>
        <v>0</v>
      </c>
      <c r="BF5" s="65" t="s">
        <v>165</v>
      </c>
      <c r="BG5" s="65" t="s">
        <v>396</v>
      </c>
      <c r="BH5" s="65">
        <v>1</v>
      </c>
      <c r="BK5" s="65" t="s">
        <v>161</v>
      </c>
      <c r="BL5" s="65" t="s">
        <v>397</v>
      </c>
      <c r="BM5" s="65" t="s">
        <v>398</v>
      </c>
      <c r="BN5" s="65">
        <v>1</v>
      </c>
    </row>
    <row r="6" spans="2:66" x14ac:dyDescent="0.25">
      <c r="B6" s="76" t="s">
        <v>161</v>
      </c>
      <c r="C6" s="76" t="s">
        <v>161</v>
      </c>
      <c r="D6" s="77" t="s">
        <v>403</v>
      </c>
      <c r="E6" s="77" t="s">
        <v>404</v>
      </c>
      <c r="F6" s="77"/>
      <c r="G6" s="77"/>
      <c r="H6" s="77">
        <v>3</v>
      </c>
      <c r="I6" s="77" t="s">
        <v>401</v>
      </c>
      <c r="J6" s="77" t="s">
        <v>390</v>
      </c>
      <c r="K6" s="77" t="s">
        <v>17</v>
      </c>
      <c r="L6" s="78" t="str">
        <f t="shared" si="0"/>
        <v/>
      </c>
      <c r="M6" s="77" t="str" cm="1">
        <f t="array" ref="M6">IF(OR(UPPER(TRIM($C6))="BRAZIL",UPPER(TRIM($C6))="INDIA",UPPER(TRIM($C6))="PHILIPPINES"),
   "UNDP OP8 COB - RPA",
   IFERROR(
     VLOOKUP($C6,$BF:$BG,2,0),
     _xlfn.SWITCH(UPPER(TRIM($K6)),
       "N/A","N/A",
       "VACANT","UNDP OP8 COB - Vacant",
       "UNDP","UNDP OP8 COB - UNDP CO",
       "UN COMPOUND","UNDP OP8 COB - UN Compound",
       "UNDP - WFH","UNDP OP8 COB - UNDP WFH",
"UNICEF","UNDP OP8 COB - UNICEF",
       "NHI","n.End of June 2026",
       "PRIVATE LEASE","k.End of Mar 2026",
       ""
     )
   )
)</f>
        <v>UNDP OP8 COB - UNDP CO</v>
      </c>
      <c r="N6" s="77" t="str">
        <f t="shared" si="1"/>
        <v>UNDP Action</v>
      </c>
      <c r="O6" s="79">
        <f>IFERROR(VLOOKUP($C6,'[15]2024 COBs'!$AA:$AK,5,0),"")</f>
        <v>3599.9999999999995</v>
      </c>
      <c r="P6" s="79">
        <f>IFERROR((VLOOKUP($C6,'[15]2024 COBs'!$AA:$AK,8,0)+VLOOKUP($C6,'[15]2024 COBs'!$AA:$AK,9,0)+VLOOKUP($C6,'[15]2024 COBs'!$AA:$AK,10,0)+VLOOKUP($C6,'[15]2024 COBs'!$AA:$AK,11,0))*5%,"")</f>
        <v>450</v>
      </c>
      <c r="Q6" s="79">
        <f>IFERROR((VLOOKUP($C6,'[15]2024 COBs'!$AA:$AK,8,0)+VLOOKUP($C6,'[15]2024 COBs'!$AA:$AK,9,0)+VLOOKUP($C6,'[15]2024 COBs'!$AA:$AK,10,0)+VLOOKUP($C6,'[15]2024 COBs'!$AA:$AK,11,0))*16%,"")</f>
        <v>1440</v>
      </c>
      <c r="R6" s="79"/>
      <c r="S6" s="79">
        <f>IFERROR(VLOOKUP($C6,'[15]2024 COBs'!$AA:$AK,7,0),"")</f>
        <v>0</v>
      </c>
      <c r="T6" s="79">
        <f>IFERROR((VLOOKUP($C6,'[15]2024 COBs'!$AA:$AK,8,0)+VLOOKUP($C6,'[15]2024 COBs'!$AA:$AK,9,0)+VLOOKUP($C6,'[15]2024 COBs'!$AA:$AK,10,0)+VLOOKUP($C6,'[15]2024 COBs'!$AA:$AK,11,0))*20%,"")</f>
        <v>1800</v>
      </c>
      <c r="U6" s="79">
        <f>IFERROR(VLOOKUP($C6,'[15]2024 COBs'!$AA:$AK,6,0),"")</f>
        <v>5778.5999999999995</v>
      </c>
      <c r="V6" s="79">
        <f>IFERROR((VLOOKUP($C6,'[15]2024 COBs'!$AA:$AK,8,0)+VLOOKUP($C6,'[15]2024 COBs'!$AA:$AK,9,0)+VLOOKUP($C6,'[15]2024 COBs'!$AA:$AK,10,0)+VLOOKUP($C6,'[15]2024 COBs'!$AA:$AK,11,0))*18%,"")</f>
        <v>1620</v>
      </c>
      <c r="W6" s="79">
        <f>IFERROR((VLOOKUP($C6,'[15]2024 COBs'!$AA:$AK,8,0)+VLOOKUP($C6,'[15]2024 COBs'!$AA:$AK,9,0)+VLOOKUP($C6,'[15]2024 COBs'!$AA:$AK,10,0)+VLOOKUP($C6,'[15]2024 COBs'!$AA:$AK,11,0))*27%,"")</f>
        <v>2430</v>
      </c>
      <c r="X6" s="79">
        <f>IFERROR((VLOOKUP($C6,'[15]2024 COBs'!$AA:$AK,8,0)+VLOOKUP($C6,'[15]2024 COBs'!$AA:$AK,9,0)+VLOOKUP($C6,'[15]2024 COBs'!$AA:$AK,10,0)+VLOOKUP($C6,'[15]2024 COBs'!$AA:$AK,11,0))*14%,"")</f>
        <v>1260.0000000000002</v>
      </c>
      <c r="Y6" s="79">
        <f>IFERROR(VLOOKUP($C6,'[15]2024 COBs'!$AA:$AK,4,0),"")</f>
        <v>7199.9999999999991</v>
      </c>
      <c r="Z6" s="80">
        <f t="shared" si="2"/>
        <v>25578.6</v>
      </c>
      <c r="AF6" s="76" t="s">
        <v>171</v>
      </c>
      <c r="AG6" s="76" t="s">
        <v>171</v>
      </c>
      <c r="AH6" s="78" t="s">
        <v>405</v>
      </c>
      <c r="AI6" s="78" t="s">
        <v>394</v>
      </c>
      <c r="AJ6" s="78"/>
      <c r="AK6" s="78"/>
      <c r="AL6" s="78">
        <v>2</v>
      </c>
      <c r="AM6" s="77" t="s">
        <v>401</v>
      </c>
      <c r="AN6" s="77" t="s">
        <v>390</v>
      </c>
      <c r="AO6" s="79"/>
      <c r="AP6" s="79"/>
      <c r="AQ6" s="79"/>
      <c r="AR6" s="79"/>
      <c r="AS6" s="79"/>
      <c r="AT6" s="79"/>
      <c r="AU6" s="79"/>
      <c r="AV6" s="79"/>
      <c r="AW6" s="79"/>
      <c r="AX6" s="79"/>
      <c r="AY6" s="79"/>
      <c r="AZ6" s="80">
        <f t="shared" si="3"/>
        <v>0</v>
      </c>
      <c r="BF6" s="65" t="s">
        <v>167</v>
      </c>
      <c r="BG6" s="65" t="s">
        <v>396</v>
      </c>
      <c r="BH6" s="65">
        <v>1</v>
      </c>
      <c r="BK6" s="65" t="s">
        <v>162</v>
      </c>
      <c r="BL6" s="65" t="s">
        <v>397</v>
      </c>
      <c r="BM6" s="65" t="s">
        <v>398</v>
      </c>
      <c r="BN6" s="65">
        <v>1</v>
      </c>
    </row>
    <row r="7" spans="2:66" x14ac:dyDescent="0.25">
      <c r="B7" s="76" t="s">
        <v>392</v>
      </c>
      <c r="C7" s="76" t="s">
        <v>392</v>
      </c>
      <c r="D7" s="77" t="s">
        <v>393</v>
      </c>
      <c r="E7" s="77" t="s">
        <v>394</v>
      </c>
      <c r="F7" s="77"/>
      <c r="G7" s="77"/>
      <c r="H7" s="77">
        <v>3</v>
      </c>
      <c r="I7" s="77" t="s">
        <v>389</v>
      </c>
      <c r="J7" s="77" t="s">
        <v>395</v>
      </c>
      <c r="K7" s="77" t="s">
        <v>391</v>
      </c>
      <c r="L7" s="78" t="str">
        <f t="shared" si="0"/>
        <v/>
      </c>
      <c r="M7" s="77" t="str" cm="1">
        <f t="array" ref="M7">IF(OR(UPPER(TRIM($C7))="BRAZIL",UPPER(TRIM($C7))="INDIA",UPPER(TRIM($C7))="PHILIPPINES"),
   "UNDP OP8 COB - RPA",
   IFERROR(
     VLOOKUP($C7,$BF:$BG,2,0),
     _xlfn.SWITCH(UPPER(TRIM($K7)),
       "N/A","N/A",
       "VACANT","UNDP OP8 COB - Vacant",
       "UNDP","UNDP OP8 COB - UNDP CO",
       "UN COMPOUND","UNDP OP8 COB - UN Compound",
       "UNDP - WFH","UNDP OP8 COB - UNDP WFH",
"UNICEF","UNDP OP8 COB - UNICEF",
       "NHI","n.End of June 2026",
       "PRIVATE LEASE","k.End of Mar 2026",
       ""
     )
   )
)</f>
        <v>UNDP OP8 COB - Vacant</v>
      </c>
      <c r="N7" s="77" t="str">
        <f t="shared" si="1"/>
        <v>UNDP Action</v>
      </c>
      <c r="O7" s="79">
        <f>IFERROR(VLOOKUP($C7,'[15]2024 COBs'!$AA:$AK,5,0),"")</f>
        <v>8604.9880036294471</v>
      </c>
      <c r="P7" s="79">
        <f>IFERROR((VLOOKUP($C7,'[15]2024 COBs'!$AA:$AK,8,0)+VLOOKUP($C7,'[15]2024 COBs'!$AA:$AK,9,0)+VLOOKUP($C7,'[15]2024 COBs'!$AA:$AK,10,0)+VLOOKUP($C7,'[15]2024 COBs'!$AA:$AK,11,0))*5%,"")</f>
        <v>275.52134280621465</v>
      </c>
      <c r="Q7" s="79">
        <f>IFERROR((VLOOKUP($C7,'[15]2024 COBs'!$AA:$AK,8,0)+VLOOKUP($C7,'[15]2024 COBs'!$AA:$AK,9,0)+VLOOKUP($C7,'[15]2024 COBs'!$AA:$AK,10,0)+VLOOKUP($C7,'[15]2024 COBs'!$AA:$AK,11,0))*16%,"")</f>
        <v>881.6682969798868</v>
      </c>
      <c r="R7" s="79"/>
      <c r="S7" s="79">
        <f>IFERROR(VLOOKUP($C7,'[15]2024 COBs'!$AA:$AK,7,0),"")</f>
        <v>455.77703546194442</v>
      </c>
      <c r="T7" s="79">
        <f>IFERROR((VLOOKUP($C7,'[15]2024 COBs'!$AA:$AK,8,0)+VLOOKUP($C7,'[15]2024 COBs'!$AA:$AK,9,0)+VLOOKUP($C7,'[15]2024 COBs'!$AA:$AK,10,0)+VLOOKUP($C7,'[15]2024 COBs'!$AA:$AK,11,0))*20%,"")</f>
        <v>1102.0853712248586</v>
      </c>
      <c r="U7" s="79">
        <f>IFERROR(VLOOKUP($C7,'[15]2024 COBs'!$AA:$AK,6,0),"")</f>
        <v>11234.887044752235</v>
      </c>
      <c r="V7" s="79">
        <f>IFERROR((VLOOKUP($C7,'[15]2024 COBs'!$AA:$AK,8,0)+VLOOKUP($C7,'[15]2024 COBs'!$AA:$AK,9,0)+VLOOKUP($C7,'[15]2024 COBs'!$AA:$AK,10,0)+VLOOKUP($C7,'[15]2024 COBs'!$AA:$AK,11,0))*18%,"")</f>
        <v>991.87683410237264</v>
      </c>
      <c r="W7" s="79">
        <f>IFERROR((VLOOKUP($C7,'[15]2024 COBs'!$AA:$AK,8,0)+VLOOKUP($C7,'[15]2024 COBs'!$AA:$AK,9,0)+VLOOKUP($C7,'[15]2024 COBs'!$AA:$AK,10,0)+VLOOKUP($C7,'[15]2024 COBs'!$AA:$AK,11,0))*27%,"")</f>
        <v>1487.8152511535591</v>
      </c>
      <c r="X7" s="79">
        <f>IFERROR((VLOOKUP($C7,'[15]2024 COBs'!$AA:$AK,8,0)+VLOOKUP($C7,'[15]2024 COBs'!$AA:$AK,9,0)+VLOOKUP($C7,'[15]2024 COBs'!$AA:$AK,10,0)+VLOOKUP($C7,'[15]2024 COBs'!$AA:$AK,11,0))*14%,"")</f>
        <v>771.45975985740097</v>
      </c>
      <c r="Y7" s="79">
        <f>IFERROR(VLOOKUP($C7,'[15]2024 COBs'!$AA:$AK,4,0),"")</f>
        <v>3665.7119680711562</v>
      </c>
      <c r="Z7" s="80">
        <f t="shared" si="2"/>
        <v>29471.790908039075</v>
      </c>
      <c r="AF7" s="76" t="s">
        <v>172</v>
      </c>
      <c r="AG7" s="76" t="s">
        <v>172</v>
      </c>
      <c r="AH7" s="78" t="s">
        <v>406</v>
      </c>
      <c r="AI7" s="78" t="s">
        <v>394</v>
      </c>
      <c r="AJ7" s="78"/>
      <c r="AK7" s="78"/>
      <c r="AL7" s="78">
        <v>1</v>
      </c>
      <c r="AM7" s="77" t="s">
        <v>401</v>
      </c>
      <c r="AN7" s="77" t="s">
        <v>390</v>
      </c>
      <c r="AO7" s="79"/>
      <c r="AP7" s="79"/>
      <c r="AQ7" s="79"/>
      <c r="AR7" s="79"/>
      <c r="AS7" s="79"/>
      <c r="AT7" s="79"/>
      <c r="AU7" s="79"/>
      <c r="AV7" s="79"/>
      <c r="AW7" s="79"/>
      <c r="AX7" s="79"/>
      <c r="AY7" s="79"/>
      <c r="AZ7" s="80">
        <f t="shared" si="3"/>
        <v>0</v>
      </c>
      <c r="BF7" s="65" t="s">
        <v>169</v>
      </c>
      <c r="BG7" s="65" t="s">
        <v>396</v>
      </c>
      <c r="BH7" s="65">
        <v>1</v>
      </c>
      <c r="BK7" s="65" t="s">
        <v>163</v>
      </c>
      <c r="BL7" s="65" t="s">
        <v>397</v>
      </c>
      <c r="BM7" s="65" t="s">
        <v>398</v>
      </c>
      <c r="BN7" s="65">
        <v>1</v>
      </c>
    </row>
    <row r="8" spans="2:66" x14ac:dyDescent="0.25">
      <c r="B8" s="76" t="s">
        <v>162</v>
      </c>
      <c r="C8" s="76" t="s">
        <v>162</v>
      </c>
      <c r="D8" s="77" t="s">
        <v>407</v>
      </c>
      <c r="E8" s="77" t="s">
        <v>408</v>
      </c>
      <c r="F8" s="77" t="s">
        <v>409</v>
      </c>
      <c r="G8" s="77"/>
      <c r="H8" s="77">
        <v>3</v>
      </c>
      <c r="I8" s="77" t="s">
        <v>401</v>
      </c>
      <c r="J8" s="77" t="s">
        <v>390</v>
      </c>
      <c r="K8" s="77" t="s">
        <v>17</v>
      </c>
      <c r="L8" s="78" t="str">
        <f t="shared" si="0"/>
        <v/>
      </c>
      <c r="M8" s="77" t="str" cm="1">
        <f t="array" ref="M8">IF(OR(UPPER(TRIM($C8))="BRAZIL",UPPER(TRIM($C8))="INDIA",UPPER(TRIM($C8))="PHILIPPINES"),
   "UNDP OP8 COB - RPA",
   IFERROR(
     VLOOKUP($C8,$BF:$BG,2,0),
     _xlfn.SWITCH(UPPER(TRIM($K8)),
       "N/A","N/A",
       "VACANT","UNDP OP8 COB - Vacant",
       "UNDP","UNDP OP8 COB - UNDP CO",
       "UN COMPOUND","UNDP OP8 COB - UN Compound",
       "UNDP - WFH","UNDP OP8 COB - UNDP WFH",
"UNICEF","UNDP OP8 COB - UNICEF",
       "NHI","n.End of June 2026",
       "PRIVATE LEASE","k.End of Mar 2026",
       ""
     )
   )
)</f>
        <v>UNDP OP8 COB - UNDP CO</v>
      </c>
      <c r="N8" s="77" t="str">
        <f t="shared" si="1"/>
        <v>UNDP Action</v>
      </c>
      <c r="O8" s="79">
        <f>IFERROR(VLOOKUP($C8,'[15]2024 COBs'!$AA:$AK,5,0),"")</f>
        <v>4304.3999999999996</v>
      </c>
      <c r="P8" s="79">
        <f>IFERROR((VLOOKUP($C8,'[15]2024 COBs'!$AA:$AK,8,0)+VLOOKUP($C8,'[15]2024 COBs'!$AA:$AK,9,0)+VLOOKUP($C8,'[15]2024 COBs'!$AA:$AK,10,0)+VLOOKUP($C8,'[15]2024 COBs'!$AA:$AK,11,0))*5%,"")</f>
        <v>142.35</v>
      </c>
      <c r="Q8" s="79">
        <f>IFERROR((VLOOKUP($C8,'[15]2024 COBs'!$AA:$AK,8,0)+VLOOKUP($C8,'[15]2024 COBs'!$AA:$AK,9,0)+VLOOKUP($C8,'[15]2024 COBs'!$AA:$AK,10,0)+VLOOKUP($C8,'[15]2024 COBs'!$AA:$AK,11,0))*16%,"")</f>
        <v>455.51999999999992</v>
      </c>
      <c r="R8" s="79"/>
      <c r="S8" s="79">
        <f>IFERROR(VLOOKUP($C8,'[15]2024 COBs'!$AA:$AK,7,0),"")</f>
        <v>570</v>
      </c>
      <c r="T8" s="79">
        <f>IFERROR((VLOOKUP($C8,'[15]2024 COBs'!$AA:$AK,8,0)+VLOOKUP($C8,'[15]2024 COBs'!$AA:$AK,9,0)+VLOOKUP($C8,'[15]2024 COBs'!$AA:$AK,10,0)+VLOOKUP($C8,'[15]2024 COBs'!$AA:$AK,11,0))*20%,"")</f>
        <v>569.4</v>
      </c>
      <c r="U8" s="79">
        <f>IFERROR(VLOOKUP($C8,'[15]2024 COBs'!$AA:$AK,6,0),"")</f>
        <v>4742.3999999999996</v>
      </c>
      <c r="V8" s="79">
        <f>IFERROR((VLOOKUP($C8,'[15]2024 COBs'!$AA:$AK,8,0)+VLOOKUP($C8,'[15]2024 COBs'!$AA:$AK,9,0)+VLOOKUP($C8,'[15]2024 COBs'!$AA:$AK,10,0)+VLOOKUP($C8,'[15]2024 COBs'!$AA:$AK,11,0))*18%,"")</f>
        <v>512.45999999999992</v>
      </c>
      <c r="W8" s="79">
        <f>IFERROR((VLOOKUP($C8,'[15]2024 COBs'!$AA:$AK,8,0)+VLOOKUP($C8,'[15]2024 COBs'!$AA:$AK,9,0)+VLOOKUP($C8,'[15]2024 COBs'!$AA:$AK,10,0)+VLOOKUP($C8,'[15]2024 COBs'!$AA:$AK,11,0))*27%,"")</f>
        <v>768.68999999999994</v>
      </c>
      <c r="X8" s="79">
        <f>IFERROR((VLOOKUP($C8,'[15]2024 COBs'!$AA:$AK,8,0)+VLOOKUP($C8,'[15]2024 COBs'!$AA:$AK,9,0)+VLOOKUP($C8,'[15]2024 COBs'!$AA:$AK,10,0)+VLOOKUP($C8,'[15]2024 COBs'!$AA:$AK,11,0))*14%,"")</f>
        <v>398.58</v>
      </c>
      <c r="Y8" s="79">
        <f>IFERROR(VLOOKUP($C8,'[15]2024 COBs'!$AA:$AK,4,0),"")</f>
        <v>2581.1999999999998</v>
      </c>
      <c r="Z8" s="80">
        <f t="shared" si="2"/>
        <v>15045</v>
      </c>
      <c r="AF8" s="76" t="s">
        <v>173</v>
      </c>
      <c r="AG8" s="76" t="s">
        <v>173</v>
      </c>
      <c r="AH8" s="78" t="s">
        <v>410</v>
      </c>
      <c r="AI8" s="78" t="s">
        <v>394</v>
      </c>
      <c r="AJ8" s="78"/>
      <c r="AK8" s="78"/>
      <c r="AL8" s="78">
        <v>2</v>
      </c>
      <c r="AM8" s="77" t="s">
        <v>401</v>
      </c>
      <c r="AN8" s="77" t="s">
        <v>390</v>
      </c>
      <c r="AO8" s="79"/>
      <c r="AP8" s="79"/>
      <c r="AQ8" s="79"/>
      <c r="AR8" s="79"/>
      <c r="AS8" s="79"/>
      <c r="AT8" s="79"/>
      <c r="AU8" s="79"/>
      <c r="AV8" s="79"/>
      <c r="AW8" s="79"/>
      <c r="AX8" s="79"/>
      <c r="AY8" s="79"/>
      <c r="AZ8" s="80">
        <f t="shared" si="3"/>
        <v>0</v>
      </c>
      <c r="BF8" s="65" t="s">
        <v>170</v>
      </c>
      <c r="BG8" s="65" t="s">
        <v>396</v>
      </c>
      <c r="BH8" s="65">
        <v>1</v>
      </c>
      <c r="BK8" s="65" t="s">
        <v>163</v>
      </c>
      <c r="BL8" s="65" t="s">
        <v>411</v>
      </c>
      <c r="BM8" s="65" t="s">
        <v>396</v>
      </c>
      <c r="BN8" s="65">
        <v>1</v>
      </c>
    </row>
    <row r="9" spans="2:66" x14ac:dyDescent="0.25">
      <c r="B9" s="76" t="s">
        <v>163</v>
      </c>
      <c r="C9" s="76" t="s">
        <v>163</v>
      </c>
      <c r="D9" s="77" t="s">
        <v>412</v>
      </c>
      <c r="E9" s="77" t="s">
        <v>408</v>
      </c>
      <c r="F9" s="77"/>
      <c r="G9" s="77"/>
      <c r="H9" s="77">
        <v>1</v>
      </c>
      <c r="I9" s="77" t="s">
        <v>401</v>
      </c>
      <c r="J9" s="77" t="s">
        <v>390</v>
      </c>
      <c r="K9" s="77" t="s">
        <v>17</v>
      </c>
      <c r="L9" s="78" t="str">
        <f t="shared" si="0"/>
        <v>Yes</v>
      </c>
      <c r="M9" s="77" t="str" cm="1">
        <f t="array" ref="M9">IF(OR(UPPER(TRIM($C9))="BRAZIL",UPPER(TRIM($C9))="INDIA",UPPER(TRIM($C9))="PHILIPPINES"),
   "UNDP OP8 COB - RPA",
   IFERROR(
     VLOOKUP($C9,$BF:$BG,2,0),
     _xlfn.SWITCH(UPPER(TRIM($K9)),
       "N/A","N/A",
       "VACANT","UNDP OP8 COB - Vacant",
       "UNDP","UNDP OP8 COB - UNDP CO",
       "UN COMPOUND","UNDP OP8 COB - UN Compound",
       "UNDP - WFH","UNDP OP8 COB - UNDP WFH",
"UNICEF","UNDP OP8 COB - UNICEF",
       "NHI","n.End of June 2026",
       "PRIVATE LEASE","k.End of Mar 2026",
       ""
     )
   )
)</f>
        <v>n.End of June 2026</v>
      </c>
      <c r="N9" s="77" t="str">
        <f t="shared" si="1"/>
        <v>UNOPS Action</v>
      </c>
      <c r="O9" s="79">
        <f>IFERROR(VLOOKUP($C9,'[15]2024 COBs'!$AA:$AK,5,0),"")</f>
        <v>37482</v>
      </c>
      <c r="P9" s="79">
        <f>IFERROR((VLOOKUP($C9,'[15]2024 COBs'!$AA:$AK,8,0)+VLOOKUP($C9,'[15]2024 COBs'!$AA:$AK,9,0)+VLOOKUP($C9,'[15]2024 COBs'!$AA:$AK,10,0)+VLOOKUP($C9,'[15]2024 COBs'!$AA:$AK,11,0))*5%,"")</f>
        <v>500.85</v>
      </c>
      <c r="Q9" s="79">
        <f>IFERROR((VLOOKUP($C9,'[15]2024 COBs'!$AA:$AK,8,0)+VLOOKUP($C9,'[15]2024 COBs'!$AA:$AK,9,0)+VLOOKUP($C9,'[15]2024 COBs'!$AA:$AK,10,0)+VLOOKUP($C9,'[15]2024 COBs'!$AA:$AK,11,0))*16%,"")</f>
        <v>1602.72</v>
      </c>
      <c r="R9" s="79"/>
      <c r="S9" s="79">
        <f>IFERROR(VLOOKUP($C9,'[15]2024 COBs'!$AA:$AK,7,0),"")</f>
        <v>150</v>
      </c>
      <c r="T9" s="79">
        <f>IFERROR((VLOOKUP($C9,'[15]2024 COBs'!$AA:$AK,8,0)+VLOOKUP($C9,'[15]2024 COBs'!$AA:$AK,9,0)+VLOOKUP($C9,'[15]2024 COBs'!$AA:$AK,10,0)+VLOOKUP($C9,'[15]2024 COBs'!$AA:$AK,11,0))*20%,"")</f>
        <v>2003.4</v>
      </c>
      <c r="U9" s="79">
        <f>IFERROR(VLOOKUP($C9,'[15]2024 COBs'!$AA:$AK,6,0),"")</f>
        <v>11198</v>
      </c>
      <c r="V9" s="79">
        <f>IFERROR((VLOOKUP($C9,'[15]2024 COBs'!$AA:$AK,8,0)+VLOOKUP($C9,'[15]2024 COBs'!$AA:$AK,9,0)+VLOOKUP($C9,'[15]2024 COBs'!$AA:$AK,10,0)+VLOOKUP($C9,'[15]2024 COBs'!$AA:$AK,11,0))*18%,"")</f>
        <v>1803.06</v>
      </c>
      <c r="W9" s="79">
        <f>IFERROR((VLOOKUP($C9,'[15]2024 COBs'!$AA:$AK,8,0)+VLOOKUP($C9,'[15]2024 COBs'!$AA:$AK,9,0)+VLOOKUP($C9,'[15]2024 COBs'!$AA:$AK,10,0)+VLOOKUP($C9,'[15]2024 COBs'!$AA:$AK,11,0))*27%,"")</f>
        <v>2704.59</v>
      </c>
      <c r="X9" s="79">
        <f>IFERROR((VLOOKUP($C9,'[15]2024 COBs'!$AA:$AK,8,0)+VLOOKUP($C9,'[15]2024 COBs'!$AA:$AK,9,0)+VLOOKUP($C9,'[15]2024 COBs'!$AA:$AK,10,0)+VLOOKUP($C9,'[15]2024 COBs'!$AA:$AK,11,0))*14%,"")</f>
        <v>1402.38</v>
      </c>
      <c r="Y9" s="79">
        <f>IFERROR(VLOOKUP($C9,'[15]2024 COBs'!$AA:$AK,4,0),"")</f>
        <v>1695</v>
      </c>
      <c r="Z9" s="80">
        <f t="shared" si="2"/>
        <v>60541.999999999993</v>
      </c>
      <c r="AF9" s="76" t="s">
        <v>413</v>
      </c>
      <c r="AG9" s="76" t="s">
        <v>174</v>
      </c>
      <c r="AH9" s="78" t="s">
        <v>414</v>
      </c>
      <c r="AI9" s="78" t="s">
        <v>394</v>
      </c>
      <c r="AJ9" s="78"/>
      <c r="AK9" s="78"/>
      <c r="AL9" s="78">
        <v>2</v>
      </c>
      <c r="AM9" s="77" t="s">
        <v>401</v>
      </c>
      <c r="AN9" s="77" t="s">
        <v>390</v>
      </c>
      <c r="AO9" s="79"/>
      <c r="AP9" s="79"/>
      <c r="AQ9" s="79"/>
      <c r="AR9" s="79"/>
      <c r="AS9" s="79"/>
      <c r="AT9" s="79"/>
      <c r="AU9" s="79"/>
      <c r="AV9" s="79"/>
      <c r="AW9" s="79"/>
      <c r="AX9" s="79"/>
      <c r="AY9" s="79"/>
      <c r="AZ9" s="80">
        <f t="shared" si="3"/>
        <v>0</v>
      </c>
      <c r="BF9" s="65" t="s">
        <v>171</v>
      </c>
      <c r="BG9" s="65" t="s">
        <v>415</v>
      </c>
      <c r="BH9" s="65">
        <v>1</v>
      </c>
      <c r="BK9" s="65" t="s">
        <v>164</v>
      </c>
      <c r="BL9" s="65" t="s">
        <v>397</v>
      </c>
      <c r="BM9" s="65" t="s">
        <v>416</v>
      </c>
      <c r="BN9" s="65">
        <v>1</v>
      </c>
    </row>
    <row r="10" spans="2:66" x14ac:dyDescent="0.25">
      <c r="B10" s="76" t="s">
        <v>164</v>
      </c>
      <c r="C10" s="76" t="s">
        <v>164</v>
      </c>
      <c r="D10" s="77" t="s">
        <v>417</v>
      </c>
      <c r="E10" s="77" t="s">
        <v>400</v>
      </c>
      <c r="F10" s="77"/>
      <c r="G10" s="77"/>
      <c r="H10" s="77">
        <v>3</v>
      </c>
      <c r="I10" s="77" t="s">
        <v>401</v>
      </c>
      <c r="J10" s="77" t="s">
        <v>390</v>
      </c>
      <c r="K10" s="77" t="s">
        <v>17</v>
      </c>
      <c r="L10" s="78" t="str">
        <f t="shared" si="0"/>
        <v/>
      </c>
      <c r="M10" s="77" t="str" cm="1">
        <f t="array" ref="M10">IF(OR(UPPER(TRIM($C10))="BRAZIL",UPPER(TRIM($C10))="INDIA",UPPER(TRIM($C10))="PHILIPPINES"),
   "UNDP OP8 COB - RPA",
   IFERROR(
     VLOOKUP($C10,$BF:$BG,2,0),
     _xlfn.SWITCH(UPPER(TRIM($K10)),
       "N/A","N/A",
       "VACANT","UNDP OP8 COB - Vacant",
       "UNDP","UNDP OP8 COB - UNDP CO",
       "UN COMPOUND","UNDP OP8 COB - UN Compound",
       "UNDP - WFH","UNDP OP8 COB - UNDP WFH",
"UNICEF","UNDP OP8 COB - UNICEF",
       "NHI","n.End of June 2026",
       "PRIVATE LEASE","k.End of Mar 2026",
       ""
     )
   )
)</f>
        <v>UNDP OP8 COB - UNDP CO</v>
      </c>
      <c r="N10" s="77" t="str">
        <f t="shared" si="1"/>
        <v>UNDP Action</v>
      </c>
      <c r="O10" s="79">
        <f>IFERROR(VLOOKUP($C10,'[15]2024 COBs'!$AA:$AK,5,0),"")</f>
        <v>12183.237795275591</v>
      </c>
      <c r="P10" s="79">
        <f>IFERROR((VLOOKUP($C10,'[15]2024 COBs'!$AA:$AK,8,0)+VLOOKUP($C10,'[15]2024 COBs'!$AA:$AK,9,0)+VLOOKUP($C10,'[15]2024 COBs'!$AA:$AK,10,0)+VLOOKUP($C10,'[15]2024 COBs'!$AA:$AK,11,0))*5%,"")</f>
        <v>606.88889763779537</v>
      </c>
      <c r="Q10" s="79">
        <f>IFERROR((VLOOKUP($C10,'[15]2024 COBs'!$AA:$AK,8,0)+VLOOKUP($C10,'[15]2024 COBs'!$AA:$AK,9,0)+VLOOKUP($C10,'[15]2024 COBs'!$AA:$AK,10,0)+VLOOKUP($C10,'[15]2024 COBs'!$AA:$AK,11,0))*16%,"")</f>
        <v>1942.0444724409451</v>
      </c>
      <c r="R10" s="79"/>
      <c r="S10" s="79">
        <f>IFERROR(VLOOKUP($C10,'[15]2024 COBs'!$AA:$AK,7,0),"")</f>
        <v>181.83937007874016</v>
      </c>
      <c r="T10" s="79">
        <f>IFERROR((VLOOKUP($C10,'[15]2024 COBs'!$AA:$AK,8,0)+VLOOKUP($C10,'[15]2024 COBs'!$AA:$AK,9,0)+VLOOKUP($C10,'[15]2024 COBs'!$AA:$AK,10,0)+VLOOKUP($C10,'[15]2024 COBs'!$AA:$AK,11,0))*20%,"")</f>
        <v>2427.5555905511815</v>
      </c>
      <c r="U10" s="79">
        <f>IFERROR(VLOOKUP($C10,'[15]2024 COBs'!$AA:$AK,6,0),"")</f>
        <v>3454.9480314960629</v>
      </c>
      <c r="V10" s="79">
        <f>IFERROR((VLOOKUP($C10,'[15]2024 COBs'!$AA:$AK,8,0)+VLOOKUP($C10,'[15]2024 COBs'!$AA:$AK,9,0)+VLOOKUP($C10,'[15]2024 COBs'!$AA:$AK,10,0)+VLOOKUP($C10,'[15]2024 COBs'!$AA:$AK,11,0))*18%,"")</f>
        <v>2184.8000314960632</v>
      </c>
      <c r="W10" s="79">
        <f>IFERROR((VLOOKUP($C10,'[15]2024 COBs'!$AA:$AK,8,0)+VLOOKUP($C10,'[15]2024 COBs'!$AA:$AK,9,0)+VLOOKUP($C10,'[15]2024 COBs'!$AA:$AK,10,0)+VLOOKUP($C10,'[15]2024 COBs'!$AA:$AK,11,0))*27%,"")</f>
        <v>3277.200047244095</v>
      </c>
      <c r="X10" s="79">
        <f>IFERROR((VLOOKUP($C10,'[15]2024 COBs'!$AA:$AK,8,0)+VLOOKUP($C10,'[15]2024 COBs'!$AA:$AK,9,0)+VLOOKUP($C10,'[15]2024 COBs'!$AA:$AK,10,0)+VLOOKUP($C10,'[15]2024 COBs'!$AA:$AK,11,0))*14%,"")</f>
        <v>1699.2889133858271</v>
      </c>
      <c r="Y10" s="79">
        <f>IFERROR(VLOOKUP($C10,'[15]2024 COBs'!$AA:$AK,4,0),"")</f>
        <v>909.19685039370074</v>
      </c>
      <c r="Z10" s="80">
        <f t="shared" si="2"/>
        <v>28867.000000000004</v>
      </c>
      <c r="AF10" s="76" t="s">
        <v>177</v>
      </c>
      <c r="AG10" s="76" t="s">
        <v>177</v>
      </c>
      <c r="AH10" s="78" t="s">
        <v>418</v>
      </c>
      <c r="AI10" s="78" t="s">
        <v>394</v>
      </c>
      <c r="AJ10" s="78"/>
      <c r="AK10" s="78"/>
      <c r="AL10" s="78">
        <v>2</v>
      </c>
      <c r="AM10" s="77" t="s">
        <v>401</v>
      </c>
      <c r="AN10" s="77" t="s">
        <v>390</v>
      </c>
      <c r="AO10" s="79"/>
      <c r="AP10" s="79"/>
      <c r="AQ10" s="79"/>
      <c r="AR10" s="79"/>
      <c r="AS10" s="79"/>
      <c r="AT10" s="79"/>
      <c r="AU10" s="79"/>
      <c r="AV10" s="79"/>
      <c r="AW10" s="79"/>
      <c r="AX10" s="79"/>
      <c r="AY10" s="79"/>
      <c r="AZ10" s="80">
        <f t="shared" si="3"/>
        <v>0</v>
      </c>
      <c r="BF10" s="65" t="s">
        <v>173</v>
      </c>
      <c r="BG10" s="65" t="s">
        <v>415</v>
      </c>
      <c r="BH10" s="65">
        <v>1</v>
      </c>
      <c r="BK10" s="65" t="s">
        <v>164</v>
      </c>
      <c r="BL10" s="65" t="s">
        <v>397</v>
      </c>
      <c r="BM10" s="65" t="s">
        <v>398</v>
      </c>
      <c r="BN10" s="65">
        <v>1</v>
      </c>
    </row>
    <row r="11" spans="2:66" x14ac:dyDescent="0.25">
      <c r="B11" s="76" t="s">
        <v>419</v>
      </c>
      <c r="C11" s="76" t="s">
        <v>419</v>
      </c>
      <c r="D11" s="77" t="s">
        <v>420</v>
      </c>
      <c r="E11" s="77" t="s">
        <v>400</v>
      </c>
      <c r="F11" s="77"/>
      <c r="G11" s="77"/>
      <c r="H11" s="77">
        <v>5</v>
      </c>
      <c r="I11" s="77" t="s">
        <v>421</v>
      </c>
      <c r="J11" s="77"/>
      <c r="K11" s="77" t="s">
        <v>422</v>
      </c>
      <c r="L11" s="78" t="str">
        <f t="shared" si="0"/>
        <v/>
      </c>
      <c r="M11" s="77" t="str" cm="1">
        <f t="array" ref="M11">IF(OR(UPPER(TRIM($C11))="BRAZIL",UPPER(TRIM($C11))="INDIA",UPPER(TRIM($C11))="PHILIPPINES"),
   "UNDP OP8 COB - RPA",
   IFERROR(
     VLOOKUP($C11,$BF:$BG,2,0),
     _xlfn.SWITCH(UPPER(TRIM($K11)),
       "N/A","N/A",
       "VACANT","UNDP OP8 COB - Vacant",
       "UNDP","UNDP OP8 COB - UNDP CO",
       "UN COMPOUND","UNDP OP8 COB - UN Compound",
       "UNDP - WFH","UNDP OP8 COB - UNDP WFH",
"UNICEF","UNDP OP8 COB - UNICEF",
       "NHI","n.End of June 2026",
       "PRIVATE LEASE","k.End of Mar 2026",
       ""
     )
   )
)</f>
        <v>N/A</v>
      </c>
      <c r="N11" s="77" t="str">
        <f t="shared" si="1"/>
        <v>N/A</v>
      </c>
      <c r="O11" s="79" t="str">
        <f>IFERROR(VLOOKUP($C11,'[15]2024 COBs'!$AA:$AK,5,0),"")</f>
        <v/>
      </c>
      <c r="P11" s="79" t="str">
        <f>IFERROR((VLOOKUP($C11,'[15]2024 COBs'!$AA:$AK,8,0)+VLOOKUP($C11,'[15]2024 COBs'!$AA:$AK,9,0)+VLOOKUP($C11,'[15]2024 COBs'!$AA:$AK,10,0)+VLOOKUP($C11,'[15]2024 COBs'!$AA:$AK,11,0))*5%,"")</f>
        <v/>
      </c>
      <c r="Q11" s="79" t="str">
        <f>IFERROR((VLOOKUP($C11,'[15]2024 COBs'!$AA:$AK,8,0)+VLOOKUP($C11,'[15]2024 COBs'!$AA:$AK,9,0)+VLOOKUP($C11,'[15]2024 COBs'!$AA:$AK,10,0)+VLOOKUP($C11,'[15]2024 COBs'!$AA:$AK,11,0))*16%,"")</f>
        <v/>
      </c>
      <c r="R11" s="79"/>
      <c r="S11" s="79" t="str">
        <f>IFERROR(VLOOKUP($C11,'[15]2024 COBs'!$AA:$AK,7,0),"")</f>
        <v/>
      </c>
      <c r="T11" s="79" t="str">
        <f>IFERROR((VLOOKUP($C11,'[15]2024 COBs'!$AA:$AK,8,0)+VLOOKUP($C11,'[15]2024 COBs'!$AA:$AK,9,0)+VLOOKUP($C11,'[15]2024 COBs'!$AA:$AK,10,0)+VLOOKUP($C11,'[15]2024 COBs'!$AA:$AK,11,0))*20%,"")</f>
        <v/>
      </c>
      <c r="U11" s="79" t="str">
        <f>IFERROR(VLOOKUP($C11,'[15]2024 COBs'!$AA:$AK,6,0),"")</f>
        <v/>
      </c>
      <c r="V11" s="79" t="str">
        <f>IFERROR((VLOOKUP($C11,'[15]2024 COBs'!$AA:$AK,8,0)+VLOOKUP($C11,'[15]2024 COBs'!$AA:$AK,9,0)+VLOOKUP($C11,'[15]2024 COBs'!$AA:$AK,10,0)+VLOOKUP($C11,'[15]2024 COBs'!$AA:$AK,11,0))*18%,"")</f>
        <v/>
      </c>
      <c r="W11" s="79" t="str">
        <f>IFERROR((VLOOKUP($C11,'[15]2024 COBs'!$AA:$AK,8,0)+VLOOKUP($C11,'[15]2024 COBs'!$AA:$AK,9,0)+VLOOKUP($C11,'[15]2024 COBs'!$AA:$AK,10,0)+VLOOKUP($C11,'[15]2024 COBs'!$AA:$AK,11,0))*27%,"")</f>
        <v/>
      </c>
      <c r="X11" s="79" t="str">
        <f>IFERROR((VLOOKUP($C11,'[15]2024 COBs'!$AA:$AK,8,0)+VLOOKUP($C11,'[15]2024 COBs'!$AA:$AK,9,0)+VLOOKUP($C11,'[15]2024 COBs'!$AA:$AK,10,0)+VLOOKUP($C11,'[15]2024 COBs'!$AA:$AK,11,0))*14%,"")</f>
        <v/>
      </c>
      <c r="Y11" s="79" t="str">
        <f>IFERROR(VLOOKUP($C11,'[15]2024 COBs'!$AA:$AK,4,0),"")</f>
        <v/>
      </c>
      <c r="Z11" s="80">
        <f t="shared" si="2"/>
        <v>0</v>
      </c>
      <c r="AF11" s="76" t="s">
        <v>178</v>
      </c>
      <c r="AG11" s="76" t="s">
        <v>178</v>
      </c>
      <c r="AH11" s="78" t="s">
        <v>423</v>
      </c>
      <c r="AI11" s="78" t="s">
        <v>394</v>
      </c>
      <c r="AJ11" s="78"/>
      <c r="AK11" s="78"/>
      <c r="AL11" s="78">
        <v>2</v>
      </c>
      <c r="AM11" s="77" t="s">
        <v>401</v>
      </c>
      <c r="AN11" s="77" t="s">
        <v>390</v>
      </c>
      <c r="AO11" s="79"/>
      <c r="AP11" s="79"/>
      <c r="AQ11" s="79"/>
      <c r="AR11" s="79"/>
      <c r="AS11" s="79"/>
      <c r="AT11" s="79"/>
      <c r="AU11" s="79"/>
      <c r="AV11" s="79"/>
      <c r="AW11" s="79"/>
      <c r="AX11" s="79"/>
      <c r="AY11" s="79"/>
      <c r="AZ11" s="80">
        <f t="shared" si="3"/>
        <v>0</v>
      </c>
      <c r="BF11" s="65" t="s">
        <v>175</v>
      </c>
      <c r="BG11" s="65" t="s">
        <v>396</v>
      </c>
      <c r="BH11" s="65">
        <v>1</v>
      </c>
      <c r="BK11" s="65" t="s">
        <v>165</v>
      </c>
      <c r="BL11" s="65" t="s">
        <v>397</v>
      </c>
      <c r="BM11" s="65" t="s">
        <v>398</v>
      </c>
      <c r="BN11" s="65">
        <v>1</v>
      </c>
    </row>
    <row r="12" spans="2:66" x14ac:dyDescent="0.25">
      <c r="B12" s="76" t="s">
        <v>165</v>
      </c>
      <c r="C12" s="76" t="s">
        <v>165</v>
      </c>
      <c r="D12" s="77" t="s">
        <v>424</v>
      </c>
      <c r="E12" s="77" t="s">
        <v>408</v>
      </c>
      <c r="F12" s="77" t="s">
        <v>409</v>
      </c>
      <c r="G12" s="77"/>
      <c r="H12" s="77">
        <v>2</v>
      </c>
      <c r="I12" s="77" t="s">
        <v>401</v>
      </c>
      <c r="J12" s="77" t="s">
        <v>390</v>
      </c>
      <c r="K12" s="77" t="s">
        <v>425</v>
      </c>
      <c r="L12" s="78" t="str">
        <f t="shared" si="0"/>
        <v>Yes</v>
      </c>
      <c r="M12" s="77" t="str" cm="1">
        <f t="array" ref="M12">IF(OR(UPPER(TRIM($C12))="BRAZIL",UPPER(TRIM($C12))="INDIA",UPPER(TRIM($C12))="PHILIPPINES"),
   "UNDP OP8 COB - RPA",
   IFERROR(
     VLOOKUP($C12,$BF:$BG,2,0),
     _xlfn.SWITCH(UPPER(TRIM($K12)),
       "N/A","N/A",
       "VACANT","UNDP OP8 COB - Vacant",
       "UNDP","UNDP OP8 COB - UNDP CO",
       "UN COMPOUND","UNDP OP8 COB - UN Compound",
       "UNDP - WFH","UNDP OP8 COB - UNDP WFH",
"UNICEF","UNDP OP8 COB - UNICEF",
       "NHI","n.End of June 2026",
       "PRIVATE LEASE","k.End of Mar 2026",
       ""
     )
   )
)</f>
        <v>n.End of June 2026</v>
      </c>
      <c r="N12" s="77" t="str">
        <f t="shared" si="1"/>
        <v>UNOPS Action</v>
      </c>
      <c r="O12" s="79">
        <f>IFERROR(VLOOKUP($C12,'[15]2024 COBs'!$AA:$AK,5,0),"")</f>
        <v>19439.768835616436</v>
      </c>
      <c r="P12" s="79">
        <f>IFERROR((VLOOKUP($C12,'[15]2024 COBs'!$AA:$AK,8,0)+VLOOKUP($C12,'[15]2024 COBs'!$AA:$AK,9,0)+VLOOKUP($C12,'[15]2024 COBs'!$AA:$AK,10,0)+VLOOKUP($C12,'[15]2024 COBs'!$AA:$AK,11,0))*5%,"")</f>
        <v>237.59717465753425</v>
      </c>
      <c r="Q12" s="79">
        <f>IFERROR((VLOOKUP($C12,'[15]2024 COBs'!$AA:$AK,8,0)+VLOOKUP($C12,'[15]2024 COBs'!$AA:$AK,9,0)+VLOOKUP($C12,'[15]2024 COBs'!$AA:$AK,10,0)+VLOOKUP($C12,'[15]2024 COBs'!$AA:$AK,11,0))*16%,"")</f>
        <v>760.31095890410961</v>
      </c>
      <c r="R12" s="79"/>
      <c r="S12" s="79">
        <f>IFERROR(VLOOKUP($C12,'[15]2024 COBs'!$AA:$AK,7,0),"")</f>
        <v>431.99486301369859</v>
      </c>
      <c r="T12" s="79">
        <f>IFERROR((VLOOKUP($C12,'[15]2024 COBs'!$AA:$AK,8,0)+VLOOKUP($C12,'[15]2024 COBs'!$AA:$AK,9,0)+VLOOKUP($C12,'[15]2024 COBs'!$AA:$AK,10,0)+VLOOKUP($C12,'[15]2024 COBs'!$AA:$AK,11,0))*20%,"")</f>
        <v>950.38869863013701</v>
      </c>
      <c r="U12" s="79">
        <v>16000</v>
      </c>
      <c r="V12" s="79">
        <f>IFERROR((VLOOKUP($C12,'[15]2024 COBs'!$AA:$AK,8,0)+VLOOKUP($C12,'[15]2024 COBs'!$AA:$AK,9,0)+VLOOKUP($C12,'[15]2024 COBs'!$AA:$AK,10,0)+VLOOKUP($C12,'[15]2024 COBs'!$AA:$AK,11,0))*18%,"")</f>
        <v>855.3498287671232</v>
      </c>
      <c r="W12" s="79">
        <f>IFERROR((VLOOKUP($C12,'[15]2024 COBs'!$AA:$AK,8,0)+VLOOKUP($C12,'[15]2024 COBs'!$AA:$AK,9,0)+VLOOKUP($C12,'[15]2024 COBs'!$AA:$AK,10,0)+VLOOKUP($C12,'[15]2024 COBs'!$AA:$AK,11,0))*27%,"")</f>
        <v>1283.024743150685</v>
      </c>
      <c r="X12" s="79">
        <f>IFERROR((VLOOKUP($C12,'[15]2024 COBs'!$AA:$AK,8,0)+VLOOKUP($C12,'[15]2024 COBs'!$AA:$AK,9,0)+VLOOKUP($C12,'[15]2024 COBs'!$AA:$AK,10,0)+VLOOKUP($C12,'[15]2024 COBs'!$AA:$AK,11,0))*14%,"")</f>
        <v>665.27208904109591</v>
      </c>
      <c r="Y12" s="79">
        <f>IFERROR(VLOOKUP($C12,'[15]2024 COBs'!$AA:$AK,4,0),"")</f>
        <v>2073.5753424657532</v>
      </c>
      <c r="Z12" s="80">
        <f t="shared" si="2"/>
        <v>42697.282534246566</v>
      </c>
      <c r="AF12" s="76" t="s">
        <v>426</v>
      </c>
      <c r="AG12" s="76" t="s">
        <v>426</v>
      </c>
      <c r="AH12" s="78" t="s">
        <v>427</v>
      </c>
      <c r="AI12" s="78" t="s">
        <v>394</v>
      </c>
      <c r="AJ12" s="78"/>
      <c r="AK12" s="78"/>
      <c r="AL12" s="78">
        <v>3</v>
      </c>
      <c r="AM12" s="77" t="s">
        <v>389</v>
      </c>
      <c r="AN12" s="77" t="s">
        <v>395</v>
      </c>
      <c r="AO12" s="79"/>
      <c r="AP12" s="79"/>
      <c r="AQ12" s="79"/>
      <c r="AR12" s="79"/>
      <c r="AS12" s="79"/>
      <c r="AT12" s="79"/>
      <c r="AU12" s="79"/>
      <c r="AV12" s="79"/>
      <c r="AW12" s="79"/>
      <c r="AX12" s="79"/>
      <c r="AY12" s="79"/>
      <c r="AZ12" s="80">
        <f t="shared" si="3"/>
        <v>0</v>
      </c>
      <c r="BF12" s="65" t="s">
        <v>428</v>
      </c>
      <c r="BG12" s="65" t="s">
        <v>396</v>
      </c>
      <c r="BH12" s="65">
        <v>1</v>
      </c>
      <c r="BK12" s="65" t="s">
        <v>165</v>
      </c>
      <c r="BL12" s="65" t="s">
        <v>411</v>
      </c>
      <c r="BM12" s="65" t="s">
        <v>396</v>
      </c>
      <c r="BN12" s="65">
        <v>1</v>
      </c>
    </row>
    <row r="13" spans="2:66" x14ac:dyDescent="0.25">
      <c r="B13" s="76" t="s">
        <v>166</v>
      </c>
      <c r="C13" s="76" t="s">
        <v>166</v>
      </c>
      <c r="D13" s="77" t="s">
        <v>429</v>
      </c>
      <c r="E13" s="77" t="s">
        <v>388</v>
      </c>
      <c r="F13" s="77"/>
      <c r="G13" s="77"/>
      <c r="H13" s="77">
        <v>3</v>
      </c>
      <c r="I13" s="77" t="s">
        <v>401</v>
      </c>
      <c r="J13" s="77" t="s">
        <v>390</v>
      </c>
      <c r="K13" s="77" t="s">
        <v>17</v>
      </c>
      <c r="L13" s="78" t="str">
        <f t="shared" si="0"/>
        <v/>
      </c>
      <c r="M13" s="77" t="str" cm="1">
        <f t="array" ref="M13">IF(OR(UPPER(TRIM($C13))="BRAZIL",UPPER(TRIM($C13))="INDIA",UPPER(TRIM($C13))="PHILIPPINES"),
   "UNDP OP8 COB - RPA",
   IFERROR(
     VLOOKUP($C13,$BF:$BG,2,0),
     _xlfn.SWITCH(UPPER(TRIM($K13)),
       "N/A","N/A",
       "VACANT","UNDP OP8 COB - Vacant",
       "UNDP","UNDP OP8 COB - UNDP CO",
       "UN COMPOUND","UNDP OP8 COB - UN Compound",
       "UNDP - WFH","UNDP OP8 COB - UNDP WFH",
"UNICEF","UNDP OP8 COB - UNICEF",
       "NHI","n.End of June 2026",
       "PRIVATE LEASE","k.End of Mar 2026",
       ""
     )
   )
)</f>
        <v>UNDP OP8 COB - UNDP CO</v>
      </c>
      <c r="N13" s="77" t="str">
        <f t="shared" si="1"/>
        <v>UNDP Action</v>
      </c>
      <c r="O13" s="79">
        <f>IFERROR(VLOOKUP($C13,'[15]2024 COBs'!$AA:$AK,5,0),"")</f>
        <v>3902.9399407092924</v>
      </c>
      <c r="P13" s="79">
        <f>IFERROR((VLOOKUP($C13,'[15]2024 COBs'!$AA:$AK,8,0)+VLOOKUP($C13,'[15]2024 COBs'!$AA:$AK,9,0)+VLOOKUP($C13,'[15]2024 COBs'!$AA:$AK,10,0)+VLOOKUP($C13,'[15]2024 COBs'!$AA:$AK,11,0))*5%,"")</f>
        <v>38.407202722980642</v>
      </c>
      <c r="Q13" s="79">
        <f>IFERROR((VLOOKUP($C13,'[15]2024 COBs'!$AA:$AK,8,0)+VLOOKUP($C13,'[15]2024 COBs'!$AA:$AK,9,0)+VLOOKUP($C13,'[15]2024 COBs'!$AA:$AK,10,0)+VLOOKUP($C13,'[15]2024 COBs'!$AA:$AK,11,0))*16%,"")</f>
        <v>122.90304871353806</v>
      </c>
      <c r="R13" s="79"/>
      <c r="S13" s="79">
        <f>IFERROR(VLOOKUP($C13,'[15]2024 COBs'!$AA:$AK,7,0),"")</f>
        <v>384.07202722980639</v>
      </c>
      <c r="T13" s="79">
        <f>IFERROR((VLOOKUP($C13,'[15]2024 COBs'!$AA:$AK,8,0)+VLOOKUP($C13,'[15]2024 COBs'!$AA:$AK,9,0)+VLOOKUP($C13,'[15]2024 COBs'!$AA:$AK,10,0)+VLOOKUP($C13,'[15]2024 COBs'!$AA:$AK,11,0))*20%,"")</f>
        <v>153.62881089192257</v>
      </c>
      <c r="U13" s="79">
        <f>IFERROR(VLOOKUP($C13,'[15]2024 COBs'!$AA:$AK,6,0),"")</f>
        <v>11708.051678073418</v>
      </c>
      <c r="V13" s="79">
        <f>IFERROR((VLOOKUP($C13,'[15]2024 COBs'!$AA:$AK,8,0)+VLOOKUP($C13,'[15]2024 COBs'!$AA:$AK,9,0)+VLOOKUP($C13,'[15]2024 COBs'!$AA:$AK,10,0)+VLOOKUP($C13,'[15]2024 COBs'!$AA:$AK,11,0))*18%,"")</f>
        <v>138.26592980273028</v>
      </c>
      <c r="W13" s="79">
        <f>IFERROR((VLOOKUP($C13,'[15]2024 COBs'!$AA:$AK,8,0)+VLOOKUP($C13,'[15]2024 COBs'!$AA:$AK,9,0)+VLOOKUP($C13,'[15]2024 COBs'!$AA:$AK,10,0)+VLOOKUP($C13,'[15]2024 COBs'!$AA:$AK,11,0))*27%,"")</f>
        <v>207.39889470409545</v>
      </c>
      <c r="X13" s="79">
        <f>IFERROR((VLOOKUP($C13,'[15]2024 COBs'!$AA:$AK,8,0)+VLOOKUP($C13,'[15]2024 COBs'!$AA:$AK,9,0)+VLOOKUP($C13,'[15]2024 COBs'!$AA:$AK,10,0)+VLOOKUP($C13,'[15]2024 COBs'!$AA:$AK,11,0))*14%,"")</f>
        <v>107.5401676243458</v>
      </c>
      <c r="Y13" s="79">
        <f>IFERROR(VLOOKUP($C13,'[15]2024 COBs'!$AA:$AK,4,0),"")</f>
        <v>4224.7922995278705</v>
      </c>
      <c r="Z13" s="80">
        <f t="shared" si="2"/>
        <v>20988.000000000004</v>
      </c>
      <c r="AF13" s="76" t="s">
        <v>180</v>
      </c>
      <c r="AG13" s="76" t="s">
        <v>180</v>
      </c>
      <c r="AH13" s="78" t="s">
        <v>430</v>
      </c>
      <c r="AI13" s="78" t="s">
        <v>394</v>
      </c>
      <c r="AJ13" s="78"/>
      <c r="AK13" s="78"/>
      <c r="AL13" s="78">
        <v>2</v>
      </c>
      <c r="AM13" s="77" t="s">
        <v>401</v>
      </c>
      <c r="AN13" s="77" t="s">
        <v>390</v>
      </c>
      <c r="AO13" s="79"/>
      <c r="AP13" s="79"/>
      <c r="AQ13" s="79"/>
      <c r="AR13" s="79"/>
      <c r="AS13" s="79"/>
      <c r="AT13" s="79"/>
      <c r="AU13" s="79"/>
      <c r="AV13" s="79"/>
      <c r="AW13" s="79"/>
      <c r="AX13" s="79"/>
      <c r="AY13" s="79"/>
      <c r="AZ13" s="80">
        <f t="shared" si="3"/>
        <v>0</v>
      </c>
      <c r="BF13" s="65" t="s">
        <v>179</v>
      </c>
      <c r="BG13" s="65" t="s">
        <v>396</v>
      </c>
      <c r="BH13" s="65">
        <v>1</v>
      </c>
      <c r="BK13" s="65" t="s">
        <v>166</v>
      </c>
      <c r="BL13" s="65" t="s">
        <v>397</v>
      </c>
      <c r="BM13" s="65" t="s">
        <v>398</v>
      </c>
      <c r="BN13" s="65">
        <v>1</v>
      </c>
    </row>
    <row r="14" spans="2:66" x14ac:dyDescent="0.25">
      <c r="B14" s="76" t="s">
        <v>167</v>
      </c>
      <c r="C14" s="76" t="s">
        <v>167</v>
      </c>
      <c r="D14" s="77" t="s">
        <v>431</v>
      </c>
      <c r="E14" s="77" t="s">
        <v>408</v>
      </c>
      <c r="F14" s="77" t="s">
        <v>432</v>
      </c>
      <c r="G14" s="77"/>
      <c r="H14" s="77">
        <v>1</v>
      </c>
      <c r="I14" s="77" t="s">
        <v>401</v>
      </c>
      <c r="J14" s="77" t="s">
        <v>390</v>
      </c>
      <c r="K14" s="77" t="s">
        <v>17</v>
      </c>
      <c r="L14" s="78" t="str">
        <f t="shared" si="0"/>
        <v>Yes</v>
      </c>
      <c r="M14" s="77" t="str" cm="1">
        <f t="array" ref="M14">IF(OR(UPPER(TRIM($C14))="BRAZIL",UPPER(TRIM($C14))="INDIA",UPPER(TRIM($C14))="PHILIPPINES"),
   "UNDP OP8 COB - RPA",
   IFERROR(
     VLOOKUP($C14,$BF:$BG,2,0),
     _xlfn.SWITCH(UPPER(TRIM($K14)),
       "N/A","N/A",
       "VACANT","UNDP OP8 COB - Vacant",
       "UNDP","UNDP OP8 COB - UNDP CO",
       "UN COMPOUND","UNDP OP8 COB - UN Compound",
       "UNDP - WFH","UNDP OP8 COB - UNDP WFH",
"UNICEF","UNDP OP8 COB - UNICEF",
       "NHI","n.End of June 2026",
       "PRIVATE LEASE","k.End of Mar 2026",
       ""
     )
   )
)</f>
        <v>n.End of June 2026</v>
      </c>
      <c r="N14" s="77" t="str">
        <f t="shared" si="1"/>
        <v>UNOPS Action</v>
      </c>
      <c r="O14" s="79">
        <f>IFERROR(VLOOKUP($C14,'[15]2024 COBs'!$AA:$AK,5,0),"")</f>
        <v>4704</v>
      </c>
      <c r="P14" s="79">
        <f>IFERROR((VLOOKUP($C14,'[15]2024 COBs'!$AA:$AK,8,0)+VLOOKUP($C14,'[15]2024 COBs'!$AA:$AK,9,0)+VLOOKUP($C14,'[15]2024 COBs'!$AA:$AK,10,0)+VLOOKUP($C14,'[15]2024 COBs'!$AA:$AK,11,0))*5%,"")</f>
        <v>354.36</v>
      </c>
      <c r="Q14" s="79">
        <f>IFERROR((VLOOKUP($C14,'[15]2024 COBs'!$AA:$AK,8,0)+VLOOKUP($C14,'[15]2024 COBs'!$AA:$AK,9,0)+VLOOKUP($C14,'[15]2024 COBs'!$AA:$AK,10,0)+VLOOKUP($C14,'[15]2024 COBs'!$AA:$AK,11,0))*16%,"")</f>
        <v>1133.952</v>
      </c>
      <c r="R14" s="79"/>
      <c r="S14" s="79">
        <f>IFERROR(VLOOKUP($C14,'[15]2024 COBs'!$AA:$AK,7,0),"")</f>
        <v>120</v>
      </c>
      <c r="T14" s="79">
        <f>IFERROR((VLOOKUP($C14,'[15]2024 COBs'!$AA:$AK,8,0)+VLOOKUP($C14,'[15]2024 COBs'!$AA:$AK,9,0)+VLOOKUP($C14,'[15]2024 COBs'!$AA:$AK,10,0)+VLOOKUP($C14,'[15]2024 COBs'!$AA:$AK,11,0))*20%,"")</f>
        <v>1417.44</v>
      </c>
      <c r="U14" s="79">
        <f>IFERROR(VLOOKUP($C14,'[15]2024 COBs'!$AA:$AK,6,0),"")</f>
        <v>9975</v>
      </c>
      <c r="V14" s="79">
        <f>IFERROR((VLOOKUP($C14,'[15]2024 COBs'!$AA:$AK,8,0)+VLOOKUP($C14,'[15]2024 COBs'!$AA:$AK,9,0)+VLOOKUP($C14,'[15]2024 COBs'!$AA:$AK,10,0)+VLOOKUP($C14,'[15]2024 COBs'!$AA:$AK,11,0))*18%,"")</f>
        <v>1275.6959999999999</v>
      </c>
      <c r="W14" s="79">
        <f>IFERROR((VLOOKUP($C14,'[15]2024 COBs'!$AA:$AK,8,0)+VLOOKUP($C14,'[15]2024 COBs'!$AA:$AK,9,0)+VLOOKUP($C14,'[15]2024 COBs'!$AA:$AK,10,0)+VLOOKUP($C14,'[15]2024 COBs'!$AA:$AK,11,0))*27%,"")</f>
        <v>1913.5440000000001</v>
      </c>
      <c r="X14" s="79">
        <f>IFERROR((VLOOKUP($C14,'[15]2024 COBs'!$AA:$AK,8,0)+VLOOKUP($C14,'[15]2024 COBs'!$AA:$AK,9,0)+VLOOKUP($C14,'[15]2024 COBs'!$AA:$AK,10,0)+VLOOKUP($C14,'[15]2024 COBs'!$AA:$AK,11,0))*14%,"")</f>
        <v>992.20800000000008</v>
      </c>
      <c r="Y14" s="79">
        <f>IFERROR(VLOOKUP($C14,'[15]2024 COBs'!$AA:$AK,4,0),"")</f>
        <v>1500</v>
      </c>
      <c r="Z14" s="80">
        <f t="shared" si="2"/>
        <v>23386.2</v>
      </c>
      <c r="AF14" s="76" t="s">
        <v>433</v>
      </c>
      <c r="AG14" s="76" t="s">
        <v>181</v>
      </c>
      <c r="AH14" s="78" t="s">
        <v>434</v>
      </c>
      <c r="AI14" s="78" t="s">
        <v>394</v>
      </c>
      <c r="AJ14" s="78"/>
      <c r="AK14" s="78"/>
      <c r="AL14" s="78">
        <v>3</v>
      </c>
      <c r="AM14" s="77" t="s">
        <v>435</v>
      </c>
      <c r="AN14" s="77" t="s">
        <v>390</v>
      </c>
      <c r="AO14" s="79"/>
      <c r="AP14" s="79"/>
      <c r="AQ14" s="79"/>
      <c r="AR14" s="79"/>
      <c r="AS14" s="79"/>
      <c r="AT14" s="79"/>
      <c r="AU14" s="79"/>
      <c r="AV14" s="79"/>
      <c r="AW14" s="79"/>
      <c r="AX14" s="79"/>
      <c r="AY14" s="79"/>
      <c r="AZ14" s="80">
        <f t="shared" si="3"/>
        <v>0</v>
      </c>
      <c r="BF14" s="65" t="s">
        <v>436</v>
      </c>
      <c r="BG14" s="65" t="s">
        <v>396</v>
      </c>
      <c r="BH14" s="65">
        <v>1</v>
      </c>
      <c r="BK14" s="65" t="s">
        <v>167</v>
      </c>
      <c r="BL14" s="65" t="s">
        <v>397</v>
      </c>
      <c r="BM14" s="65" t="s">
        <v>398</v>
      </c>
      <c r="BN14" s="65">
        <v>1</v>
      </c>
    </row>
    <row r="15" spans="2:66" x14ac:dyDescent="0.25">
      <c r="B15" s="76" t="s">
        <v>437</v>
      </c>
      <c r="C15" s="76" t="s">
        <v>437</v>
      </c>
      <c r="D15" s="77" t="s">
        <v>438</v>
      </c>
      <c r="E15" s="77" t="s">
        <v>400</v>
      </c>
      <c r="F15" s="77"/>
      <c r="G15" s="77"/>
      <c r="H15" s="77">
        <v>5</v>
      </c>
      <c r="I15" s="77" t="s">
        <v>421</v>
      </c>
      <c r="J15" s="77" t="s">
        <v>439</v>
      </c>
      <c r="K15" s="77" t="s">
        <v>422</v>
      </c>
      <c r="L15" s="78" t="str">
        <f t="shared" si="0"/>
        <v/>
      </c>
      <c r="M15" s="77" t="str" cm="1">
        <f t="array" ref="M15">IF(OR(UPPER(TRIM($C15))="BRAZIL",UPPER(TRIM($C15))="INDIA",UPPER(TRIM($C15))="PHILIPPINES"),
   "UNDP OP8 COB - RPA",
   IFERROR(
     VLOOKUP($C15,$BF:$BG,2,0),
     _xlfn.SWITCH(UPPER(TRIM($K15)),
       "N/A","N/A",
       "VACANT","UNDP OP8 COB - Vacant",
       "UNDP","UNDP OP8 COB - UNDP CO",
       "UN COMPOUND","UNDP OP8 COB - UN Compound",
       "UNDP - WFH","UNDP OP8 COB - UNDP WFH",
"UNICEF","UNDP OP8 COB - UNICEF",
       "NHI","n.End of June 2026",
       "PRIVATE LEASE","k.End of Mar 2026",
       ""
     )
   )
)</f>
        <v>N/A</v>
      </c>
      <c r="N15" s="77" t="str">
        <f t="shared" si="1"/>
        <v>N/A</v>
      </c>
      <c r="O15" s="79">
        <f>IFERROR(VLOOKUP($C15,'[15]2024 COBs'!$AA:$AK,5,0),"")</f>
        <v>6635.4046822742475</v>
      </c>
      <c r="P15" s="79">
        <f>IFERROR((VLOOKUP($C15,'[15]2024 COBs'!$AA:$AK,8,0)+VLOOKUP($C15,'[15]2024 COBs'!$AA:$AK,9,0)+VLOOKUP($C15,'[15]2024 COBs'!$AA:$AK,10,0)+VLOOKUP($C15,'[15]2024 COBs'!$AA:$AK,11,0))*5%,"")</f>
        <v>651.11634018155746</v>
      </c>
      <c r="Q15" s="79">
        <f>IFERROR((VLOOKUP($C15,'[15]2024 COBs'!$AA:$AK,8,0)+VLOOKUP($C15,'[15]2024 COBs'!$AA:$AK,9,0)+VLOOKUP($C15,'[15]2024 COBs'!$AA:$AK,10,0)+VLOOKUP($C15,'[15]2024 COBs'!$AA:$AK,11,0))*16%,"")</f>
        <v>2083.5722885809837</v>
      </c>
      <c r="R15" s="79"/>
      <c r="S15" s="79">
        <f>IFERROR(VLOOKUP($C15,'[15]2024 COBs'!$AA:$AK,7,0),"")</f>
        <v>1840.6115623506928</v>
      </c>
      <c r="T15" s="79">
        <f>IFERROR((VLOOKUP($C15,'[15]2024 COBs'!$AA:$AK,8,0)+VLOOKUP($C15,'[15]2024 COBs'!$AA:$AK,9,0)+VLOOKUP($C15,'[15]2024 COBs'!$AA:$AK,10,0)+VLOOKUP($C15,'[15]2024 COBs'!$AA:$AK,11,0))*20%,"")</f>
        <v>2604.4653607262298</v>
      </c>
      <c r="U15" s="79">
        <f>IFERROR(VLOOKUP($C15,'[15]2024 COBs'!$AA:$AK,6,0),"")</f>
        <v>4141.3760152890582</v>
      </c>
      <c r="V15" s="79">
        <f>IFERROR((VLOOKUP($C15,'[15]2024 COBs'!$AA:$AK,8,0)+VLOOKUP($C15,'[15]2024 COBs'!$AA:$AK,9,0)+VLOOKUP($C15,'[15]2024 COBs'!$AA:$AK,10,0)+VLOOKUP($C15,'[15]2024 COBs'!$AA:$AK,11,0))*18%,"")</f>
        <v>2344.0188246536068</v>
      </c>
      <c r="W15" s="79">
        <f>IFERROR((VLOOKUP($C15,'[15]2024 COBs'!$AA:$AK,8,0)+VLOOKUP($C15,'[15]2024 COBs'!$AA:$AK,9,0)+VLOOKUP($C15,'[15]2024 COBs'!$AA:$AK,10,0)+VLOOKUP($C15,'[15]2024 COBs'!$AA:$AK,11,0))*27%,"")</f>
        <v>3516.0282369804104</v>
      </c>
      <c r="X15" s="79">
        <f>IFERROR((VLOOKUP($C15,'[15]2024 COBs'!$AA:$AK,8,0)+VLOOKUP($C15,'[15]2024 COBs'!$AA:$AK,9,0)+VLOOKUP($C15,'[15]2024 COBs'!$AA:$AK,10,0)+VLOOKUP($C15,'[15]2024 COBs'!$AA:$AK,11,0))*14%,"")</f>
        <v>1823.1257525083611</v>
      </c>
      <c r="Y15" s="79">
        <f>IFERROR(VLOOKUP($C15,'[15]2024 COBs'!$AA:$AK,4,0),"")</f>
        <v>12884.28093645485</v>
      </c>
      <c r="Z15" s="80">
        <f t="shared" si="2"/>
        <v>38523.999999999993</v>
      </c>
      <c r="AF15" s="76" t="s">
        <v>182</v>
      </c>
      <c r="AG15" s="76" t="s">
        <v>182</v>
      </c>
      <c r="AH15" s="78" t="s">
        <v>440</v>
      </c>
      <c r="AI15" s="78" t="s">
        <v>394</v>
      </c>
      <c r="AJ15" s="78"/>
      <c r="AK15" s="78"/>
      <c r="AL15" s="78">
        <v>2</v>
      </c>
      <c r="AM15" s="77" t="s">
        <v>401</v>
      </c>
      <c r="AN15" s="77" t="s">
        <v>390</v>
      </c>
      <c r="AO15" s="79"/>
      <c r="AP15" s="79"/>
      <c r="AQ15" s="79"/>
      <c r="AR15" s="79"/>
      <c r="AS15" s="79"/>
      <c r="AT15" s="79"/>
      <c r="AU15" s="79"/>
      <c r="AV15" s="79"/>
      <c r="AW15" s="79"/>
      <c r="AX15" s="79"/>
      <c r="AY15" s="79"/>
      <c r="AZ15" s="80">
        <f t="shared" si="3"/>
        <v>0</v>
      </c>
      <c r="BF15" s="65" t="s">
        <v>441</v>
      </c>
      <c r="BG15" s="65" t="s">
        <v>415</v>
      </c>
      <c r="BH15" s="65">
        <v>1</v>
      </c>
      <c r="BK15" s="65" t="s">
        <v>167</v>
      </c>
      <c r="BL15" s="65" t="s">
        <v>411</v>
      </c>
      <c r="BM15" s="65" t="s">
        <v>396</v>
      </c>
      <c r="BN15" s="65">
        <v>1</v>
      </c>
    </row>
    <row r="16" spans="2:66" x14ac:dyDescent="0.25">
      <c r="B16" s="76" t="s">
        <v>168</v>
      </c>
      <c r="C16" s="76" t="s">
        <v>168</v>
      </c>
      <c r="D16" s="77" t="s">
        <v>442</v>
      </c>
      <c r="E16" s="77" t="s">
        <v>408</v>
      </c>
      <c r="F16" s="77"/>
      <c r="G16" s="77"/>
      <c r="H16" s="77">
        <v>2</v>
      </c>
      <c r="I16" s="77" t="s">
        <v>401</v>
      </c>
      <c r="J16" s="77" t="s">
        <v>390</v>
      </c>
      <c r="K16" s="77" t="s">
        <v>17</v>
      </c>
      <c r="L16" s="78" t="str">
        <f t="shared" si="0"/>
        <v/>
      </c>
      <c r="M16" s="77" t="str" cm="1">
        <f t="array" ref="M16">IF(OR(UPPER(TRIM($C16))="BRAZIL",UPPER(TRIM($C16))="INDIA",UPPER(TRIM($C16))="PHILIPPINES"),
   "UNDP OP8 COB - RPA",
   IFERROR(
     VLOOKUP($C16,$BF:$BG,2,0),
     _xlfn.SWITCH(UPPER(TRIM($K16)),
       "N/A","N/A",
       "VACANT","UNDP OP8 COB - Vacant",
       "UNDP","UNDP OP8 COB - UNDP CO",
       "UN COMPOUND","UNDP OP8 COB - UN Compound",
       "UNDP - WFH","UNDP OP8 COB - UNDP WFH",
"UNICEF","UNDP OP8 COB - UNICEF",
       "NHI","n.End of June 2026",
       "PRIVATE LEASE","k.End of Mar 2026",
       ""
     )
   )
)</f>
        <v>UNDP OP8 COB - UNDP CO</v>
      </c>
      <c r="N16" s="77" t="str">
        <f t="shared" si="1"/>
        <v>UNDP Action</v>
      </c>
      <c r="O16" s="79">
        <f>IFERROR(VLOOKUP($C16,'[15]2024 COBs'!$AA:$AK,5,0),"")</f>
        <v>7357.9396780110046</v>
      </c>
      <c r="P16" s="79">
        <f>IFERROR((VLOOKUP($C16,'[15]2024 COBs'!$AA:$AK,8,0)+VLOOKUP($C16,'[15]2024 COBs'!$AA:$AK,9,0)+VLOOKUP($C16,'[15]2024 COBs'!$AA:$AK,10,0)+VLOOKUP($C16,'[15]2024 COBs'!$AA:$AK,11,0))*5%,"")</f>
        <v>767.22714715938696</v>
      </c>
      <c r="Q16" s="79">
        <f>IFERROR((VLOOKUP($C16,'[15]2024 COBs'!$AA:$AK,8,0)+VLOOKUP($C16,'[15]2024 COBs'!$AA:$AK,9,0)+VLOOKUP($C16,'[15]2024 COBs'!$AA:$AK,10,0)+VLOOKUP($C16,'[15]2024 COBs'!$AA:$AK,11,0))*16%,"")</f>
        <v>2455.1268709100382</v>
      </c>
      <c r="R16" s="79"/>
      <c r="S16" s="79">
        <f>IFERROR(VLOOKUP($C16,'[15]2024 COBs'!$AA:$AK,7,0),"")</f>
        <v>476.98299481466387</v>
      </c>
      <c r="T16" s="79">
        <f>IFERROR((VLOOKUP($C16,'[15]2024 COBs'!$AA:$AK,8,0)+VLOOKUP($C16,'[15]2024 COBs'!$AA:$AK,9,0)+VLOOKUP($C16,'[15]2024 COBs'!$AA:$AK,10,0)+VLOOKUP($C16,'[15]2024 COBs'!$AA:$AK,11,0))*20%,"")</f>
        <v>3068.9085886375478</v>
      </c>
      <c r="U16" s="79">
        <f>IFERROR(VLOOKUP($C16,'[15]2024 COBs'!$AA:$AK,6,0),"")</f>
        <v>17805.775196431401</v>
      </c>
      <c r="V16" s="79">
        <f>IFERROR((VLOOKUP($C16,'[15]2024 COBs'!$AA:$AK,8,0)+VLOOKUP($C16,'[15]2024 COBs'!$AA:$AK,9,0)+VLOOKUP($C16,'[15]2024 COBs'!$AA:$AK,10,0)+VLOOKUP($C16,'[15]2024 COBs'!$AA:$AK,11,0))*18%,"")</f>
        <v>2762.0177297737928</v>
      </c>
      <c r="W16" s="79">
        <f>IFERROR((VLOOKUP($C16,'[15]2024 COBs'!$AA:$AK,8,0)+VLOOKUP($C16,'[15]2024 COBs'!$AA:$AK,9,0)+VLOOKUP($C16,'[15]2024 COBs'!$AA:$AK,10,0)+VLOOKUP($C16,'[15]2024 COBs'!$AA:$AK,11,0))*27%,"")</f>
        <v>4143.0265946606896</v>
      </c>
      <c r="X16" s="79">
        <f>IFERROR((VLOOKUP($C16,'[15]2024 COBs'!$AA:$AK,8,0)+VLOOKUP($C16,'[15]2024 COBs'!$AA:$AK,9,0)+VLOOKUP($C16,'[15]2024 COBs'!$AA:$AK,10,0)+VLOOKUP($C16,'[15]2024 COBs'!$AA:$AK,11,0))*14%,"")</f>
        <v>2148.2360120462836</v>
      </c>
      <c r="Y16" s="79">
        <f>IFERROR(VLOOKUP($C16,'[15]2024 COBs'!$AA:$AK,4,0),"")</f>
        <v>1144.7591875551932</v>
      </c>
      <c r="Z16" s="80">
        <f t="shared" si="2"/>
        <v>42130</v>
      </c>
      <c r="AF16" s="76" t="s">
        <v>443</v>
      </c>
      <c r="AG16" s="76" t="s">
        <v>184</v>
      </c>
      <c r="AH16" s="78" t="s">
        <v>444</v>
      </c>
      <c r="AI16" s="78" t="s">
        <v>394</v>
      </c>
      <c r="AJ16" s="78"/>
      <c r="AK16" s="78"/>
      <c r="AL16" s="78">
        <v>1</v>
      </c>
      <c r="AM16" s="77" t="s">
        <v>401</v>
      </c>
      <c r="AN16" s="77" t="s">
        <v>390</v>
      </c>
      <c r="AO16" s="79"/>
      <c r="AP16" s="79"/>
      <c r="AQ16" s="79"/>
      <c r="AR16" s="79"/>
      <c r="AS16" s="79"/>
      <c r="AT16" s="79"/>
      <c r="AU16" s="79"/>
      <c r="AV16" s="79"/>
      <c r="AW16" s="79"/>
      <c r="AX16" s="79"/>
      <c r="AY16" s="79"/>
      <c r="AZ16" s="80">
        <f t="shared" si="3"/>
        <v>0</v>
      </c>
      <c r="BF16" s="65" t="s">
        <v>184</v>
      </c>
      <c r="BG16" s="65" t="s">
        <v>415</v>
      </c>
      <c r="BH16" s="65">
        <v>1</v>
      </c>
      <c r="BK16" s="65" t="s">
        <v>437</v>
      </c>
      <c r="BL16" s="65" t="s">
        <v>397</v>
      </c>
      <c r="BM16" s="65" t="s">
        <v>416</v>
      </c>
      <c r="BN16" s="65">
        <v>1</v>
      </c>
    </row>
    <row r="17" spans="2:66" x14ac:dyDescent="0.25">
      <c r="B17" s="76" t="s">
        <v>169</v>
      </c>
      <c r="C17" s="76" t="s">
        <v>169</v>
      </c>
      <c r="D17" s="77" t="s">
        <v>402</v>
      </c>
      <c r="E17" s="77" t="s">
        <v>394</v>
      </c>
      <c r="F17" s="77"/>
      <c r="G17" s="77"/>
      <c r="H17" s="77">
        <v>2</v>
      </c>
      <c r="I17" s="77" t="s">
        <v>401</v>
      </c>
      <c r="J17" s="77" t="s">
        <v>390</v>
      </c>
      <c r="K17" s="77" t="s">
        <v>17</v>
      </c>
      <c r="L17" s="78" t="str">
        <f t="shared" si="0"/>
        <v>Yes</v>
      </c>
      <c r="M17" s="77" t="str" cm="1">
        <f t="array" ref="M17">IF(OR(UPPER(TRIM($C17))="BRAZIL",UPPER(TRIM($C17))="INDIA",UPPER(TRIM($C17))="PHILIPPINES"),
   "UNDP OP8 COB - RPA",
   IFERROR(
     VLOOKUP($C17,$BF:$BG,2,0),
     _xlfn.SWITCH(UPPER(TRIM($K17)),
       "N/A","N/A",
       "VACANT","UNDP OP8 COB - Vacant",
       "UNDP","UNDP OP8 COB - UNDP CO",
       "UN COMPOUND","UNDP OP8 COB - UN Compound",
       "UNDP - WFH","UNDP OP8 COB - UNDP WFH",
"UNICEF","UNDP OP8 COB - UNICEF",
       "NHI","n.End of June 2026",
       "PRIVATE LEASE","k.End of Mar 2026",
       ""
     )
   )
)</f>
        <v>n.End of June 2026</v>
      </c>
      <c r="N17" s="77" t="str">
        <f t="shared" si="1"/>
        <v>UNOPS Action</v>
      </c>
      <c r="O17" s="79">
        <f>IFERROR(VLOOKUP($C17,'[15]2024 COBs'!$AA:$AK,5,0),"")</f>
        <v>6750</v>
      </c>
      <c r="P17" s="79">
        <f>IFERROR((VLOOKUP($C17,'[15]2024 COBs'!$AA:$AK,8,0)+VLOOKUP($C17,'[15]2024 COBs'!$AA:$AK,9,0)+VLOOKUP($C17,'[15]2024 COBs'!$AA:$AK,10,0)+VLOOKUP($C17,'[15]2024 COBs'!$AA:$AK,11,0))*5%,"")</f>
        <v>157.5</v>
      </c>
      <c r="Q17" s="79">
        <f>IFERROR((VLOOKUP($C17,'[15]2024 COBs'!$AA:$AK,8,0)+VLOOKUP($C17,'[15]2024 COBs'!$AA:$AK,9,0)+VLOOKUP($C17,'[15]2024 COBs'!$AA:$AK,10,0)+VLOOKUP($C17,'[15]2024 COBs'!$AA:$AK,11,0))*16%,"")</f>
        <v>504</v>
      </c>
      <c r="R17" s="79"/>
      <c r="S17" s="79">
        <f>IFERROR(VLOOKUP($C17,'[15]2024 COBs'!$AA:$AK,7,0),"")</f>
        <v>513.75</v>
      </c>
      <c r="T17" s="79">
        <f>IFERROR((VLOOKUP($C17,'[15]2024 COBs'!$AA:$AK,8,0)+VLOOKUP($C17,'[15]2024 COBs'!$AA:$AK,9,0)+VLOOKUP($C17,'[15]2024 COBs'!$AA:$AK,10,0)+VLOOKUP($C17,'[15]2024 COBs'!$AA:$AK,11,0))*20%,"")</f>
        <v>630</v>
      </c>
      <c r="U17" s="79">
        <f>IFERROR(VLOOKUP($C17,'[15]2024 COBs'!$AA:$AK,6,0),"")</f>
        <v>9086.25</v>
      </c>
      <c r="V17" s="79">
        <f>IFERROR((VLOOKUP($C17,'[15]2024 COBs'!$AA:$AK,8,0)+VLOOKUP($C17,'[15]2024 COBs'!$AA:$AK,9,0)+VLOOKUP($C17,'[15]2024 COBs'!$AA:$AK,10,0)+VLOOKUP($C17,'[15]2024 COBs'!$AA:$AK,11,0))*18%,"")</f>
        <v>567</v>
      </c>
      <c r="W17" s="79">
        <f>IFERROR((VLOOKUP($C17,'[15]2024 COBs'!$AA:$AK,8,0)+VLOOKUP($C17,'[15]2024 COBs'!$AA:$AK,9,0)+VLOOKUP($C17,'[15]2024 COBs'!$AA:$AK,10,0)+VLOOKUP($C17,'[15]2024 COBs'!$AA:$AK,11,0))*27%,"")</f>
        <v>850.5</v>
      </c>
      <c r="X17" s="79">
        <f>IFERROR((VLOOKUP($C17,'[15]2024 COBs'!$AA:$AK,8,0)+VLOOKUP($C17,'[15]2024 COBs'!$AA:$AK,9,0)+VLOOKUP($C17,'[15]2024 COBs'!$AA:$AK,10,0)+VLOOKUP($C17,'[15]2024 COBs'!$AA:$AK,11,0))*14%,"")</f>
        <v>441.00000000000006</v>
      </c>
      <c r="Y17" s="79">
        <f>IFERROR(VLOOKUP($C17,'[15]2024 COBs'!$AA:$AK,4,0),"")</f>
        <v>3000</v>
      </c>
      <c r="Z17" s="80">
        <f t="shared" si="2"/>
        <v>22500</v>
      </c>
      <c r="AF17" s="76" t="s">
        <v>445</v>
      </c>
      <c r="AG17" s="76" t="s">
        <v>445</v>
      </c>
      <c r="AH17" s="78" t="s">
        <v>446</v>
      </c>
      <c r="AI17" s="78" t="s">
        <v>394</v>
      </c>
      <c r="AJ17" s="78"/>
      <c r="AK17" s="78"/>
      <c r="AL17" s="78">
        <v>5</v>
      </c>
      <c r="AM17" s="77" t="s">
        <v>421</v>
      </c>
      <c r="AN17" s="77" t="s">
        <v>439</v>
      </c>
      <c r="AO17" s="79"/>
      <c r="AP17" s="79"/>
      <c r="AQ17" s="79"/>
      <c r="AR17" s="79"/>
      <c r="AS17" s="79"/>
      <c r="AT17" s="79"/>
      <c r="AU17" s="79"/>
      <c r="AV17" s="79"/>
      <c r="AW17" s="79"/>
      <c r="AX17" s="79"/>
      <c r="AY17" s="79"/>
      <c r="AZ17" s="80">
        <f t="shared" si="3"/>
        <v>0</v>
      </c>
      <c r="BF17" s="65" t="s">
        <v>185</v>
      </c>
      <c r="BG17" s="65" t="s">
        <v>447</v>
      </c>
      <c r="BH17" s="65">
        <v>1</v>
      </c>
      <c r="BK17" s="65" t="s">
        <v>437</v>
      </c>
      <c r="BL17" s="65" t="s">
        <v>397</v>
      </c>
      <c r="BM17" s="65" t="s">
        <v>398</v>
      </c>
      <c r="BN17" s="65">
        <v>1</v>
      </c>
    </row>
    <row r="18" spans="2:66" x14ac:dyDescent="0.25">
      <c r="B18" s="76" t="s">
        <v>170</v>
      </c>
      <c r="C18" s="76" t="s">
        <v>170</v>
      </c>
      <c r="D18" s="77" t="s">
        <v>448</v>
      </c>
      <c r="E18" s="77" t="s">
        <v>388</v>
      </c>
      <c r="F18" s="77"/>
      <c r="G18" s="77"/>
      <c r="H18" s="77">
        <v>3</v>
      </c>
      <c r="I18" s="77" t="s">
        <v>401</v>
      </c>
      <c r="J18" s="77" t="s">
        <v>395</v>
      </c>
      <c r="K18" s="77" t="s">
        <v>17</v>
      </c>
      <c r="L18" s="78" t="str">
        <f t="shared" si="0"/>
        <v>Yes</v>
      </c>
      <c r="M18" s="77" t="str" cm="1">
        <f t="array" ref="M18">IF(OR(UPPER(TRIM($C18))="BRAZIL",UPPER(TRIM($C18))="INDIA",UPPER(TRIM($C18))="PHILIPPINES"),
   "UNDP OP8 COB - RPA",
   IFERROR(
     VLOOKUP($C18,$BF:$BG,2,0),
     _xlfn.SWITCH(UPPER(TRIM($K18)),
       "N/A","N/A",
       "VACANT","UNDP OP8 COB - Vacant",
       "UNDP","UNDP OP8 COB - UNDP CO",
       "UN COMPOUND","UNDP OP8 COB - UN Compound",
       "UNDP - WFH","UNDP OP8 COB - UNDP WFH",
"UNICEF","UNDP OP8 COB - UNICEF",
       "NHI","n.End of June 2026",
       "PRIVATE LEASE","k.End of Mar 2026",
       ""
     )
   )
)</f>
        <v>n.End of June 2026</v>
      </c>
      <c r="N18" s="77" t="str">
        <f t="shared" si="1"/>
        <v>UNOPS Action</v>
      </c>
      <c r="O18" s="79">
        <f>IFERROR(VLOOKUP($C18,'[15]2024 COBs'!$AA:$AK,5,0),"")</f>
        <v>6958.2</v>
      </c>
      <c r="P18" s="79">
        <f>IFERROR((VLOOKUP($C18,'[15]2024 COBs'!$AA:$AK,8,0)+VLOOKUP($C18,'[15]2024 COBs'!$AA:$AK,9,0)+VLOOKUP($C18,'[15]2024 COBs'!$AA:$AK,10,0)+VLOOKUP($C18,'[15]2024 COBs'!$AA:$AK,11,0))*5%,"")</f>
        <v>75</v>
      </c>
      <c r="Q18" s="79">
        <f>IFERROR((VLOOKUP($C18,'[15]2024 COBs'!$AA:$AK,8,0)+VLOOKUP($C18,'[15]2024 COBs'!$AA:$AK,9,0)+VLOOKUP($C18,'[15]2024 COBs'!$AA:$AK,10,0)+VLOOKUP($C18,'[15]2024 COBs'!$AA:$AK,11,0))*16%,"")</f>
        <v>240</v>
      </c>
      <c r="R18" s="79"/>
      <c r="S18" s="79">
        <f>IFERROR(VLOOKUP($C18,'[15]2024 COBs'!$AA:$AK,7,0),"")</f>
        <v>0</v>
      </c>
      <c r="T18" s="79">
        <f>IFERROR((VLOOKUP($C18,'[15]2024 COBs'!$AA:$AK,8,0)+VLOOKUP($C18,'[15]2024 COBs'!$AA:$AK,9,0)+VLOOKUP($C18,'[15]2024 COBs'!$AA:$AK,10,0)+VLOOKUP($C18,'[15]2024 COBs'!$AA:$AK,11,0))*20%,"")</f>
        <v>300</v>
      </c>
      <c r="U18" s="79">
        <f>IFERROR(VLOOKUP($C18,'[15]2024 COBs'!$AA:$AK,6,0),"")</f>
        <v>3000</v>
      </c>
      <c r="V18" s="79">
        <f>IFERROR((VLOOKUP($C18,'[15]2024 COBs'!$AA:$AK,8,0)+VLOOKUP($C18,'[15]2024 COBs'!$AA:$AK,9,0)+VLOOKUP($C18,'[15]2024 COBs'!$AA:$AK,10,0)+VLOOKUP($C18,'[15]2024 COBs'!$AA:$AK,11,0))*18%,"")</f>
        <v>270</v>
      </c>
      <c r="W18" s="79">
        <f>IFERROR((VLOOKUP($C18,'[15]2024 COBs'!$AA:$AK,8,0)+VLOOKUP($C18,'[15]2024 COBs'!$AA:$AK,9,0)+VLOOKUP($C18,'[15]2024 COBs'!$AA:$AK,10,0)+VLOOKUP($C18,'[15]2024 COBs'!$AA:$AK,11,0))*27%,"")</f>
        <v>405</v>
      </c>
      <c r="X18" s="79">
        <f>IFERROR((VLOOKUP($C18,'[15]2024 COBs'!$AA:$AK,8,0)+VLOOKUP($C18,'[15]2024 COBs'!$AA:$AK,9,0)+VLOOKUP($C18,'[15]2024 COBs'!$AA:$AK,10,0)+VLOOKUP($C18,'[15]2024 COBs'!$AA:$AK,11,0))*14%,"")</f>
        <v>210.00000000000003</v>
      </c>
      <c r="Y18" s="79">
        <f>IFERROR(VLOOKUP($C18,'[15]2024 COBs'!$AA:$AK,4,0),"")</f>
        <v>3194.4</v>
      </c>
      <c r="Z18" s="80">
        <f t="shared" si="2"/>
        <v>14652.6</v>
      </c>
      <c r="AF18" s="76" t="s">
        <v>191</v>
      </c>
      <c r="AG18" s="76" t="s">
        <v>191</v>
      </c>
      <c r="AH18" s="78" t="s">
        <v>449</v>
      </c>
      <c r="AI18" s="78" t="s">
        <v>394</v>
      </c>
      <c r="AJ18" s="78"/>
      <c r="AK18" s="78"/>
      <c r="AL18" s="78">
        <v>3</v>
      </c>
      <c r="AM18" s="77" t="s">
        <v>401</v>
      </c>
      <c r="AN18" s="77" t="s">
        <v>390</v>
      </c>
      <c r="AO18" s="79"/>
      <c r="AP18" s="79"/>
      <c r="AQ18" s="79"/>
      <c r="AR18" s="79"/>
      <c r="AS18" s="79"/>
      <c r="AT18" s="79"/>
      <c r="AU18" s="79"/>
      <c r="AV18" s="79"/>
      <c r="AW18" s="79"/>
      <c r="AX18" s="79"/>
      <c r="AY18" s="79"/>
      <c r="AZ18" s="80">
        <f t="shared" si="3"/>
        <v>0</v>
      </c>
      <c r="BF18" s="65" t="s">
        <v>188</v>
      </c>
      <c r="BG18" s="65" t="s">
        <v>396</v>
      </c>
      <c r="BH18" s="65">
        <v>1</v>
      </c>
      <c r="BK18" s="65" t="s">
        <v>168</v>
      </c>
      <c r="BL18" s="65" t="s">
        <v>397</v>
      </c>
      <c r="BM18" s="65" t="s">
        <v>398</v>
      </c>
      <c r="BN18" s="65">
        <v>1</v>
      </c>
    </row>
    <row r="19" spans="2:66" x14ac:dyDescent="0.25">
      <c r="B19" s="76" t="s">
        <v>450</v>
      </c>
      <c r="C19" s="76" t="s">
        <v>450</v>
      </c>
      <c r="D19" s="77" t="s">
        <v>451</v>
      </c>
      <c r="E19" s="77" t="s">
        <v>408</v>
      </c>
      <c r="F19" s="77"/>
      <c r="G19" s="77"/>
      <c r="H19" s="77">
        <v>2</v>
      </c>
      <c r="I19" s="77" t="s">
        <v>389</v>
      </c>
      <c r="J19" s="77" t="s">
        <v>390</v>
      </c>
      <c r="K19" s="77" t="s">
        <v>391</v>
      </c>
      <c r="L19" s="78" t="str">
        <f t="shared" si="0"/>
        <v/>
      </c>
      <c r="M19" s="77" t="str" cm="1">
        <f t="array" ref="M19">IF(OR(UPPER(TRIM($C19))="BRAZIL",UPPER(TRIM($C19))="INDIA",UPPER(TRIM($C19))="PHILIPPINES"),
   "UNDP OP8 COB - RPA",
   IFERROR(
     VLOOKUP($C19,$BF:$BG,2,0),
     _xlfn.SWITCH(UPPER(TRIM($K19)),
       "N/A","N/A",
       "VACANT","UNDP OP8 COB - Vacant",
       "UNDP","UNDP OP8 COB - UNDP CO",
       "UN COMPOUND","UNDP OP8 COB - UN Compound",
       "UNDP - WFH","UNDP OP8 COB - UNDP WFH",
"UNICEF","UNDP OP8 COB - UNICEF",
       "NHI","n.End of June 2026",
       "PRIVATE LEASE","k.End of Mar 2026",
       ""
     )
   )
)</f>
        <v>UNDP OP8 COB - Vacant</v>
      </c>
      <c r="N19" s="77" t="str">
        <f t="shared" si="1"/>
        <v>UNDP Action</v>
      </c>
      <c r="O19" s="79">
        <f>IFERROR(VLOOKUP($C19,'[15]2024 COBs'!$AA:$AK,5,0),"")</f>
        <v>8604.9880036294471</v>
      </c>
      <c r="P19" s="79">
        <f>IFERROR((VLOOKUP($C19,'[15]2024 COBs'!$AA:$AK,8,0)+VLOOKUP($C19,'[15]2024 COBs'!$AA:$AK,9,0)+VLOOKUP($C19,'[15]2024 COBs'!$AA:$AK,10,0)+VLOOKUP($C19,'[15]2024 COBs'!$AA:$AK,11,0))*5%,"")</f>
        <v>275.52134280621465</v>
      </c>
      <c r="Q19" s="79">
        <f>IFERROR((VLOOKUP($C19,'[15]2024 COBs'!$AA:$AK,8,0)+VLOOKUP($C19,'[15]2024 COBs'!$AA:$AK,9,0)+VLOOKUP($C19,'[15]2024 COBs'!$AA:$AK,10,0)+VLOOKUP($C19,'[15]2024 COBs'!$AA:$AK,11,0))*16%,"")</f>
        <v>881.6682969798868</v>
      </c>
      <c r="R19" s="79"/>
      <c r="S19" s="79">
        <f>IFERROR(VLOOKUP($C19,'[15]2024 COBs'!$AA:$AK,7,0),"")</f>
        <v>455.77703546194442</v>
      </c>
      <c r="T19" s="79">
        <f>IFERROR((VLOOKUP($C19,'[15]2024 COBs'!$AA:$AK,8,0)+VLOOKUP($C19,'[15]2024 COBs'!$AA:$AK,9,0)+VLOOKUP($C19,'[15]2024 COBs'!$AA:$AK,10,0)+VLOOKUP($C19,'[15]2024 COBs'!$AA:$AK,11,0))*20%,"")</f>
        <v>1102.0853712248586</v>
      </c>
      <c r="U19" s="79">
        <f>IFERROR(VLOOKUP($C19,'[15]2024 COBs'!$AA:$AK,6,0),"")</f>
        <v>11234.887044752235</v>
      </c>
      <c r="V19" s="79">
        <f>IFERROR((VLOOKUP($C19,'[15]2024 COBs'!$AA:$AK,8,0)+VLOOKUP($C19,'[15]2024 COBs'!$AA:$AK,9,0)+VLOOKUP($C19,'[15]2024 COBs'!$AA:$AK,10,0)+VLOOKUP($C19,'[15]2024 COBs'!$AA:$AK,11,0))*18%,"")</f>
        <v>991.87683410237264</v>
      </c>
      <c r="W19" s="79">
        <f>IFERROR((VLOOKUP($C19,'[15]2024 COBs'!$AA:$AK,8,0)+VLOOKUP($C19,'[15]2024 COBs'!$AA:$AK,9,0)+VLOOKUP($C19,'[15]2024 COBs'!$AA:$AK,10,0)+VLOOKUP($C19,'[15]2024 COBs'!$AA:$AK,11,0))*27%,"")</f>
        <v>1487.8152511535591</v>
      </c>
      <c r="X19" s="79">
        <f>IFERROR((VLOOKUP($C19,'[15]2024 COBs'!$AA:$AK,8,0)+VLOOKUP($C19,'[15]2024 COBs'!$AA:$AK,9,0)+VLOOKUP($C19,'[15]2024 COBs'!$AA:$AK,10,0)+VLOOKUP($C19,'[15]2024 COBs'!$AA:$AK,11,0))*14%,"")</f>
        <v>771.45975985740097</v>
      </c>
      <c r="Y19" s="79">
        <f>IFERROR(VLOOKUP($C19,'[15]2024 COBs'!$AA:$AK,4,0),"")</f>
        <v>3665.7119680711562</v>
      </c>
      <c r="Z19" s="80">
        <f t="shared" si="2"/>
        <v>29471.790908039075</v>
      </c>
      <c r="AF19" s="76" t="s">
        <v>452</v>
      </c>
      <c r="AG19" s="76" t="s">
        <v>453</v>
      </c>
      <c r="AH19" s="78" t="s">
        <v>454</v>
      </c>
      <c r="AI19" s="78" t="s">
        <v>394</v>
      </c>
      <c r="AJ19" s="78"/>
      <c r="AK19" s="78"/>
      <c r="AL19" s="78">
        <v>3</v>
      </c>
      <c r="AM19" s="77" t="s">
        <v>389</v>
      </c>
      <c r="AN19" s="77" t="s">
        <v>395</v>
      </c>
      <c r="AO19" s="79"/>
      <c r="AP19" s="79"/>
      <c r="AQ19" s="79"/>
      <c r="AR19" s="79"/>
      <c r="AS19" s="79"/>
      <c r="AT19" s="79"/>
      <c r="AU19" s="79"/>
      <c r="AV19" s="79"/>
      <c r="AW19" s="79"/>
      <c r="AX19" s="79"/>
      <c r="AY19" s="79"/>
      <c r="AZ19" s="80">
        <f t="shared" si="3"/>
        <v>0</v>
      </c>
      <c r="BF19" s="65" t="s">
        <v>136</v>
      </c>
      <c r="BG19" s="65" t="s">
        <v>455</v>
      </c>
      <c r="BH19" s="65">
        <v>1</v>
      </c>
      <c r="BK19" s="65" t="s">
        <v>169</v>
      </c>
      <c r="BL19" s="65" t="s">
        <v>397</v>
      </c>
      <c r="BM19" s="65" t="s">
        <v>456</v>
      </c>
      <c r="BN19" s="65">
        <v>1</v>
      </c>
    </row>
    <row r="20" spans="2:66" x14ac:dyDescent="0.25">
      <c r="B20" s="76" t="s">
        <v>457</v>
      </c>
      <c r="C20" s="76" t="s">
        <v>457</v>
      </c>
      <c r="D20" s="77" t="s">
        <v>458</v>
      </c>
      <c r="E20" s="77" t="s">
        <v>400</v>
      </c>
      <c r="F20" s="77"/>
      <c r="G20" s="77"/>
      <c r="H20" s="77">
        <v>5</v>
      </c>
      <c r="I20" s="77" t="s">
        <v>421</v>
      </c>
      <c r="J20" s="77" t="s">
        <v>439</v>
      </c>
      <c r="K20" s="77" t="s">
        <v>422</v>
      </c>
      <c r="L20" s="78" t="str">
        <f t="shared" si="0"/>
        <v/>
      </c>
      <c r="M20" s="77" t="str" cm="1">
        <f t="array" ref="M20">IF(OR(UPPER(TRIM($C20))="BRAZIL",UPPER(TRIM($C20))="INDIA",UPPER(TRIM($C20))="PHILIPPINES"),
   "UNDP OP8 COB - RPA",
   IFERROR(
     VLOOKUP($C20,$BF:$BG,2,0),
     _xlfn.SWITCH(UPPER(TRIM($K20)),
       "N/A","N/A",
       "VACANT","UNDP OP8 COB - Vacant",
       "UNDP","UNDP OP8 COB - UNDP CO",
       "UN COMPOUND","UNDP OP8 COB - UN Compound",
       "UNDP - WFH","UNDP OP8 COB - UNDP WFH",
"UNICEF","UNDP OP8 COB - UNICEF",
       "NHI","n.End of June 2026",
       "PRIVATE LEASE","k.End of Mar 2026",
       ""
     )
   )
)</f>
        <v>N/A</v>
      </c>
      <c r="N20" s="77" t="str">
        <f t="shared" si="1"/>
        <v>N/A</v>
      </c>
      <c r="O20" s="79" t="str">
        <f>IFERROR(VLOOKUP($C20,'[15]2024 COBs'!$AA:$AK,5,0),"")</f>
        <v/>
      </c>
      <c r="P20" s="79" t="str">
        <f>IFERROR((VLOOKUP($C20,'[15]2024 COBs'!$AA:$AK,8,0)+VLOOKUP($C20,'[15]2024 COBs'!$AA:$AK,9,0)+VLOOKUP($C20,'[15]2024 COBs'!$AA:$AK,10,0)+VLOOKUP($C20,'[15]2024 COBs'!$AA:$AK,11,0))*5%,"")</f>
        <v/>
      </c>
      <c r="Q20" s="79" t="str">
        <f>IFERROR((VLOOKUP($C20,'[15]2024 COBs'!$AA:$AK,8,0)+VLOOKUP($C20,'[15]2024 COBs'!$AA:$AK,9,0)+VLOOKUP($C20,'[15]2024 COBs'!$AA:$AK,10,0)+VLOOKUP($C20,'[15]2024 COBs'!$AA:$AK,11,0))*16%,"")</f>
        <v/>
      </c>
      <c r="R20" s="79"/>
      <c r="S20" s="79" t="str">
        <f>IFERROR(VLOOKUP($C20,'[15]2024 COBs'!$AA:$AK,7,0),"")</f>
        <v/>
      </c>
      <c r="T20" s="79" t="str">
        <f>IFERROR((VLOOKUP($C20,'[15]2024 COBs'!$AA:$AK,8,0)+VLOOKUP($C20,'[15]2024 COBs'!$AA:$AK,9,0)+VLOOKUP($C20,'[15]2024 COBs'!$AA:$AK,10,0)+VLOOKUP($C20,'[15]2024 COBs'!$AA:$AK,11,0))*20%,"")</f>
        <v/>
      </c>
      <c r="U20" s="79" t="str">
        <f>IFERROR(VLOOKUP($C20,'[15]2024 COBs'!$AA:$AK,6,0),"")</f>
        <v/>
      </c>
      <c r="V20" s="79" t="str">
        <f>IFERROR((VLOOKUP($C20,'[15]2024 COBs'!$AA:$AK,8,0)+VLOOKUP($C20,'[15]2024 COBs'!$AA:$AK,9,0)+VLOOKUP($C20,'[15]2024 COBs'!$AA:$AK,10,0)+VLOOKUP($C20,'[15]2024 COBs'!$AA:$AK,11,0))*18%,"")</f>
        <v/>
      </c>
      <c r="W20" s="79" t="str">
        <f>IFERROR((VLOOKUP($C20,'[15]2024 COBs'!$AA:$AK,8,0)+VLOOKUP($C20,'[15]2024 COBs'!$AA:$AK,9,0)+VLOOKUP($C20,'[15]2024 COBs'!$AA:$AK,10,0)+VLOOKUP($C20,'[15]2024 COBs'!$AA:$AK,11,0))*27%,"")</f>
        <v/>
      </c>
      <c r="X20" s="79" t="str">
        <f>IFERROR((VLOOKUP($C20,'[15]2024 COBs'!$AA:$AK,8,0)+VLOOKUP($C20,'[15]2024 COBs'!$AA:$AK,9,0)+VLOOKUP($C20,'[15]2024 COBs'!$AA:$AK,10,0)+VLOOKUP($C20,'[15]2024 COBs'!$AA:$AK,11,0))*14%,"")</f>
        <v/>
      </c>
      <c r="Y20" s="79" t="str">
        <f>IFERROR(VLOOKUP($C20,'[15]2024 COBs'!$AA:$AK,4,0),"")</f>
        <v/>
      </c>
      <c r="Z20" s="80">
        <f t="shared" si="2"/>
        <v>0</v>
      </c>
      <c r="AF20" s="76" t="s">
        <v>192</v>
      </c>
      <c r="AG20" s="76" t="s">
        <v>192</v>
      </c>
      <c r="AH20" s="78" t="s">
        <v>459</v>
      </c>
      <c r="AI20" s="78" t="s">
        <v>394</v>
      </c>
      <c r="AJ20" s="78"/>
      <c r="AK20" s="78"/>
      <c r="AL20" s="78">
        <v>2</v>
      </c>
      <c r="AM20" s="77" t="s">
        <v>401</v>
      </c>
      <c r="AN20" s="77" t="s">
        <v>390</v>
      </c>
      <c r="AO20" s="79"/>
      <c r="AP20" s="79"/>
      <c r="AQ20" s="79"/>
      <c r="AR20" s="79"/>
      <c r="AS20" s="79"/>
      <c r="AT20" s="79"/>
      <c r="AU20" s="79"/>
      <c r="AV20" s="79"/>
      <c r="AW20" s="79"/>
      <c r="AX20" s="79"/>
      <c r="AY20" s="79"/>
      <c r="AZ20" s="80">
        <f t="shared" si="3"/>
        <v>0</v>
      </c>
      <c r="BF20" s="65" t="s">
        <v>191</v>
      </c>
      <c r="BG20" s="65" t="s">
        <v>396</v>
      </c>
      <c r="BH20" s="65">
        <v>1</v>
      </c>
      <c r="BK20" s="65" t="s">
        <v>169</v>
      </c>
      <c r="BL20" s="65" t="s">
        <v>411</v>
      </c>
      <c r="BM20" s="65" t="s">
        <v>396</v>
      </c>
      <c r="BN20" s="65">
        <v>1</v>
      </c>
    </row>
    <row r="21" spans="2:66" x14ac:dyDescent="0.25">
      <c r="B21" s="76" t="s">
        <v>171</v>
      </c>
      <c r="C21" s="76" t="s">
        <v>171</v>
      </c>
      <c r="D21" s="77" t="s">
        <v>405</v>
      </c>
      <c r="E21" s="77" t="s">
        <v>394</v>
      </c>
      <c r="F21" s="77"/>
      <c r="G21" s="77"/>
      <c r="H21" s="77">
        <v>2</v>
      </c>
      <c r="I21" s="77" t="s">
        <v>401</v>
      </c>
      <c r="J21" s="77" t="s">
        <v>390</v>
      </c>
      <c r="K21" s="77" t="s">
        <v>17</v>
      </c>
      <c r="L21" s="78" t="str">
        <f t="shared" si="0"/>
        <v>Yes</v>
      </c>
      <c r="M21" s="77" t="str" cm="1">
        <f t="array" ref="M21">IF(OR(UPPER(TRIM($C21))="BRAZIL",UPPER(TRIM($C21))="INDIA",UPPER(TRIM($C21))="PHILIPPINES"),
   "UNDP OP8 COB - RPA",
   IFERROR(
     VLOOKUP($C21,$BF:$BG,2,0),
     _xlfn.SWITCH(UPPER(TRIM($K21)),
       "N/A","N/A",
       "VACANT","UNDP OP8 COB - Vacant",
       "UNDP","UNDP OP8 COB - UNDP CO",
       "UN COMPOUND","UNDP OP8 COB - UN Compound",
       "UNDP - WFH","UNDP OP8 COB - UNDP WFH",
"UNICEF","UNDP OP8 COB - UNICEF",
       "NHI","n.End of June 2026",
       "PRIVATE LEASE","k.End of Mar 2026",
       ""
     )
   )
)</f>
        <v>k.End of Mar 2026</v>
      </c>
      <c r="N21" s="77" t="str">
        <f t="shared" si="1"/>
        <v>UNOPS Action</v>
      </c>
      <c r="O21" s="79">
        <f>IFERROR(VLOOKUP($C21,'[15]2024 COBs'!$AA:$AK,5,0),"")</f>
        <v>10500</v>
      </c>
      <c r="P21" s="79">
        <f>IFERROR((VLOOKUP($C21,'[15]2024 COBs'!$AA:$AK,8,0)+VLOOKUP($C21,'[15]2024 COBs'!$AA:$AK,9,0)+VLOOKUP($C21,'[15]2024 COBs'!$AA:$AK,10,0)+VLOOKUP($C21,'[15]2024 COBs'!$AA:$AK,11,0))*5%,"")</f>
        <v>223.5</v>
      </c>
      <c r="Q21" s="79">
        <f>IFERROR((VLOOKUP($C21,'[15]2024 COBs'!$AA:$AK,8,0)+VLOOKUP($C21,'[15]2024 COBs'!$AA:$AK,9,0)+VLOOKUP($C21,'[15]2024 COBs'!$AA:$AK,10,0)+VLOOKUP($C21,'[15]2024 COBs'!$AA:$AK,11,0))*16%,"")</f>
        <v>715.2</v>
      </c>
      <c r="R21" s="79"/>
      <c r="S21" s="79">
        <f>IFERROR(VLOOKUP($C21,'[15]2024 COBs'!$AA:$AK,7,0),"")</f>
        <v>180</v>
      </c>
      <c r="T21" s="79">
        <f>IFERROR((VLOOKUP($C21,'[15]2024 COBs'!$AA:$AK,8,0)+VLOOKUP($C21,'[15]2024 COBs'!$AA:$AK,9,0)+VLOOKUP($C21,'[15]2024 COBs'!$AA:$AK,10,0)+VLOOKUP($C21,'[15]2024 COBs'!$AA:$AK,11,0))*20%,"")</f>
        <v>894</v>
      </c>
      <c r="U21" s="79">
        <f>IFERROR(VLOOKUP($C21,'[15]2024 COBs'!$AA:$AK,6,0),"")</f>
        <v>6000</v>
      </c>
      <c r="V21" s="79">
        <f>IFERROR((VLOOKUP($C21,'[15]2024 COBs'!$AA:$AK,8,0)+VLOOKUP($C21,'[15]2024 COBs'!$AA:$AK,9,0)+VLOOKUP($C21,'[15]2024 COBs'!$AA:$AK,10,0)+VLOOKUP($C21,'[15]2024 COBs'!$AA:$AK,11,0))*18%,"")</f>
        <v>804.6</v>
      </c>
      <c r="W21" s="79">
        <f>IFERROR((VLOOKUP($C21,'[15]2024 COBs'!$AA:$AK,8,0)+VLOOKUP($C21,'[15]2024 COBs'!$AA:$AK,9,0)+VLOOKUP($C21,'[15]2024 COBs'!$AA:$AK,10,0)+VLOOKUP($C21,'[15]2024 COBs'!$AA:$AK,11,0))*27%,"")</f>
        <v>1206.9000000000001</v>
      </c>
      <c r="X21" s="79">
        <f>IFERROR((VLOOKUP($C21,'[15]2024 COBs'!$AA:$AK,8,0)+VLOOKUP($C21,'[15]2024 COBs'!$AA:$AK,9,0)+VLOOKUP($C21,'[15]2024 COBs'!$AA:$AK,10,0)+VLOOKUP($C21,'[15]2024 COBs'!$AA:$AK,11,0))*14%,"")</f>
        <v>625.80000000000007</v>
      </c>
      <c r="Y21" s="79">
        <f>IFERROR(VLOOKUP($C21,'[15]2024 COBs'!$AA:$AK,4,0),"")</f>
        <v>12600</v>
      </c>
      <c r="Z21" s="80">
        <f t="shared" si="2"/>
        <v>33750</v>
      </c>
      <c r="AF21" s="76" t="s">
        <v>195</v>
      </c>
      <c r="AG21" s="76" t="s">
        <v>195</v>
      </c>
      <c r="AH21" s="78" t="s">
        <v>460</v>
      </c>
      <c r="AI21" s="78" t="s">
        <v>394</v>
      </c>
      <c r="AJ21" s="78"/>
      <c r="AK21" s="78"/>
      <c r="AL21" s="78">
        <v>3</v>
      </c>
      <c r="AM21" s="77" t="s">
        <v>401</v>
      </c>
      <c r="AN21" s="77" t="s">
        <v>390</v>
      </c>
      <c r="AO21" s="79"/>
      <c r="AP21" s="79"/>
      <c r="AQ21" s="79"/>
      <c r="AR21" s="79"/>
      <c r="AS21" s="79"/>
      <c r="AT21" s="79"/>
      <c r="AU21" s="79"/>
      <c r="AV21" s="79"/>
      <c r="AW21" s="79"/>
      <c r="AX21" s="79"/>
      <c r="AY21" s="79"/>
      <c r="AZ21" s="80">
        <f t="shared" si="3"/>
        <v>0</v>
      </c>
      <c r="BF21" s="65" t="s">
        <v>194</v>
      </c>
      <c r="BG21" s="65" t="s">
        <v>396</v>
      </c>
      <c r="BH21" s="65">
        <v>1</v>
      </c>
      <c r="BK21" s="65" t="s">
        <v>170</v>
      </c>
      <c r="BL21" s="65" t="s">
        <v>397</v>
      </c>
      <c r="BM21" s="65" t="s">
        <v>461</v>
      </c>
      <c r="BN21" s="65">
        <v>1</v>
      </c>
    </row>
    <row r="22" spans="2:66" x14ac:dyDescent="0.25">
      <c r="B22" s="76" t="s">
        <v>126</v>
      </c>
      <c r="C22" s="76" t="s">
        <v>126</v>
      </c>
      <c r="D22" s="77" t="s">
        <v>462</v>
      </c>
      <c r="E22" s="77" t="s">
        <v>408</v>
      </c>
      <c r="F22" s="77"/>
      <c r="G22" s="77" t="s">
        <v>463</v>
      </c>
      <c r="H22" s="77">
        <v>4</v>
      </c>
      <c r="I22" s="77" t="s">
        <v>401</v>
      </c>
      <c r="J22" s="77" t="s">
        <v>390</v>
      </c>
      <c r="K22" s="77" t="s">
        <v>463</v>
      </c>
      <c r="L22" s="78" t="str">
        <f t="shared" si="0"/>
        <v/>
      </c>
      <c r="M22" s="77" t="str" cm="1">
        <f t="array" ref="M22">IF(OR(UPPER(TRIM($C22))="BRAZIL",UPPER(TRIM($C22))="INDIA",UPPER(TRIM($C22))="PHILIPPINES"),
   "UNDP OP8 COB - RPA",
   IFERROR(
     VLOOKUP($C22,$BF:$BG,2,0),
     _xlfn.SWITCH(UPPER(TRIM($K22)),
       "N/A","N/A",
       "VACANT","UNDP OP8 COB - Vacant",
       "UNDP","UNDP OP8 COB - UNDP CO",
       "UN COMPOUND","UNDP OP8 COB - UN Compound",
       "UNDP - WFH","UNDP OP8 COB - UNDP WFH",
"UNICEF","UNDP OP8 COB - UNICEF",
       "NHI","n.End of June 2026",
       "PRIVATE LEASE","k.End of Mar 2026",
       ""
     )
   )
)</f>
        <v>UNDP OP8 COB - RPA</v>
      </c>
      <c r="N22" s="77" t="str">
        <f t="shared" si="1"/>
        <v>UNDP Action</v>
      </c>
      <c r="O22" s="79"/>
      <c r="P22" s="79"/>
      <c r="Q22" s="79"/>
      <c r="R22" s="79"/>
      <c r="S22" s="79"/>
      <c r="T22" s="79"/>
      <c r="U22" s="79"/>
      <c r="V22" s="79"/>
      <c r="W22" s="79"/>
      <c r="X22" s="79"/>
      <c r="Y22" s="79"/>
      <c r="Z22" s="80" t="s">
        <v>464</v>
      </c>
      <c r="AF22" s="76" t="s">
        <v>196</v>
      </c>
      <c r="AG22" s="76" t="s">
        <v>196</v>
      </c>
      <c r="AH22" s="78" t="s">
        <v>465</v>
      </c>
      <c r="AI22" s="78" t="s">
        <v>394</v>
      </c>
      <c r="AJ22" s="78"/>
      <c r="AK22" s="78"/>
      <c r="AL22" s="78">
        <v>2</v>
      </c>
      <c r="AM22" s="77" t="s">
        <v>401</v>
      </c>
      <c r="AN22" s="77" t="s">
        <v>390</v>
      </c>
      <c r="AO22" s="79"/>
      <c r="AP22" s="79"/>
      <c r="AQ22" s="79"/>
      <c r="AR22" s="79"/>
      <c r="AS22" s="79"/>
      <c r="AT22" s="79"/>
      <c r="AU22" s="79"/>
      <c r="AV22" s="79"/>
      <c r="AW22" s="79"/>
      <c r="AX22" s="79"/>
      <c r="AY22" s="79"/>
      <c r="AZ22" s="80">
        <f t="shared" si="3"/>
        <v>0</v>
      </c>
      <c r="BF22" s="65" t="s">
        <v>195</v>
      </c>
      <c r="BG22" s="65" t="s">
        <v>415</v>
      </c>
      <c r="BH22" s="65">
        <v>1</v>
      </c>
      <c r="BK22" s="65" t="s">
        <v>170</v>
      </c>
      <c r="BL22" s="65" t="s">
        <v>411</v>
      </c>
      <c r="BM22" s="65" t="s">
        <v>396</v>
      </c>
      <c r="BN22" s="65">
        <v>1</v>
      </c>
    </row>
    <row r="23" spans="2:66" x14ac:dyDescent="0.25">
      <c r="B23" s="76" t="s">
        <v>172</v>
      </c>
      <c r="C23" s="76" t="s">
        <v>172</v>
      </c>
      <c r="D23" s="77" t="s">
        <v>406</v>
      </c>
      <c r="E23" s="77" t="s">
        <v>394</v>
      </c>
      <c r="F23" s="77"/>
      <c r="G23" s="77"/>
      <c r="H23" s="77">
        <v>1</v>
      </c>
      <c r="I23" s="77" t="s">
        <v>401</v>
      </c>
      <c r="J23" s="77" t="s">
        <v>390</v>
      </c>
      <c r="K23" s="77" t="s">
        <v>425</v>
      </c>
      <c r="L23" s="78" t="str">
        <f t="shared" si="0"/>
        <v/>
      </c>
      <c r="M23" s="77" t="str" cm="1">
        <f t="array" ref="M23">IF(OR(UPPER(TRIM($C23))="BRAZIL",UPPER(TRIM($C23))="INDIA",UPPER(TRIM($C23))="PHILIPPINES"),
   "UNDP OP8 COB - RPA",
   IFERROR(
     VLOOKUP($C23,$BF:$BG,2,0),
     _xlfn.SWITCH(UPPER(TRIM($K23)),
       "N/A","N/A",
       "VACANT","UNDP OP8 COB - Vacant",
       "UNDP","UNDP OP8 COB - UNDP CO",
       "UN COMPOUND","UNDP OP8 COB - UN Compound",
       "UNDP - WFH","UNDP OP8 COB - UNDP WFH",
"UNICEF","UNDP OP8 COB - UNICEF",
       "NHI","n.End of June 2026",
       "PRIVATE LEASE","k.End of Mar 2026",
       ""
     )
   )
)</f>
        <v>k.End of Mar 2026</v>
      </c>
      <c r="N23" s="77" t="str">
        <f t="shared" si="1"/>
        <v>UNOPS Action</v>
      </c>
      <c r="O23" s="79">
        <f>IFERROR(VLOOKUP($C23,'[15]2024 COBs'!$AA:$AK,5,0),"")</f>
        <v>6166.4139999999998</v>
      </c>
      <c r="P23" s="79">
        <f>IFERROR((VLOOKUP($C23,'[15]2024 COBs'!$AA:$AK,8,0)+VLOOKUP($C23,'[15]2024 COBs'!$AA:$AK,9,0)+VLOOKUP($C23,'[15]2024 COBs'!$AA:$AK,10,0)+VLOOKUP($C23,'[15]2024 COBs'!$AA:$AK,11,0))*5%,"")</f>
        <v>324.43650000000002</v>
      </c>
      <c r="Q23" s="79">
        <f>IFERROR((VLOOKUP($C23,'[15]2024 COBs'!$AA:$AK,8,0)+VLOOKUP($C23,'[15]2024 COBs'!$AA:$AK,9,0)+VLOOKUP($C23,'[15]2024 COBs'!$AA:$AK,10,0)+VLOOKUP($C23,'[15]2024 COBs'!$AA:$AK,11,0))*16%,"")</f>
        <v>1038.1967999999999</v>
      </c>
      <c r="R23" s="79"/>
      <c r="S23" s="79">
        <f>IFERROR(VLOOKUP($C23,'[15]2024 COBs'!$AA:$AK,7,0),"")</f>
        <v>424.1</v>
      </c>
      <c r="T23" s="79">
        <f>IFERROR((VLOOKUP($C23,'[15]2024 COBs'!$AA:$AK,8,0)+VLOOKUP($C23,'[15]2024 COBs'!$AA:$AK,9,0)+VLOOKUP($C23,'[15]2024 COBs'!$AA:$AK,10,0)+VLOOKUP($C23,'[15]2024 COBs'!$AA:$AK,11,0))*20%,"")</f>
        <v>1297.7460000000001</v>
      </c>
      <c r="U23" s="79">
        <f>IFERROR(VLOOKUP($C23,'[15]2024 COBs'!$AA:$AK,6,0),"")</f>
        <v>15640.808000000001</v>
      </c>
      <c r="V23" s="79">
        <f>IFERROR((VLOOKUP($C23,'[15]2024 COBs'!$AA:$AK,8,0)+VLOOKUP($C23,'[15]2024 COBs'!$AA:$AK,9,0)+VLOOKUP($C23,'[15]2024 COBs'!$AA:$AK,10,0)+VLOOKUP($C23,'[15]2024 COBs'!$AA:$AK,11,0))*18%,"")</f>
        <v>1167.9713999999999</v>
      </c>
      <c r="W23" s="79">
        <f>IFERROR((VLOOKUP($C23,'[15]2024 COBs'!$AA:$AK,8,0)+VLOOKUP($C23,'[15]2024 COBs'!$AA:$AK,9,0)+VLOOKUP($C23,'[15]2024 COBs'!$AA:$AK,10,0)+VLOOKUP($C23,'[15]2024 COBs'!$AA:$AK,11,0))*27%,"")</f>
        <v>1751.9571000000001</v>
      </c>
      <c r="X23" s="79">
        <f>IFERROR((VLOOKUP($C23,'[15]2024 COBs'!$AA:$AK,8,0)+VLOOKUP($C23,'[15]2024 COBs'!$AA:$AK,9,0)+VLOOKUP($C23,'[15]2024 COBs'!$AA:$AK,10,0)+VLOOKUP($C23,'[15]2024 COBs'!$AA:$AK,11,0))*14%,"")</f>
        <v>908.42219999999998</v>
      </c>
      <c r="Y23" s="79">
        <f>IFERROR(VLOOKUP($C23,'[15]2024 COBs'!$AA:$AK,4,0),"")</f>
        <v>5207.9480000000003</v>
      </c>
      <c r="Z23" s="80">
        <f t="shared" ref="Z23:Z62" si="4">SUM(O23:Y23)</f>
        <v>33928</v>
      </c>
      <c r="AF23" s="76" t="s">
        <v>198</v>
      </c>
      <c r="AG23" s="76" t="s">
        <v>198</v>
      </c>
      <c r="AH23" s="78" t="s">
        <v>466</v>
      </c>
      <c r="AI23" s="78" t="s">
        <v>394</v>
      </c>
      <c r="AJ23" s="78"/>
      <c r="AK23" s="78"/>
      <c r="AL23" s="78">
        <v>3</v>
      </c>
      <c r="AM23" s="77" t="s">
        <v>401</v>
      </c>
      <c r="AN23" s="77" t="s">
        <v>395</v>
      </c>
      <c r="AO23" s="79"/>
      <c r="AP23" s="79"/>
      <c r="AQ23" s="79"/>
      <c r="AR23" s="79"/>
      <c r="AS23" s="79"/>
      <c r="AT23" s="79"/>
      <c r="AU23" s="79"/>
      <c r="AV23" s="79"/>
      <c r="AW23" s="79"/>
      <c r="AX23" s="79"/>
      <c r="AY23" s="79"/>
      <c r="AZ23" s="80">
        <f t="shared" si="3"/>
        <v>0</v>
      </c>
      <c r="BF23" s="65" t="s">
        <v>196</v>
      </c>
      <c r="BG23" s="65" t="s">
        <v>396</v>
      </c>
      <c r="BH23" s="65">
        <v>1</v>
      </c>
      <c r="BK23" s="65" t="s">
        <v>171</v>
      </c>
      <c r="BL23" s="65" t="s">
        <v>397</v>
      </c>
      <c r="BM23" s="65" t="s">
        <v>398</v>
      </c>
      <c r="BN23" s="65">
        <v>1</v>
      </c>
    </row>
    <row r="24" spans="2:66" x14ac:dyDescent="0.25">
      <c r="B24" s="76" t="s">
        <v>173</v>
      </c>
      <c r="C24" s="76" t="s">
        <v>173</v>
      </c>
      <c r="D24" s="77" t="s">
        <v>410</v>
      </c>
      <c r="E24" s="77" t="s">
        <v>394</v>
      </c>
      <c r="F24" s="77"/>
      <c r="G24" s="77"/>
      <c r="H24" s="77">
        <v>2</v>
      </c>
      <c r="I24" s="77" t="s">
        <v>401</v>
      </c>
      <c r="J24" s="77" t="s">
        <v>390</v>
      </c>
      <c r="K24" s="77" t="s">
        <v>17</v>
      </c>
      <c r="L24" s="78" t="str">
        <f t="shared" si="0"/>
        <v>Yes</v>
      </c>
      <c r="M24" s="77" t="str" cm="1">
        <f t="array" ref="M24">IF(OR(UPPER(TRIM($C24))="BRAZIL",UPPER(TRIM($C24))="INDIA",UPPER(TRIM($C24))="PHILIPPINES"),
   "UNDP OP8 COB - RPA",
   IFERROR(
     VLOOKUP($C24,$BF:$BG,2,0),
     _xlfn.SWITCH(UPPER(TRIM($K24)),
       "N/A","N/A",
       "VACANT","UNDP OP8 COB - Vacant",
       "UNDP","UNDP OP8 COB - UNDP CO",
       "UN COMPOUND","UNDP OP8 COB - UN Compound",
       "UNDP - WFH","UNDP OP8 COB - UNDP WFH",
"UNICEF","UNDP OP8 COB - UNICEF",
       "NHI","n.End of June 2026",
       "PRIVATE LEASE","k.End of Mar 2026",
       ""
     )
   )
)</f>
        <v>k.End of Mar 2026</v>
      </c>
      <c r="N24" s="77" t="str">
        <f t="shared" si="1"/>
        <v>UNOPS Action</v>
      </c>
      <c r="O24" s="79">
        <f>IFERROR(VLOOKUP($C24,'[15]2024 COBs'!$AA:$AK,5,0),"")</f>
        <v>5999.9999999999991</v>
      </c>
      <c r="P24" s="79">
        <f>IFERROR((VLOOKUP($C24,'[15]2024 COBs'!$AA:$AK,8,0)+VLOOKUP($C24,'[15]2024 COBs'!$AA:$AK,9,0)+VLOOKUP($C24,'[15]2024 COBs'!$AA:$AK,10,0)+VLOOKUP($C24,'[15]2024 COBs'!$AA:$AK,11,0))*5%,"")</f>
        <v>243.75</v>
      </c>
      <c r="Q24" s="79">
        <f>IFERROR((VLOOKUP($C24,'[15]2024 COBs'!$AA:$AK,8,0)+VLOOKUP($C24,'[15]2024 COBs'!$AA:$AK,9,0)+VLOOKUP($C24,'[15]2024 COBs'!$AA:$AK,10,0)+VLOOKUP($C24,'[15]2024 COBs'!$AA:$AK,11,0))*16%,"")</f>
        <v>780</v>
      </c>
      <c r="R24" s="79"/>
      <c r="S24" s="79">
        <f>IFERROR(VLOOKUP($C24,'[15]2024 COBs'!$AA:$AK,7,0),"")</f>
        <v>1875</v>
      </c>
      <c r="T24" s="79">
        <f>IFERROR((VLOOKUP($C24,'[15]2024 COBs'!$AA:$AK,8,0)+VLOOKUP($C24,'[15]2024 COBs'!$AA:$AK,9,0)+VLOOKUP($C24,'[15]2024 COBs'!$AA:$AK,10,0)+VLOOKUP($C24,'[15]2024 COBs'!$AA:$AK,11,0))*20%,"")</f>
        <v>975</v>
      </c>
      <c r="U24" s="79">
        <f>IFERROR(VLOOKUP($C24,'[15]2024 COBs'!$AA:$AK,6,0),"")</f>
        <v>18298.5</v>
      </c>
      <c r="V24" s="79">
        <f>IFERROR((VLOOKUP($C24,'[15]2024 COBs'!$AA:$AK,8,0)+VLOOKUP($C24,'[15]2024 COBs'!$AA:$AK,9,0)+VLOOKUP($C24,'[15]2024 COBs'!$AA:$AK,10,0)+VLOOKUP($C24,'[15]2024 COBs'!$AA:$AK,11,0))*18%,"")</f>
        <v>877.5</v>
      </c>
      <c r="W24" s="79">
        <f>IFERROR((VLOOKUP($C24,'[15]2024 COBs'!$AA:$AK,8,0)+VLOOKUP($C24,'[15]2024 COBs'!$AA:$AK,9,0)+VLOOKUP($C24,'[15]2024 COBs'!$AA:$AK,10,0)+VLOOKUP($C24,'[15]2024 COBs'!$AA:$AK,11,0))*27%,"")</f>
        <v>1316.25</v>
      </c>
      <c r="X24" s="79">
        <f>IFERROR((VLOOKUP($C24,'[15]2024 COBs'!$AA:$AK,8,0)+VLOOKUP($C24,'[15]2024 COBs'!$AA:$AK,9,0)+VLOOKUP($C24,'[15]2024 COBs'!$AA:$AK,10,0)+VLOOKUP($C24,'[15]2024 COBs'!$AA:$AK,11,0))*14%,"")</f>
        <v>682.50000000000011</v>
      </c>
      <c r="Y24" s="79">
        <f>IFERROR(VLOOKUP($C24,'[15]2024 COBs'!$AA:$AK,4,0),"")</f>
        <v>4125</v>
      </c>
      <c r="Z24" s="80">
        <f t="shared" si="4"/>
        <v>35173.5</v>
      </c>
      <c r="AF24" s="76" t="s">
        <v>201</v>
      </c>
      <c r="AG24" s="76" t="s">
        <v>201</v>
      </c>
      <c r="AH24" s="78" t="s">
        <v>467</v>
      </c>
      <c r="AI24" s="78" t="s">
        <v>394</v>
      </c>
      <c r="AJ24" s="78"/>
      <c r="AK24" s="78"/>
      <c r="AL24" s="78">
        <v>3</v>
      </c>
      <c r="AM24" s="77" t="s">
        <v>401</v>
      </c>
      <c r="AN24" s="77" t="s">
        <v>390</v>
      </c>
      <c r="AO24" s="79"/>
      <c r="AP24" s="79"/>
      <c r="AQ24" s="79"/>
      <c r="AR24" s="79"/>
      <c r="AS24" s="79"/>
      <c r="AT24" s="79"/>
      <c r="AU24" s="79"/>
      <c r="AV24" s="79"/>
      <c r="AW24" s="79"/>
      <c r="AX24" s="79"/>
      <c r="AY24" s="79"/>
      <c r="AZ24" s="80">
        <f t="shared" si="3"/>
        <v>0</v>
      </c>
      <c r="BF24" s="65" t="s">
        <v>468</v>
      </c>
      <c r="BG24" s="65" t="s">
        <v>469</v>
      </c>
      <c r="BH24" s="65">
        <v>1</v>
      </c>
      <c r="BK24" s="65" t="s">
        <v>171</v>
      </c>
      <c r="BL24" s="65" t="s">
        <v>411</v>
      </c>
      <c r="BM24" s="65" t="s">
        <v>415</v>
      </c>
      <c r="BN24" s="65">
        <v>1</v>
      </c>
    </row>
    <row r="25" spans="2:66" x14ac:dyDescent="0.25">
      <c r="B25" s="76" t="s">
        <v>174</v>
      </c>
      <c r="C25" s="76" t="s">
        <v>174</v>
      </c>
      <c r="D25" s="77" t="s">
        <v>414</v>
      </c>
      <c r="E25" s="77" t="s">
        <v>394</v>
      </c>
      <c r="F25" s="77"/>
      <c r="G25" s="77"/>
      <c r="H25" s="77">
        <v>2</v>
      </c>
      <c r="I25" s="77" t="s">
        <v>401</v>
      </c>
      <c r="J25" s="77" t="s">
        <v>390</v>
      </c>
      <c r="K25" s="77" t="s">
        <v>17</v>
      </c>
      <c r="L25" s="78" t="str">
        <f t="shared" si="0"/>
        <v/>
      </c>
      <c r="M25" s="77" t="str" cm="1">
        <f t="array" ref="M25">IF(OR(UPPER(TRIM($C25))="BRAZIL",UPPER(TRIM($C25))="INDIA",UPPER(TRIM($C25))="PHILIPPINES"),
   "UNDP OP8 COB - RPA",
   IFERROR(
     VLOOKUP($C25,$BF:$BG,2,0),
     _xlfn.SWITCH(UPPER(TRIM($K25)),
       "N/A","N/A",
       "VACANT","UNDP OP8 COB - Vacant",
       "UNDP","UNDP OP8 COB - UNDP CO",
       "UN COMPOUND","UNDP OP8 COB - UN Compound",
       "UNDP - WFH","UNDP OP8 COB - UNDP WFH",
"UNICEF","UNDP OP8 COB - UNICEF",
       "NHI","n.End of June 2026",
       "PRIVATE LEASE","k.End of Mar 2026",
       ""
     )
   )
)</f>
        <v>UNDP OP8 COB - UNDP CO</v>
      </c>
      <c r="N25" s="77" t="str">
        <f t="shared" si="1"/>
        <v>UNDP Action</v>
      </c>
      <c r="O25" s="79">
        <f>IFERROR(VLOOKUP($C25,'[15]2024 COBs'!$AA:$AK,5,0),"")</f>
        <v>6867.3098751418847</v>
      </c>
      <c r="P25" s="79">
        <f>IFERROR((VLOOKUP($C25,'[15]2024 COBs'!$AA:$AK,8,0)+VLOOKUP($C25,'[15]2024 COBs'!$AA:$AK,9,0)+VLOOKUP($C25,'[15]2024 COBs'!$AA:$AK,10,0)+VLOOKUP($C25,'[15]2024 COBs'!$AA:$AK,11,0))*5%,"")</f>
        <v>83.62234473812228</v>
      </c>
      <c r="Q25" s="79">
        <f>IFERROR((VLOOKUP($C25,'[15]2024 COBs'!$AA:$AK,8,0)+VLOOKUP($C25,'[15]2024 COBs'!$AA:$AK,9,0)+VLOOKUP($C25,'[15]2024 COBs'!$AA:$AK,10,0)+VLOOKUP($C25,'[15]2024 COBs'!$AA:$AK,11,0))*16%,"")</f>
        <v>267.59150316199128</v>
      </c>
      <c r="R25" s="79"/>
      <c r="S25" s="79">
        <f>IFERROR(VLOOKUP($C25,'[15]2024 COBs'!$AA:$AK,7,0),"")</f>
        <v>0</v>
      </c>
      <c r="T25" s="79">
        <f>IFERROR((VLOOKUP($C25,'[15]2024 COBs'!$AA:$AK,8,0)+VLOOKUP($C25,'[15]2024 COBs'!$AA:$AK,9,0)+VLOOKUP($C25,'[15]2024 COBs'!$AA:$AK,10,0)+VLOOKUP($C25,'[15]2024 COBs'!$AA:$AK,11,0))*20%,"")</f>
        <v>334.48937895248912</v>
      </c>
      <c r="U25" s="79">
        <f>IFERROR(VLOOKUP($C25,'[15]2024 COBs'!$AA:$AK,6,0),"")</f>
        <v>10584.066158586022</v>
      </c>
      <c r="V25" s="79">
        <f>IFERROR((VLOOKUP($C25,'[15]2024 COBs'!$AA:$AK,8,0)+VLOOKUP($C25,'[15]2024 COBs'!$AA:$AK,9,0)+VLOOKUP($C25,'[15]2024 COBs'!$AA:$AK,10,0)+VLOOKUP($C25,'[15]2024 COBs'!$AA:$AK,11,0))*18%,"")</f>
        <v>301.04044105724017</v>
      </c>
      <c r="W25" s="79">
        <f>IFERROR((VLOOKUP($C25,'[15]2024 COBs'!$AA:$AK,8,0)+VLOOKUP($C25,'[15]2024 COBs'!$AA:$AK,9,0)+VLOOKUP($C25,'[15]2024 COBs'!$AA:$AK,10,0)+VLOOKUP($C25,'[15]2024 COBs'!$AA:$AK,11,0))*27%,"")</f>
        <v>451.56066158586032</v>
      </c>
      <c r="X25" s="79">
        <f>IFERROR((VLOOKUP($C25,'[15]2024 COBs'!$AA:$AK,8,0)+VLOOKUP($C25,'[15]2024 COBs'!$AA:$AK,9,0)+VLOOKUP($C25,'[15]2024 COBs'!$AA:$AK,10,0)+VLOOKUP($C25,'[15]2024 COBs'!$AA:$AK,11,0))*14%,"")</f>
        <v>234.14256526674239</v>
      </c>
      <c r="Y25" s="79">
        <f>IFERROR(VLOOKUP($C25,'[15]2024 COBs'!$AA:$AK,4,0),"")</f>
        <v>3924.1770715096482</v>
      </c>
      <c r="Z25" s="80">
        <f t="shared" si="4"/>
        <v>23048</v>
      </c>
      <c r="AF25" s="76" t="s">
        <v>202</v>
      </c>
      <c r="AG25" s="76" t="s">
        <v>470</v>
      </c>
      <c r="AH25" s="78" t="s">
        <v>471</v>
      </c>
      <c r="AI25" s="78" t="s">
        <v>394</v>
      </c>
      <c r="AJ25" s="78"/>
      <c r="AK25" s="78"/>
      <c r="AL25" s="78">
        <v>2</v>
      </c>
      <c r="AM25" s="77" t="s">
        <v>401</v>
      </c>
      <c r="AN25" s="77" t="s">
        <v>390</v>
      </c>
      <c r="AO25" s="79"/>
      <c r="AP25" s="79"/>
      <c r="AQ25" s="79"/>
      <c r="AR25" s="79"/>
      <c r="AS25" s="79"/>
      <c r="AT25" s="79"/>
      <c r="AU25" s="79"/>
      <c r="AV25" s="79"/>
      <c r="AW25" s="79"/>
      <c r="AX25" s="79"/>
      <c r="AY25" s="79"/>
      <c r="AZ25" s="80">
        <f t="shared" si="3"/>
        <v>0</v>
      </c>
      <c r="BF25" s="65" t="s">
        <v>205</v>
      </c>
      <c r="BG25" s="65" t="s">
        <v>396</v>
      </c>
      <c r="BH25" s="65">
        <v>1</v>
      </c>
      <c r="BK25" s="65" t="s">
        <v>172</v>
      </c>
      <c r="BL25" s="65" t="s">
        <v>397</v>
      </c>
      <c r="BM25" s="65" t="s">
        <v>398</v>
      </c>
      <c r="BN25" s="65">
        <v>2</v>
      </c>
    </row>
    <row r="26" spans="2:66" x14ac:dyDescent="0.25">
      <c r="B26" s="76" t="s">
        <v>175</v>
      </c>
      <c r="C26" s="76" t="s">
        <v>175</v>
      </c>
      <c r="D26" s="77" t="s">
        <v>472</v>
      </c>
      <c r="E26" s="77" t="s">
        <v>388</v>
      </c>
      <c r="F26" s="77"/>
      <c r="G26" s="77"/>
      <c r="H26" s="77">
        <v>3</v>
      </c>
      <c r="I26" s="77" t="s">
        <v>401</v>
      </c>
      <c r="J26" s="77" t="s">
        <v>390</v>
      </c>
      <c r="K26" s="77" t="s">
        <v>473</v>
      </c>
      <c r="L26" s="78" t="str">
        <f t="shared" si="0"/>
        <v>Yes</v>
      </c>
      <c r="M26" s="77" t="str" cm="1">
        <f t="array" ref="M26">IF(OR(UPPER(TRIM($C26))="BRAZIL",UPPER(TRIM($C26))="INDIA",UPPER(TRIM($C26))="PHILIPPINES"),
   "UNDP OP8 COB - RPA",
   IFERROR(
     VLOOKUP($C26,$BF:$BG,2,0),
     _xlfn.SWITCH(UPPER(TRIM($K26)),
       "N/A","N/A",
       "VACANT","UNDP OP8 COB - Vacant",
       "UNDP","UNDP OP8 COB - UNDP CO",
       "UN COMPOUND","UNDP OP8 COB - UN Compound",
       "UNDP - WFH","UNDP OP8 COB - UNDP WFH",
"UNICEF","UNDP OP8 COB - UNICEF",
       "NHI","n.End of June 2026",
       "PRIVATE LEASE","k.End of Mar 2026",
       ""
     )
   )
)</f>
        <v>n.End of June 2026</v>
      </c>
      <c r="N26" s="77" t="str">
        <f t="shared" si="1"/>
        <v>UNOPS Action</v>
      </c>
      <c r="O26" s="79">
        <f>IFERROR(VLOOKUP($C26,'[15]2024 COBs'!$AA:$AK,5,0),"")</f>
        <v>8146.5</v>
      </c>
      <c r="P26" s="79">
        <f>IFERROR((VLOOKUP($C26,'[15]2024 COBs'!$AA:$AK,8,0)+VLOOKUP($C26,'[15]2024 COBs'!$AA:$AK,9,0)+VLOOKUP($C26,'[15]2024 COBs'!$AA:$AK,10,0)+VLOOKUP($C26,'[15]2024 COBs'!$AA:$AK,11,0))*5%,"")</f>
        <v>68.25</v>
      </c>
      <c r="Q26" s="79">
        <f>IFERROR((VLOOKUP($C26,'[15]2024 COBs'!$AA:$AK,8,0)+VLOOKUP($C26,'[15]2024 COBs'!$AA:$AK,9,0)+VLOOKUP($C26,'[15]2024 COBs'!$AA:$AK,10,0)+VLOOKUP($C26,'[15]2024 COBs'!$AA:$AK,11,0))*16%,"")</f>
        <v>218.4</v>
      </c>
      <c r="R26" s="79"/>
      <c r="S26" s="79">
        <f>IFERROR(VLOOKUP($C26,'[15]2024 COBs'!$AA:$AK,7,0),"")</f>
        <v>166.5</v>
      </c>
      <c r="T26" s="79">
        <f>IFERROR((VLOOKUP($C26,'[15]2024 COBs'!$AA:$AK,8,0)+VLOOKUP($C26,'[15]2024 COBs'!$AA:$AK,9,0)+VLOOKUP($C26,'[15]2024 COBs'!$AA:$AK,10,0)+VLOOKUP($C26,'[15]2024 COBs'!$AA:$AK,11,0))*20%,"")</f>
        <v>273</v>
      </c>
      <c r="U26" s="79">
        <f>IFERROR(VLOOKUP($C26,'[15]2024 COBs'!$AA:$AK,6,0),"")</f>
        <v>9192</v>
      </c>
      <c r="V26" s="79">
        <f>IFERROR((VLOOKUP($C26,'[15]2024 COBs'!$AA:$AK,8,0)+VLOOKUP($C26,'[15]2024 COBs'!$AA:$AK,9,0)+VLOOKUP($C26,'[15]2024 COBs'!$AA:$AK,10,0)+VLOOKUP($C26,'[15]2024 COBs'!$AA:$AK,11,0))*18%,"")</f>
        <v>245.7</v>
      </c>
      <c r="W26" s="79">
        <f>IFERROR((VLOOKUP($C26,'[15]2024 COBs'!$AA:$AK,8,0)+VLOOKUP($C26,'[15]2024 COBs'!$AA:$AK,9,0)+VLOOKUP($C26,'[15]2024 COBs'!$AA:$AK,10,0)+VLOOKUP($C26,'[15]2024 COBs'!$AA:$AK,11,0))*27%,"")</f>
        <v>368.55</v>
      </c>
      <c r="X26" s="79">
        <f>IFERROR((VLOOKUP($C26,'[15]2024 COBs'!$AA:$AK,8,0)+VLOOKUP($C26,'[15]2024 COBs'!$AA:$AK,9,0)+VLOOKUP($C26,'[15]2024 COBs'!$AA:$AK,10,0)+VLOOKUP($C26,'[15]2024 COBs'!$AA:$AK,11,0))*14%,"")</f>
        <v>191.10000000000002</v>
      </c>
      <c r="Y26" s="79">
        <f>IFERROR(VLOOKUP($C26,'[15]2024 COBs'!$AA:$AK,4,0),"")</f>
        <v>5617.5</v>
      </c>
      <c r="Z26" s="80">
        <f t="shared" si="4"/>
        <v>24487.5</v>
      </c>
      <c r="AF26" s="76" t="s">
        <v>474</v>
      </c>
      <c r="AG26" s="76" t="s">
        <v>474</v>
      </c>
      <c r="AH26" s="78" t="s">
        <v>475</v>
      </c>
      <c r="AI26" s="78" t="s">
        <v>394</v>
      </c>
      <c r="AJ26" s="78"/>
      <c r="AK26" s="78"/>
      <c r="AL26" s="78">
        <v>5</v>
      </c>
      <c r="AM26" s="77" t="s">
        <v>421</v>
      </c>
      <c r="AN26" s="77" t="s">
        <v>439</v>
      </c>
      <c r="AO26" s="79"/>
      <c r="AP26" s="79"/>
      <c r="AQ26" s="79"/>
      <c r="AR26" s="79"/>
      <c r="AS26" s="79"/>
      <c r="AT26" s="79"/>
      <c r="AU26" s="79"/>
      <c r="AV26" s="79"/>
      <c r="AW26" s="79"/>
      <c r="AX26" s="79"/>
      <c r="AY26" s="79"/>
      <c r="AZ26" s="80">
        <f t="shared" si="3"/>
        <v>0</v>
      </c>
      <c r="BF26" s="65" t="s">
        <v>476</v>
      </c>
      <c r="BG26" s="65" t="s">
        <v>477</v>
      </c>
      <c r="BH26" s="65">
        <v>2</v>
      </c>
      <c r="BK26" s="65" t="s">
        <v>173</v>
      </c>
      <c r="BL26" s="65" t="s">
        <v>397</v>
      </c>
      <c r="BM26" s="65" t="s">
        <v>398</v>
      </c>
      <c r="BN26" s="65">
        <v>1</v>
      </c>
    </row>
    <row r="27" spans="2:66" x14ac:dyDescent="0.25">
      <c r="B27" s="76" t="s">
        <v>177</v>
      </c>
      <c r="C27" s="76" t="s">
        <v>177</v>
      </c>
      <c r="D27" s="77" t="s">
        <v>418</v>
      </c>
      <c r="E27" s="77" t="s">
        <v>394</v>
      </c>
      <c r="F27" s="77"/>
      <c r="G27" s="77"/>
      <c r="H27" s="77">
        <v>2</v>
      </c>
      <c r="I27" s="77" t="s">
        <v>401</v>
      </c>
      <c r="J27" s="77" t="s">
        <v>390</v>
      </c>
      <c r="K27" s="77" t="s">
        <v>17</v>
      </c>
      <c r="L27" s="78" t="str">
        <f t="shared" si="0"/>
        <v/>
      </c>
      <c r="M27" s="77" t="str" cm="1">
        <f t="array" ref="M27">IF(OR(UPPER(TRIM($C27))="BRAZIL",UPPER(TRIM($C27))="INDIA",UPPER(TRIM($C27))="PHILIPPINES"),
   "UNDP OP8 COB - RPA",
   IFERROR(
     VLOOKUP($C27,$BF:$BG,2,0),
     _xlfn.SWITCH(UPPER(TRIM($K27)),
       "N/A","N/A",
       "VACANT","UNDP OP8 COB - Vacant",
       "UNDP","UNDP OP8 COB - UNDP CO",
       "UN COMPOUND","UNDP OP8 COB - UN Compound",
       "UNDP - WFH","UNDP OP8 COB - UNDP WFH",
"UNICEF","UNDP OP8 COB - UNICEF",
       "NHI","n.End of June 2026",
       "PRIVATE LEASE","k.End of Mar 2026",
       ""
     )
   )
)</f>
        <v>UNDP OP8 COB - UNDP CO</v>
      </c>
      <c r="N27" s="77" t="str">
        <f t="shared" si="1"/>
        <v>UNDP Action</v>
      </c>
      <c r="O27" s="79">
        <f>IFERROR(VLOOKUP($C27,'[15]2024 COBs'!$AA:$AK,5,0),"")</f>
        <v>4356.1073825503354</v>
      </c>
      <c r="P27" s="79">
        <f>IFERROR((VLOOKUP($C27,'[15]2024 COBs'!$AA:$AK,8,0)+VLOOKUP($C27,'[15]2024 COBs'!$AA:$AK,9,0)+VLOOKUP($C27,'[15]2024 COBs'!$AA:$AK,10,0)+VLOOKUP($C27,'[15]2024 COBs'!$AA:$AK,11,0))*5%,"")</f>
        <v>163.04787472035798</v>
      </c>
      <c r="Q27" s="79">
        <f>IFERROR((VLOOKUP($C27,'[15]2024 COBs'!$AA:$AK,8,0)+VLOOKUP($C27,'[15]2024 COBs'!$AA:$AK,9,0)+VLOOKUP($C27,'[15]2024 COBs'!$AA:$AK,10,0)+VLOOKUP($C27,'[15]2024 COBs'!$AA:$AK,11,0))*16%,"")</f>
        <v>521.75319910514543</v>
      </c>
      <c r="R27" s="79"/>
      <c r="S27" s="79">
        <f>IFERROR(VLOOKUP($C27,'[15]2024 COBs'!$AA:$AK,7,0),"")</f>
        <v>0</v>
      </c>
      <c r="T27" s="79">
        <f>IFERROR((VLOOKUP($C27,'[15]2024 COBs'!$AA:$AK,8,0)+VLOOKUP($C27,'[15]2024 COBs'!$AA:$AK,9,0)+VLOOKUP($C27,'[15]2024 COBs'!$AA:$AK,10,0)+VLOOKUP($C27,'[15]2024 COBs'!$AA:$AK,11,0))*20%,"")</f>
        <v>652.19149888143193</v>
      </c>
      <c r="U27" s="79">
        <f>IFERROR(VLOOKUP($C27,'[15]2024 COBs'!$AA:$AK,6,0),"")</f>
        <v>12323.935123042505</v>
      </c>
      <c r="V27" s="79">
        <f>IFERROR((VLOOKUP($C27,'[15]2024 COBs'!$AA:$AK,8,0)+VLOOKUP($C27,'[15]2024 COBs'!$AA:$AK,9,0)+VLOOKUP($C27,'[15]2024 COBs'!$AA:$AK,10,0)+VLOOKUP($C27,'[15]2024 COBs'!$AA:$AK,11,0))*18%,"")</f>
        <v>586.97234899328862</v>
      </c>
      <c r="W27" s="79">
        <f>IFERROR((VLOOKUP($C27,'[15]2024 COBs'!$AA:$AK,8,0)+VLOOKUP($C27,'[15]2024 COBs'!$AA:$AK,9,0)+VLOOKUP($C27,'[15]2024 COBs'!$AA:$AK,10,0)+VLOOKUP($C27,'[15]2024 COBs'!$AA:$AK,11,0))*27%,"")</f>
        <v>880.45852348993299</v>
      </c>
      <c r="X27" s="79">
        <f>IFERROR((VLOOKUP($C27,'[15]2024 COBs'!$AA:$AK,8,0)+VLOOKUP($C27,'[15]2024 COBs'!$AA:$AK,9,0)+VLOOKUP($C27,'[15]2024 COBs'!$AA:$AK,10,0)+VLOOKUP($C27,'[15]2024 COBs'!$AA:$AK,11,0))*14%,"")</f>
        <v>456.53404921700235</v>
      </c>
      <c r="Y27" s="79">
        <f>IFERROR(VLOOKUP($C27,'[15]2024 COBs'!$AA:$AK,4,0),"")</f>
        <v>0</v>
      </c>
      <c r="Z27" s="80">
        <f t="shared" si="4"/>
        <v>19941</v>
      </c>
      <c r="AF27" s="76" t="s">
        <v>211</v>
      </c>
      <c r="AG27" s="76" t="s">
        <v>211</v>
      </c>
      <c r="AH27" s="78" t="s">
        <v>478</v>
      </c>
      <c r="AI27" s="78" t="s">
        <v>394</v>
      </c>
      <c r="AJ27" s="78"/>
      <c r="AK27" s="78"/>
      <c r="AL27" s="78">
        <v>2</v>
      </c>
      <c r="AM27" s="77" t="s">
        <v>401</v>
      </c>
      <c r="AN27" s="77" t="s">
        <v>390</v>
      </c>
      <c r="AO27" s="79"/>
      <c r="AP27" s="79"/>
      <c r="AQ27" s="79"/>
      <c r="AR27" s="79"/>
      <c r="AS27" s="79"/>
      <c r="AT27" s="79"/>
      <c r="AU27" s="79"/>
      <c r="AV27" s="79"/>
      <c r="AW27" s="79"/>
      <c r="AX27" s="79"/>
      <c r="AY27" s="79"/>
      <c r="AZ27" s="80">
        <f t="shared" si="3"/>
        <v>0</v>
      </c>
      <c r="BF27" s="65" t="s">
        <v>474</v>
      </c>
      <c r="BG27" s="65" t="s">
        <v>469</v>
      </c>
      <c r="BH27" s="65">
        <v>2</v>
      </c>
      <c r="BK27" s="65" t="s">
        <v>173</v>
      </c>
      <c r="BL27" s="65" t="s">
        <v>411</v>
      </c>
      <c r="BM27" s="65" t="s">
        <v>415</v>
      </c>
      <c r="BN27" s="65">
        <v>1</v>
      </c>
    </row>
    <row r="28" spans="2:66" x14ac:dyDescent="0.25">
      <c r="B28" s="76" t="s">
        <v>178</v>
      </c>
      <c r="C28" s="81" t="s">
        <v>178</v>
      </c>
      <c r="D28" s="77" t="s">
        <v>423</v>
      </c>
      <c r="E28" s="77" t="s">
        <v>394</v>
      </c>
      <c r="F28" s="77"/>
      <c r="G28" s="77"/>
      <c r="H28" s="77">
        <v>2</v>
      </c>
      <c r="I28" s="77" t="s">
        <v>401</v>
      </c>
      <c r="J28" s="77" t="s">
        <v>390</v>
      </c>
      <c r="K28" s="77" t="s">
        <v>17</v>
      </c>
      <c r="L28" s="78" t="str">
        <f t="shared" si="0"/>
        <v/>
      </c>
      <c r="M28" s="77" t="str" cm="1">
        <f t="array" ref="M28">IF(OR(UPPER(TRIM($C28))="BRAZIL",UPPER(TRIM($C28))="INDIA",UPPER(TRIM($C28))="PHILIPPINES"),
   "UNDP OP8 COB - RPA",
   IFERROR(
     VLOOKUP($C28,$BF:$BG,2,0),
     _xlfn.SWITCH(UPPER(TRIM($K28)),
       "N/A","N/A",
       "VACANT","UNDP OP8 COB - Vacant",
       "UNDP","UNDP OP8 COB - UNDP CO",
       "UN COMPOUND","UNDP OP8 COB - UN Compound",
       "UNDP - WFH","UNDP OP8 COB - UNDP WFH",
"UNICEF","UNDP OP8 COB - UNICEF",
       "NHI","n.End of June 2026",
       "PRIVATE LEASE","k.End of Mar 2026",
       ""
     )
   )
)</f>
        <v>UNDP OP8 COB - UNDP CO</v>
      </c>
      <c r="N28" s="77" t="str">
        <f t="shared" si="1"/>
        <v>UNDP Action</v>
      </c>
      <c r="O28" s="79">
        <f>IFERROR(VLOOKUP($C28,'[15]2024 COBs'!$AA:$AK,5,0),"")</f>
        <v>4199.9999999999991</v>
      </c>
      <c r="P28" s="79">
        <f>IFERROR((VLOOKUP($C28,'[15]2024 COBs'!$AA:$AK,8,0)+VLOOKUP($C28,'[15]2024 COBs'!$AA:$AK,9,0)+VLOOKUP($C28,'[15]2024 COBs'!$AA:$AK,10,0)+VLOOKUP($C28,'[15]2024 COBs'!$AA:$AK,11,0))*5%,"")</f>
        <v>187.5</v>
      </c>
      <c r="Q28" s="79">
        <v>2100</v>
      </c>
      <c r="R28" s="79"/>
      <c r="S28" s="79">
        <f>IFERROR(VLOOKUP($C28,'[15]2024 COBs'!$AA:$AK,7,0),"")</f>
        <v>2400</v>
      </c>
      <c r="T28" s="79">
        <f>IFERROR((VLOOKUP($C28,'[15]2024 COBs'!$AA:$AK,8,0)+VLOOKUP($C28,'[15]2024 COBs'!$AA:$AK,9,0)+VLOOKUP($C28,'[15]2024 COBs'!$AA:$AK,10,0)+VLOOKUP($C28,'[15]2024 COBs'!$AA:$AK,11,0))*20%,"")</f>
        <v>750</v>
      </c>
      <c r="U28" s="79">
        <f>IFERROR(VLOOKUP($C28,'[15]2024 COBs'!$AA:$AK,6,0),"")</f>
        <v>15986.399999999998</v>
      </c>
      <c r="V28" s="79">
        <f>IFERROR((VLOOKUP($C28,'[15]2024 COBs'!$AA:$AK,8,0)+VLOOKUP($C28,'[15]2024 COBs'!$AA:$AK,9,0)+VLOOKUP($C28,'[15]2024 COBs'!$AA:$AK,10,0)+VLOOKUP($C28,'[15]2024 COBs'!$AA:$AK,11,0))*18%,"")</f>
        <v>674.99999999999989</v>
      </c>
      <c r="W28" s="79">
        <f>IFERROR((VLOOKUP($C28,'[15]2024 COBs'!$AA:$AK,8,0)+VLOOKUP($C28,'[15]2024 COBs'!$AA:$AK,9,0)+VLOOKUP($C28,'[15]2024 COBs'!$AA:$AK,10,0)+VLOOKUP($C28,'[15]2024 COBs'!$AA:$AK,11,0))*27%,"")</f>
        <v>1012.5</v>
      </c>
      <c r="X28" s="79">
        <f>IFERROR((VLOOKUP($C28,'[15]2024 COBs'!$AA:$AK,8,0)+VLOOKUP($C28,'[15]2024 COBs'!$AA:$AK,9,0)+VLOOKUP($C28,'[15]2024 COBs'!$AA:$AK,10,0)+VLOOKUP($C28,'[15]2024 COBs'!$AA:$AK,11,0))*14%,"")</f>
        <v>525</v>
      </c>
      <c r="Y28" s="79">
        <f>IFERROR(VLOOKUP($C28,'[15]2024 COBs'!$AA:$AK,4,0),"")</f>
        <v>3450</v>
      </c>
      <c r="Z28" s="80">
        <f t="shared" si="4"/>
        <v>31286.399999999998</v>
      </c>
      <c r="AF28" s="76" t="s">
        <v>212</v>
      </c>
      <c r="AG28" s="76" t="s">
        <v>212</v>
      </c>
      <c r="AH28" s="78" t="s">
        <v>479</v>
      </c>
      <c r="AI28" s="78" t="s">
        <v>394</v>
      </c>
      <c r="AJ28" s="78"/>
      <c r="AK28" s="78"/>
      <c r="AL28" s="78">
        <v>2</v>
      </c>
      <c r="AM28" s="77" t="s">
        <v>401</v>
      </c>
      <c r="AN28" s="77" t="s">
        <v>390</v>
      </c>
      <c r="AO28" s="79"/>
      <c r="AP28" s="79"/>
      <c r="AQ28" s="79"/>
      <c r="AR28" s="79"/>
      <c r="AS28" s="79"/>
      <c r="AT28" s="79"/>
      <c r="AU28" s="79"/>
      <c r="AV28" s="79"/>
      <c r="AW28" s="79"/>
      <c r="AX28" s="79"/>
      <c r="AY28" s="79"/>
      <c r="AZ28" s="80">
        <f t="shared" si="3"/>
        <v>0</v>
      </c>
      <c r="BF28" s="65" t="s">
        <v>207</v>
      </c>
      <c r="BG28" s="65" t="s">
        <v>396</v>
      </c>
      <c r="BH28" s="65">
        <v>1</v>
      </c>
      <c r="BK28" s="65" t="s">
        <v>174</v>
      </c>
      <c r="BL28" s="65" t="s">
        <v>397</v>
      </c>
      <c r="BM28" s="65" t="s">
        <v>398</v>
      </c>
      <c r="BN28" s="65">
        <v>1</v>
      </c>
    </row>
    <row r="29" spans="2:66" x14ac:dyDescent="0.25">
      <c r="B29" s="76" t="s">
        <v>426</v>
      </c>
      <c r="C29" s="76" t="s">
        <v>426</v>
      </c>
      <c r="D29" s="77" t="s">
        <v>427</v>
      </c>
      <c r="E29" s="77" t="s">
        <v>394</v>
      </c>
      <c r="F29" s="77"/>
      <c r="G29" s="77"/>
      <c r="H29" s="77">
        <v>3</v>
      </c>
      <c r="I29" s="77" t="s">
        <v>389</v>
      </c>
      <c r="J29" s="77" t="s">
        <v>395</v>
      </c>
      <c r="K29" s="77" t="s">
        <v>391</v>
      </c>
      <c r="L29" s="78" t="str">
        <f t="shared" si="0"/>
        <v/>
      </c>
      <c r="M29" s="77" t="str" cm="1">
        <f t="array" ref="M29">IF(OR(UPPER(TRIM($C29))="BRAZIL",UPPER(TRIM($C29))="INDIA",UPPER(TRIM($C29))="PHILIPPINES"),
   "UNDP OP8 COB - RPA",
   IFERROR(
     VLOOKUP($C29,$BF:$BG,2,0),
     _xlfn.SWITCH(UPPER(TRIM($K29)),
       "N/A","N/A",
       "VACANT","UNDP OP8 COB - Vacant",
       "UNDP","UNDP OP8 COB - UNDP CO",
       "UN COMPOUND","UNDP OP8 COB - UN Compound",
       "UNDP - WFH","UNDP OP8 COB - UNDP WFH",
"UNICEF","UNDP OP8 COB - UNICEF",
       "NHI","n.End of June 2026",
       "PRIVATE LEASE","k.End of Mar 2026",
       ""
     )
   )
)</f>
        <v>UNDP OP8 COB - Vacant</v>
      </c>
      <c r="N29" s="77" t="str">
        <f t="shared" si="1"/>
        <v>UNDP Action</v>
      </c>
      <c r="O29" s="79">
        <f>IFERROR(VLOOKUP($C29,'[15]2024 COBs'!$AA:$AK,5,0),"")</f>
        <v>8604.9880036294471</v>
      </c>
      <c r="P29" s="79">
        <f>IFERROR((VLOOKUP($C29,'[15]2024 COBs'!$AA:$AK,8,0)+VLOOKUP($C29,'[15]2024 COBs'!$AA:$AK,9,0)+VLOOKUP($C29,'[15]2024 COBs'!$AA:$AK,10,0)+VLOOKUP($C29,'[15]2024 COBs'!$AA:$AK,11,0))*5%,"")</f>
        <v>275.52134280621465</v>
      </c>
      <c r="Q29" s="79">
        <f>IFERROR((VLOOKUP($C29,'[15]2024 COBs'!$AA:$AK,8,0)+VLOOKUP($C29,'[15]2024 COBs'!$AA:$AK,9,0)+VLOOKUP($C29,'[15]2024 COBs'!$AA:$AK,10,0)+VLOOKUP($C29,'[15]2024 COBs'!$AA:$AK,11,0))*16%,"")</f>
        <v>881.6682969798868</v>
      </c>
      <c r="R29" s="79"/>
      <c r="S29" s="79">
        <f>IFERROR(VLOOKUP($C29,'[15]2024 COBs'!$AA:$AK,7,0),"")</f>
        <v>455.77703546194442</v>
      </c>
      <c r="T29" s="79">
        <f>IFERROR((VLOOKUP($C29,'[15]2024 COBs'!$AA:$AK,8,0)+VLOOKUP($C29,'[15]2024 COBs'!$AA:$AK,9,0)+VLOOKUP($C29,'[15]2024 COBs'!$AA:$AK,10,0)+VLOOKUP($C29,'[15]2024 COBs'!$AA:$AK,11,0))*20%,"")</f>
        <v>1102.0853712248586</v>
      </c>
      <c r="U29" s="79">
        <f>IFERROR(VLOOKUP($C29,'[15]2024 COBs'!$AA:$AK,6,0),"")</f>
        <v>11234.887044752235</v>
      </c>
      <c r="V29" s="79">
        <f>IFERROR((VLOOKUP($C29,'[15]2024 COBs'!$AA:$AK,8,0)+VLOOKUP($C29,'[15]2024 COBs'!$AA:$AK,9,0)+VLOOKUP($C29,'[15]2024 COBs'!$AA:$AK,10,0)+VLOOKUP($C29,'[15]2024 COBs'!$AA:$AK,11,0))*18%,"")</f>
        <v>991.87683410237264</v>
      </c>
      <c r="W29" s="79">
        <f>IFERROR((VLOOKUP($C29,'[15]2024 COBs'!$AA:$AK,8,0)+VLOOKUP($C29,'[15]2024 COBs'!$AA:$AK,9,0)+VLOOKUP($C29,'[15]2024 COBs'!$AA:$AK,10,0)+VLOOKUP($C29,'[15]2024 COBs'!$AA:$AK,11,0))*27%,"")</f>
        <v>1487.8152511535591</v>
      </c>
      <c r="X29" s="79">
        <f>IFERROR((VLOOKUP($C29,'[15]2024 COBs'!$AA:$AK,8,0)+VLOOKUP($C29,'[15]2024 COBs'!$AA:$AK,9,0)+VLOOKUP($C29,'[15]2024 COBs'!$AA:$AK,10,0)+VLOOKUP($C29,'[15]2024 COBs'!$AA:$AK,11,0))*14%,"")</f>
        <v>771.45975985740097</v>
      </c>
      <c r="Y29" s="79">
        <f>IFERROR(VLOOKUP($C29,'[15]2024 COBs'!$AA:$AK,4,0),"")</f>
        <v>3665.7119680711562</v>
      </c>
      <c r="Z29" s="80">
        <f t="shared" si="4"/>
        <v>29471.790908039075</v>
      </c>
      <c r="AF29" s="76" t="s">
        <v>213</v>
      </c>
      <c r="AG29" s="76" t="s">
        <v>213</v>
      </c>
      <c r="AH29" s="78" t="s">
        <v>480</v>
      </c>
      <c r="AI29" s="78" t="s">
        <v>394</v>
      </c>
      <c r="AJ29" s="78"/>
      <c r="AK29" s="78"/>
      <c r="AL29" s="78">
        <v>1</v>
      </c>
      <c r="AM29" s="77" t="s">
        <v>401</v>
      </c>
      <c r="AN29" s="77" t="s">
        <v>390</v>
      </c>
      <c r="AO29" s="79"/>
      <c r="AP29" s="79"/>
      <c r="AQ29" s="79"/>
      <c r="AR29" s="79"/>
      <c r="AS29" s="79"/>
      <c r="AT29" s="79"/>
      <c r="AU29" s="79"/>
      <c r="AV29" s="79"/>
      <c r="AW29" s="79"/>
      <c r="AX29" s="79"/>
      <c r="AY29" s="79"/>
      <c r="AZ29" s="80">
        <f t="shared" si="3"/>
        <v>0</v>
      </c>
      <c r="BF29" s="65" t="s">
        <v>208</v>
      </c>
      <c r="BG29" s="65" t="s">
        <v>396</v>
      </c>
      <c r="BH29" s="65">
        <v>1</v>
      </c>
      <c r="BK29" s="65" t="s">
        <v>175</v>
      </c>
      <c r="BL29" s="65" t="s">
        <v>397</v>
      </c>
      <c r="BM29" s="65" t="s">
        <v>398</v>
      </c>
      <c r="BN29" s="65">
        <v>1</v>
      </c>
    </row>
    <row r="30" spans="2:66" x14ac:dyDescent="0.25">
      <c r="B30" s="76" t="s">
        <v>481</v>
      </c>
      <c r="C30" s="76" t="s">
        <v>481</v>
      </c>
      <c r="D30" s="77" t="s">
        <v>482</v>
      </c>
      <c r="E30" s="77" t="s">
        <v>408</v>
      </c>
      <c r="F30" s="77"/>
      <c r="G30" s="77"/>
      <c r="H30" s="77">
        <v>5</v>
      </c>
      <c r="I30" s="77" t="s">
        <v>421</v>
      </c>
      <c r="J30" s="77" t="s">
        <v>439</v>
      </c>
      <c r="K30" s="77" t="s">
        <v>422</v>
      </c>
      <c r="L30" s="78" t="str">
        <f t="shared" si="0"/>
        <v/>
      </c>
      <c r="M30" s="77" t="str" cm="1">
        <f t="array" ref="M30">IF(OR(UPPER(TRIM($C30))="BRAZIL",UPPER(TRIM($C30))="INDIA",UPPER(TRIM($C30))="PHILIPPINES"),
   "UNDP OP8 COB - RPA",
   IFERROR(
     VLOOKUP($C30,$BF:$BG,2,0),
     _xlfn.SWITCH(UPPER(TRIM($K30)),
       "N/A","N/A",
       "VACANT","UNDP OP8 COB - Vacant",
       "UNDP","UNDP OP8 COB - UNDP CO",
       "UN COMPOUND","UNDP OP8 COB - UN Compound",
       "UNDP - WFH","UNDP OP8 COB - UNDP WFH",
"UNICEF","UNDP OP8 COB - UNICEF",
       "NHI","n.End of June 2026",
       "PRIVATE LEASE","k.End of Mar 2026",
       ""
     )
   )
)</f>
        <v>N/A</v>
      </c>
      <c r="N30" s="77" t="str">
        <f t="shared" si="1"/>
        <v>N/A</v>
      </c>
      <c r="O30" s="79" t="str">
        <f>IFERROR(VLOOKUP($C30,'[15]2024 COBs'!$AA:$AK,5,0),"")</f>
        <v/>
      </c>
      <c r="P30" s="79" t="str">
        <f>IFERROR((VLOOKUP($C30,'[15]2024 COBs'!$AA:$AK,8,0)+VLOOKUP($C30,'[15]2024 COBs'!$AA:$AK,9,0)+VLOOKUP($C30,'[15]2024 COBs'!$AA:$AK,10,0)+VLOOKUP($C30,'[15]2024 COBs'!$AA:$AK,11,0))*5%,"")</f>
        <v/>
      </c>
      <c r="Q30" s="79" t="str">
        <f>IFERROR((VLOOKUP($C30,'[15]2024 COBs'!$AA:$AK,8,0)+VLOOKUP($C30,'[15]2024 COBs'!$AA:$AK,9,0)+VLOOKUP($C30,'[15]2024 COBs'!$AA:$AK,10,0)+VLOOKUP($C30,'[15]2024 COBs'!$AA:$AK,11,0))*16%,"")</f>
        <v/>
      </c>
      <c r="R30" s="79"/>
      <c r="S30" s="79" t="str">
        <f>IFERROR(VLOOKUP($C30,'[15]2024 COBs'!$AA:$AK,7,0),"")</f>
        <v/>
      </c>
      <c r="T30" s="79" t="str">
        <f>IFERROR((VLOOKUP($C30,'[15]2024 COBs'!$AA:$AK,8,0)+VLOOKUP($C30,'[15]2024 COBs'!$AA:$AK,9,0)+VLOOKUP($C30,'[15]2024 COBs'!$AA:$AK,10,0)+VLOOKUP($C30,'[15]2024 COBs'!$AA:$AK,11,0))*20%,"")</f>
        <v/>
      </c>
      <c r="U30" s="79" t="str">
        <f>IFERROR(VLOOKUP($C30,'[15]2024 COBs'!$AA:$AK,6,0),"")</f>
        <v/>
      </c>
      <c r="V30" s="79" t="str">
        <f>IFERROR((VLOOKUP($C30,'[15]2024 COBs'!$AA:$AK,8,0)+VLOOKUP($C30,'[15]2024 COBs'!$AA:$AK,9,0)+VLOOKUP($C30,'[15]2024 COBs'!$AA:$AK,10,0)+VLOOKUP($C30,'[15]2024 COBs'!$AA:$AK,11,0))*18%,"")</f>
        <v/>
      </c>
      <c r="W30" s="79" t="str">
        <f>IFERROR((VLOOKUP($C30,'[15]2024 COBs'!$AA:$AK,8,0)+VLOOKUP($C30,'[15]2024 COBs'!$AA:$AK,9,0)+VLOOKUP($C30,'[15]2024 COBs'!$AA:$AK,10,0)+VLOOKUP($C30,'[15]2024 COBs'!$AA:$AK,11,0))*27%,"")</f>
        <v/>
      </c>
      <c r="X30" s="79" t="str">
        <f>IFERROR((VLOOKUP($C30,'[15]2024 COBs'!$AA:$AK,8,0)+VLOOKUP($C30,'[15]2024 COBs'!$AA:$AK,9,0)+VLOOKUP($C30,'[15]2024 COBs'!$AA:$AK,10,0)+VLOOKUP($C30,'[15]2024 COBs'!$AA:$AK,11,0))*14%,"")</f>
        <v/>
      </c>
      <c r="Y30" s="79" t="str">
        <f>IFERROR(VLOOKUP($C30,'[15]2024 COBs'!$AA:$AK,4,0),"")</f>
        <v/>
      </c>
      <c r="Z30" s="80">
        <f t="shared" si="4"/>
        <v>0</v>
      </c>
      <c r="AF30" s="76" t="s">
        <v>483</v>
      </c>
      <c r="AG30" s="76" t="s">
        <v>483</v>
      </c>
      <c r="AH30" s="78" t="s">
        <v>484</v>
      </c>
      <c r="AI30" s="78" t="s">
        <v>394</v>
      </c>
      <c r="AJ30" s="78"/>
      <c r="AK30" s="78"/>
      <c r="AL30" s="78">
        <v>3</v>
      </c>
      <c r="AM30" s="77" t="s">
        <v>389</v>
      </c>
      <c r="AN30" s="77" t="s">
        <v>395</v>
      </c>
      <c r="AO30" s="79"/>
      <c r="AP30" s="79"/>
      <c r="AQ30" s="79"/>
      <c r="AR30" s="79"/>
      <c r="AS30" s="79"/>
      <c r="AT30" s="79"/>
      <c r="AU30" s="79"/>
      <c r="AV30" s="79"/>
      <c r="AW30" s="79"/>
      <c r="AX30" s="79"/>
      <c r="AY30" s="79"/>
      <c r="AZ30" s="80">
        <f t="shared" si="3"/>
        <v>0</v>
      </c>
      <c r="BF30" s="65" t="s">
        <v>209</v>
      </c>
      <c r="BG30" s="65" t="s">
        <v>415</v>
      </c>
      <c r="BH30" s="65">
        <v>1</v>
      </c>
      <c r="BK30" s="65" t="s">
        <v>175</v>
      </c>
      <c r="BL30" s="65" t="s">
        <v>411</v>
      </c>
      <c r="BM30" s="65" t="s">
        <v>396</v>
      </c>
      <c r="BN30" s="65">
        <v>1</v>
      </c>
    </row>
    <row r="31" spans="2:66" x14ac:dyDescent="0.25">
      <c r="B31" s="76" t="s">
        <v>428</v>
      </c>
      <c r="C31" s="76" t="s">
        <v>428</v>
      </c>
      <c r="D31" s="77" t="s">
        <v>485</v>
      </c>
      <c r="E31" s="77" t="s">
        <v>388</v>
      </c>
      <c r="F31" s="77"/>
      <c r="G31" s="77"/>
      <c r="H31" s="77">
        <v>1</v>
      </c>
      <c r="I31" s="77" t="s">
        <v>389</v>
      </c>
      <c r="J31" s="77" t="s">
        <v>390</v>
      </c>
      <c r="K31" s="77" t="s">
        <v>17</v>
      </c>
      <c r="L31" s="78" t="str">
        <f t="shared" si="0"/>
        <v>Yes</v>
      </c>
      <c r="M31" s="77" t="str" cm="1">
        <f t="array" ref="M31">IF(OR(UPPER(TRIM($C31))="BRAZIL",UPPER(TRIM($C31))="INDIA",UPPER(TRIM($C31))="PHILIPPINES"),
   "UNDP OP8 COB - RPA",
   IFERROR(
     VLOOKUP($C31,$BF:$BG,2,0),
     _xlfn.SWITCH(UPPER(TRIM($K31)),
       "N/A","N/A",
       "VACANT","UNDP OP8 COB - Vacant",
       "UNDP","UNDP OP8 COB - UNDP CO",
       "UN COMPOUND","UNDP OP8 COB - UN Compound",
       "UNDP - WFH","UNDP OP8 COB - UNDP WFH",
"UNICEF","UNDP OP8 COB - UNICEF",
       "NHI","n.End of June 2026",
       "PRIVATE LEASE","k.End of Mar 2026",
       ""
     )
   )
)</f>
        <v>n.End of June 2026</v>
      </c>
      <c r="N31" s="77" t="str">
        <f t="shared" si="1"/>
        <v>UNOPS Action</v>
      </c>
      <c r="O31" s="79">
        <f>IFERROR(VLOOKUP($C31,'[15]2024 COBs'!$AA:$AK,5,0),"")</f>
        <v>17204.106608648355</v>
      </c>
      <c r="P31" s="79">
        <f>IFERROR((VLOOKUP($C31,'[15]2024 COBs'!$AA:$AK,8,0)+VLOOKUP($C31,'[15]2024 COBs'!$AA:$AK,9,0)+VLOOKUP($C31,'[15]2024 COBs'!$AA:$AK,10,0)+VLOOKUP($C31,'[15]2024 COBs'!$AA:$AK,11,0))*5%,"")</f>
        <v>342.9793048262589</v>
      </c>
      <c r="Q31" s="79">
        <f>IFERROR((VLOOKUP($C31,'[15]2024 COBs'!$AA:$AK,8,0)+VLOOKUP($C31,'[15]2024 COBs'!$AA:$AK,9,0)+VLOOKUP($C31,'[15]2024 COBs'!$AA:$AK,10,0)+VLOOKUP($C31,'[15]2024 COBs'!$AA:$AK,11,0))*16%,"")</f>
        <v>1097.5337754440284</v>
      </c>
      <c r="R31" s="79"/>
      <c r="S31" s="79">
        <f>IFERROR(VLOOKUP($C31,'[15]2024 COBs'!$AA:$AK,7,0),"")</f>
        <v>0</v>
      </c>
      <c r="T31" s="79">
        <f>IFERROR((VLOOKUP($C31,'[15]2024 COBs'!$AA:$AK,8,0)+VLOOKUP($C31,'[15]2024 COBs'!$AA:$AK,9,0)+VLOOKUP($C31,'[15]2024 COBs'!$AA:$AK,10,0)+VLOOKUP($C31,'[15]2024 COBs'!$AA:$AK,11,0))*20%,"")</f>
        <v>1371.9172193050356</v>
      </c>
      <c r="U31" s="79">
        <f>IFERROR(VLOOKUP($C31,'[15]2024 COBs'!$AA:$AK,6,0),"")</f>
        <v>11404.117026840444</v>
      </c>
      <c r="V31" s="79">
        <f>IFERROR((VLOOKUP($C31,'[15]2024 COBs'!$AA:$AK,8,0)+VLOOKUP($C31,'[15]2024 COBs'!$AA:$AK,9,0)+VLOOKUP($C31,'[15]2024 COBs'!$AA:$AK,10,0)+VLOOKUP($C31,'[15]2024 COBs'!$AA:$AK,11,0))*18%,"")</f>
        <v>1234.7254973745319</v>
      </c>
      <c r="W31" s="79">
        <f>IFERROR((VLOOKUP($C31,'[15]2024 COBs'!$AA:$AK,8,0)+VLOOKUP($C31,'[15]2024 COBs'!$AA:$AK,9,0)+VLOOKUP($C31,'[15]2024 COBs'!$AA:$AK,10,0)+VLOOKUP($C31,'[15]2024 COBs'!$AA:$AK,11,0))*27%,"")</f>
        <v>1852.0882460617981</v>
      </c>
      <c r="X31" s="79">
        <f>IFERROR((VLOOKUP($C31,'[15]2024 COBs'!$AA:$AK,8,0)+VLOOKUP($C31,'[15]2024 COBs'!$AA:$AK,9,0)+VLOOKUP($C31,'[15]2024 COBs'!$AA:$AK,10,0)+VLOOKUP($C31,'[15]2024 COBs'!$AA:$AK,11,0))*14%,"")</f>
        <v>960.342053513525</v>
      </c>
      <c r="Y31" s="79">
        <f>IFERROR(VLOOKUP($C31,'[15]2024 COBs'!$AA:$AK,4,0),"")</f>
        <v>6705.1902679860259</v>
      </c>
      <c r="Z31" s="80">
        <f t="shared" si="4"/>
        <v>42173.000000000007</v>
      </c>
      <c r="AF31" s="76" t="s">
        <v>216</v>
      </c>
      <c r="AG31" s="76" t="s">
        <v>216</v>
      </c>
      <c r="AH31" s="78" t="s">
        <v>486</v>
      </c>
      <c r="AI31" s="78" t="s">
        <v>394</v>
      </c>
      <c r="AJ31" s="78"/>
      <c r="AK31" s="78"/>
      <c r="AL31" s="78">
        <v>3</v>
      </c>
      <c r="AM31" s="77" t="s">
        <v>401</v>
      </c>
      <c r="AN31" s="77" t="s">
        <v>390</v>
      </c>
      <c r="AO31" s="79"/>
      <c r="AP31" s="79"/>
      <c r="AQ31" s="79"/>
      <c r="AR31" s="79"/>
      <c r="AS31" s="79"/>
      <c r="AT31" s="79"/>
      <c r="AU31" s="79"/>
      <c r="AV31" s="79"/>
      <c r="AW31" s="79"/>
      <c r="AX31" s="79"/>
      <c r="AY31" s="79"/>
      <c r="AZ31" s="80">
        <f t="shared" si="3"/>
        <v>0</v>
      </c>
      <c r="BF31" s="65" t="s">
        <v>211</v>
      </c>
      <c r="BG31" s="65" t="s">
        <v>415</v>
      </c>
      <c r="BH31" s="65">
        <v>1</v>
      </c>
      <c r="BK31" s="65" t="s">
        <v>177</v>
      </c>
      <c r="BL31" s="65" t="s">
        <v>397</v>
      </c>
      <c r="BM31" s="65" t="s">
        <v>398</v>
      </c>
      <c r="BN31" s="65">
        <v>1</v>
      </c>
    </row>
    <row r="32" spans="2:66" x14ac:dyDescent="0.25">
      <c r="B32" s="76" t="s">
        <v>179</v>
      </c>
      <c r="C32" s="81" t="s">
        <v>179</v>
      </c>
      <c r="D32" s="77" t="s">
        <v>487</v>
      </c>
      <c r="E32" s="77" t="s">
        <v>408</v>
      </c>
      <c r="F32" s="77"/>
      <c r="G32" s="77"/>
      <c r="H32" s="77">
        <v>1</v>
      </c>
      <c r="I32" s="77" t="s">
        <v>401</v>
      </c>
      <c r="J32" s="77" t="s">
        <v>390</v>
      </c>
      <c r="K32" s="77" t="s">
        <v>17</v>
      </c>
      <c r="L32" s="78" t="str">
        <f t="shared" si="0"/>
        <v>Yes</v>
      </c>
      <c r="M32" s="77" t="str" cm="1">
        <f t="array" ref="M32">IF(OR(UPPER(TRIM($C32))="BRAZIL",UPPER(TRIM($C32))="INDIA",UPPER(TRIM($C32))="PHILIPPINES"),
   "UNDP OP8 COB - RPA",
   IFERROR(
     VLOOKUP($C32,$BF:$BG,2,0),
     _xlfn.SWITCH(UPPER(TRIM($K32)),
       "N/A","N/A",
       "VACANT","UNDP OP8 COB - Vacant",
       "UNDP","UNDP OP8 COB - UNDP CO",
       "UN COMPOUND","UNDP OP8 COB - UN Compound",
       "UNDP - WFH","UNDP OP8 COB - UNDP WFH",
"UNICEF","UNDP OP8 COB - UNICEF",
       "NHI","n.End of June 2026",
       "PRIVATE LEASE","k.End of Mar 2026",
       ""
     )
   )
)</f>
        <v>n.End of June 2026</v>
      </c>
      <c r="N32" s="77" t="str">
        <f t="shared" si="1"/>
        <v>UNOPS Action</v>
      </c>
      <c r="O32" s="79">
        <v>16577</v>
      </c>
      <c r="P32" s="79">
        <v>0</v>
      </c>
      <c r="Q32" s="79">
        <v>0</v>
      </c>
      <c r="R32" s="79">
        <v>0</v>
      </c>
      <c r="S32" s="79">
        <v>900</v>
      </c>
      <c r="T32" s="79">
        <v>0</v>
      </c>
      <c r="U32" s="79">
        <v>6000</v>
      </c>
      <c r="V32" s="79">
        <v>0</v>
      </c>
      <c r="W32" s="79">
        <v>7000</v>
      </c>
      <c r="X32" s="79">
        <v>500</v>
      </c>
      <c r="Y32" s="79">
        <v>17500</v>
      </c>
      <c r="Z32" s="80">
        <f t="shared" si="4"/>
        <v>48477</v>
      </c>
      <c r="AF32" s="76" t="s">
        <v>217</v>
      </c>
      <c r="AG32" s="76" t="s">
        <v>217</v>
      </c>
      <c r="AH32" s="78" t="s">
        <v>488</v>
      </c>
      <c r="AI32" s="78" t="s">
        <v>394</v>
      </c>
      <c r="AJ32" s="78"/>
      <c r="AK32" s="78"/>
      <c r="AL32" s="78">
        <v>3</v>
      </c>
      <c r="AM32" s="77" t="s">
        <v>401</v>
      </c>
      <c r="AN32" s="77" t="s">
        <v>395</v>
      </c>
      <c r="AO32" s="79"/>
      <c r="AP32" s="79"/>
      <c r="AQ32" s="79"/>
      <c r="AR32" s="79"/>
      <c r="AS32" s="79"/>
      <c r="AT32" s="79"/>
      <c r="AU32" s="79"/>
      <c r="AV32" s="79"/>
      <c r="AW32" s="79"/>
      <c r="AX32" s="79"/>
      <c r="AY32" s="79"/>
      <c r="AZ32" s="80">
        <f t="shared" si="3"/>
        <v>0</v>
      </c>
      <c r="BF32" s="65" t="s">
        <v>489</v>
      </c>
      <c r="BG32" s="65" t="s">
        <v>490</v>
      </c>
      <c r="BH32" s="65">
        <v>1</v>
      </c>
      <c r="BK32" s="65" t="s">
        <v>178</v>
      </c>
      <c r="BL32" s="65" t="s">
        <v>397</v>
      </c>
      <c r="BM32" s="65" t="s">
        <v>398</v>
      </c>
      <c r="BN32" s="65">
        <v>1</v>
      </c>
    </row>
    <row r="33" spans="2:66" x14ac:dyDescent="0.25">
      <c r="B33" s="76" t="s">
        <v>180</v>
      </c>
      <c r="C33" s="76" t="s">
        <v>180</v>
      </c>
      <c r="D33" s="77" t="s">
        <v>430</v>
      </c>
      <c r="E33" s="77" t="s">
        <v>394</v>
      </c>
      <c r="F33" s="77"/>
      <c r="G33" s="77"/>
      <c r="H33" s="77">
        <v>2</v>
      </c>
      <c r="I33" s="77" t="s">
        <v>401</v>
      </c>
      <c r="J33" s="77" t="s">
        <v>390</v>
      </c>
      <c r="K33" s="77" t="s">
        <v>17</v>
      </c>
      <c r="L33" s="78" t="str">
        <f t="shared" si="0"/>
        <v/>
      </c>
      <c r="M33" s="77" t="str" cm="1">
        <f t="array" ref="M33">IF(OR(UPPER(TRIM($C33))="BRAZIL",UPPER(TRIM($C33))="INDIA",UPPER(TRIM($C33))="PHILIPPINES"),
   "UNDP OP8 COB - RPA",
   IFERROR(
     VLOOKUP($C33,$BF:$BG,2,0),
     _xlfn.SWITCH(UPPER(TRIM($K33)),
       "N/A","N/A",
       "VACANT","UNDP OP8 COB - Vacant",
       "UNDP","UNDP OP8 COB - UNDP CO",
       "UN COMPOUND","UNDP OP8 COB - UN Compound",
       "UNDP - WFH","UNDP OP8 COB - UNDP WFH",
"UNICEF","UNDP OP8 COB - UNICEF",
       "NHI","n.End of June 2026",
       "PRIVATE LEASE","k.End of Mar 2026",
       ""
     )
   )
)</f>
        <v>UNDP OP8 COB - UNDP CO</v>
      </c>
      <c r="N33" s="77" t="str">
        <f t="shared" si="1"/>
        <v>UNDP Action</v>
      </c>
      <c r="O33" s="79">
        <f>IFERROR(VLOOKUP($C33,'[15]2024 COBs'!$AA:$AK,5,0),"")</f>
        <v>12579</v>
      </c>
      <c r="P33" s="79">
        <f>IFERROR((VLOOKUP($C33,'[15]2024 COBs'!$AA:$AK,8,0)+VLOOKUP($C33,'[15]2024 COBs'!$AA:$AK,9,0)+VLOOKUP($C33,'[15]2024 COBs'!$AA:$AK,10,0)+VLOOKUP($C33,'[15]2024 COBs'!$AA:$AK,11,0))*5%,"")</f>
        <v>319.90000000000003</v>
      </c>
      <c r="Q33" s="79">
        <f>IFERROR((VLOOKUP($C33,'[15]2024 COBs'!$AA:$AK,8,0)+VLOOKUP($C33,'[15]2024 COBs'!$AA:$AK,9,0)+VLOOKUP($C33,'[15]2024 COBs'!$AA:$AK,10,0)+VLOOKUP($C33,'[15]2024 COBs'!$AA:$AK,11,0))*16%,"")</f>
        <v>1023.6800000000001</v>
      </c>
      <c r="R33" s="79"/>
      <c r="S33" s="79">
        <f>IFERROR(VLOOKUP($C33,'[15]2024 COBs'!$AA:$AK,7,0),"")</f>
        <v>1000</v>
      </c>
      <c r="T33" s="79">
        <f>IFERROR((VLOOKUP($C33,'[15]2024 COBs'!$AA:$AK,8,0)+VLOOKUP($C33,'[15]2024 COBs'!$AA:$AK,9,0)+VLOOKUP($C33,'[15]2024 COBs'!$AA:$AK,10,0)+VLOOKUP($C33,'[15]2024 COBs'!$AA:$AK,11,0))*20%,"")</f>
        <v>1279.6000000000001</v>
      </c>
      <c r="U33" s="79">
        <f>IFERROR(VLOOKUP($C33,'[15]2024 COBs'!$AA:$AK,6,0),"")</f>
        <v>0</v>
      </c>
      <c r="V33" s="79">
        <f>IFERROR((VLOOKUP($C33,'[15]2024 COBs'!$AA:$AK,8,0)+VLOOKUP($C33,'[15]2024 COBs'!$AA:$AK,9,0)+VLOOKUP($C33,'[15]2024 COBs'!$AA:$AK,10,0)+VLOOKUP($C33,'[15]2024 COBs'!$AA:$AK,11,0))*18%,"")</f>
        <v>1151.6399999999999</v>
      </c>
      <c r="W33" s="79">
        <f>IFERROR((VLOOKUP($C33,'[15]2024 COBs'!$AA:$AK,8,0)+VLOOKUP($C33,'[15]2024 COBs'!$AA:$AK,9,0)+VLOOKUP($C33,'[15]2024 COBs'!$AA:$AK,10,0)+VLOOKUP($C33,'[15]2024 COBs'!$AA:$AK,11,0))*27%,"")</f>
        <v>1727.46</v>
      </c>
      <c r="X33" s="79">
        <f>IFERROR((VLOOKUP($C33,'[15]2024 COBs'!$AA:$AK,8,0)+VLOOKUP($C33,'[15]2024 COBs'!$AA:$AK,9,0)+VLOOKUP($C33,'[15]2024 COBs'!$AA:$AK,10,0)+VLOOKUP($C33,'[15]2024 COBs'!$AA:$AK,11,0))*14%,"")</f>
        <v>895.72000000000014</v>
      </c>
      <c r="Y33" s="79">
        <f>IFERROR(VLOOKUP($C33,'[15]2024 COBs'!$AA:$AK,4,0),"")</f>
        <v>6752.0000000000009</v>
      </c>
      <c r="Z33" s="80">
        <f t="shared" si="4"/>
        <v>26729</v>
      </c>
      <c r="AF33" s="76" t="s">
        <v>218</v>
      </c>
      <c r="AG33" s="76" t="s">
        <v>218</v>
      </c>
      <c r="AH33" s="78" t="s">
        <v>491</v>
      </c>
      <c r="AI33" s="78" t="s">
        <v>394</v>
      </c>
      <c r="AJ33" s="78" t="s">
        <v>432</v>
      </c>
      <c r="AK33" s="78"/>
      <c r="AL33" s="78">
        <v>3</v>
      </c>
      <c r="AM33" s="77" t="s">
        <v>401</v>
      </c>
      <c r="AN33" s="77" t="s">
        <v>395</v>
      </c>
      <c r="AO33" s="79"/>
      <c r="AP33" s="79"/>
      <c r="AQ33" s="79"/>
      <c r="AR33" s="79"/>
      <c r="AS33" s="79"/>
      <c r="AT33" s="79"/>
      <c r="AU33" s="79"/>
      <c r="AV33" s="79"/>
      <c r="AW33" s="79"/>
      <c r="AX33" s="79"/>
      <c r="AY33" s="79"/>
      <c r="AZ33" s="80">
        <f t="shared" si="3"/>
        <v>0</v>
      </c>
      <c r="BF33" s="65" t="s">
        <v>215</v>
      </c>
      <c r="BG33" s="65" t="s">
        <v>396</v>
      </c>
      <c r="BH33" s="65">
        <v>1</v>
      </c>
      <c r="BK33" s="65" t="s">
        <v>428</v>
      </c>
      <c r="BL33" s="65" t="s">
        <v>411</v>
      </c>
      <c r="BM33" s="65" t="s">
        <v>396</v>
      </c>
      <c r="BN33" s="65">
        <v>1</v>
      </c>
    </row>
    <row r="34" spans="2:66" x14ac:dyDescent="0.25">
      <c r="B34" s="76" t="s">
        <v>181</v>
      </c>
      <c r="C34" s="76" t="s">
        <v>181</v>
      </c>
      <c r="D34" s="77" t="s">
        <v>434</v>
      </c>
      <c r="E34" s="77" t="s">
        <v>394</v>
      </c>
      <c r="F34" s="77"/>
      <c r="G34" s="77"/>
      <c r="H34" s="77">
        <v>3</v>
      </c>
      <c r="I34" s="77" t="s">
        <v>435</v>
      </c>
      <c r="J34" s="77" t="s">
        <v>390</v>
      </c>
      <c r="K34" s="77" t="s">
        <v>17</v>
      </c>
      <c r="L34" s="78" t="str">
        <f t="shared" si="0"/>
        <v/>
      </c>
      <c r="M34" s="77" t="str" cm="1">
        <f t="array" ref="M34">IF(OR(UPPER(TRIM($C34))="BRAZIL",UPPER(TRIM($C34))="INDIA",UPPER(TRIM($C34))="PHILIPPINES"),
   "UNDP OP8 COB - RPA",
   IFERROR(
     VLOOKUP($C34,$BF:$BG,2,0),
     _xlfn.SWITCH(UPPER(TRIM($K34)),
       "N/A","N/A",
       "VACANT","UNDP OP8 COB - Vacant",
       "UNDP","UNDP OP8 COB - UNDP CO",
       "UN COMPOUND","UNDP OP8 COB - UN Compound",
       "UNDP - WFH","UNDP OP8 COB - UNDP WFH",
"UNICEF","UNDP OP8 COB - UNICEF",
       "NHI","n.End of June 2026",
       "PRIVATE LEASE","k.End of Mar 2026",
       ""
     )
   )
)</f>
        <v>UNDP OP8 COB - UNDP CO</v>
      </c>
      <c r="N34" s="77" t="str">
        <f t="shared" si="1"/>
        <v>UNDP Action</v>
      </c>
      <c r="O34" s="79">
        <f>IFERROR(VLOOKUP($C34,'[15]2024 COBs'!$AA:$AK,5,0),"")</f>
        <v>3458</v>
      </c>
      <c r="P34" s="79">
        <f>IFERROR((VLOOKUP($C34,'[15]2024 COBs'!$AA:$AK,8,0)+VLOOKUP($C34,'[15]2024 COBs'!$AA:$AK,9,0)+VLOOKUP($C34,'[15]2024 COBs'!$AA:$AK,10,0)+VLOOKUP($C34,'[15]2024 COBs'!$AA:$AK,11,0))*5%,"")</f>
        <v>25</v>
      </c>
      <c r="Q34" s="79">
        <f>IFERROR((VLOOKUP($C34,'[15]2024 COBs'!$AA:$AK,8,0)+VLOOKUP($C34,'[15]2024 COBs'!$AA:$AK,9,0)+VLOOKUP($C34,'[15]2024 COBs'!$AA:$AK,10,0)+VLOOKUP($C34,'[15]2024 COBs'!$AA:$AK,11,0))*16%,"")</f>
        <v>80</v>
      </c>
      <c r="R34" s="79"/>
      <c r="S34" s="79">
        <f>IFERROR(VLOOKUP($C34,'[15]2024 COBs'!$AA:$AK,7,0),"")</f>
        <v>200</v>
      </c>
      <c r="T34" s="79">
        <f>IFERROR((VLOOKUP($C34,'[15]2024 COBs'!$AA:$AK,8,0)+VLOOKUP($C34,'[15]2024 COBs'!$AA:$AK,9,0)+VLOOKUP($C34,'[15]2024 COBs'!$AA:$AK,10,0)+VLOOKUP($C34,'[15]2024 COBs'!$AA:$AK,11,0))*20%,"")</f>
        <v>100</v>
      </c>
      <c r="U34" s="79">
        <f>IFERROR(VLOOKUP($C34,'[15]2024 COBs'!$AA:$AK,6,0),"")</f>
        <v>6193</v>
      </c>
      <c r="V34" s="79">
        <f>IFERROR((VLOOKUP($C34,'[15]2024 COBs'!$AA:$AK,8,0)+VLOOKUP($C34,'[15]2024 COBs'!$AA:$AK,9,0)+VLOOKUP($C34,'[15]2024 COBs'!$AA:$AK,10,0)+VLOOKUP($C34,'[15]2024 COBs'!$AA:$AK,11,0))*18%,"")</f>
        <v>90</v>
      </c>
      <c r="W34" s="79">
        <f>IFERROR((VLOOKUP($C34,'[15]2024 COBs'!$AA:$AK,8,0)+VLOOKUP($C34,'[15]2024 COBs'!$AA:$AK,9,0)+VLOOKUP($C34,'[15]2024 COBs'!$AA:$AK,10,0)+VLOOKUP($C34,'[15]2024 COBs'!$AA:$AK,11,0))*27%,"")</f>
        <v>135</v>
      </c>
      <c r="X34" s="79">
        <f>IFERROR((VLOOKUP($C34,'[15]2024 COBs'!$AA:$AK,8,0)+VLOOKUP($C34,'[15]2024 COBs'!$AA:$AK,9,0)+VLOOKUP($C34,'[15]2024 COBs'!$AA:$AK,10,0)+VLOOKUP($C34,'[15]2024 COBs'!$AA:$AK,11,0))*14%,"")</f>
        <v>70</v>
      </c>
      <c r="Y34" s="79">
        <f>IFERROR(VLOOKUP($C34,'[15]2024 COBs'!$AA:$AK,4,0),"")</f>
        <v>1500</v>
      </c>
      <c r="Z34" s="80">
        <f t="shared" si="4"/>
        <v>11851</v>
      </c>
      <c r="AF34" s="76" t="s">
        <v>222</v>
      </c>
      <c r="AG34" s="76" t="s">
        <v>222</v>
      </c>
      <c r="AH34" s="78" t="s">
        <v>492</v>
      </c>
      <c r="AI34" s="78" t="s">
        <v>394</v>
      </c>
      <c r="AJ34" s="78"/>
      <c r="AK34" s="78"/>
      <c r="AL34" s="78">
        <v>3</v>
      </c>
      <c r="AM34" s="77" t="s">
        <v>401</v>
      </c>
      <c r="AN34" s="77" t="s">
        <v>390</v>
      </c>
      <c r="AO34" s="79"/>
      <c r="AP34" s="79"/>
      <c r="AQ34" s="79"/>
      <c r="AR34" s="79"/>
      <c r="AS34" s="79"/>
      <c r="AT34" s="79"/>
      <c r="AU34" s="79"/>
      <c r="AV34" s="79"/>
      <c r="AW34" s="79"/>
      <c r="AX34" s="79"/>
      <c r="AY34" s="79"/>
      <c r="AZ34" s="80">
        <f t="shared" si="3"/>
        <v>0</v>
      </c>
      <c r="BF34" s="65" t="s">
        <v>218</v>
      </c>
      <c r="BG34" s="65" t="s">
        <v>396</v>
      </c>
      <c r="BH34" s="65">
        <v>1</v>
      </c>
      <c r="BK34" s="65" t="s">
        <v>179</v>
      </c>
      <c r="BL34" s="65" t="s">
        <v>397</v>
      </c>
      <c r="BM34" s="65" t="s">
        <v>398</v>
      </c>
      <c r="BN34" s="65">
        <v>1</v>
      </c>
    </row>
    <row r="35" spans="2:66" x14ac:dyDescent="0.25">
      <c r="B35" s="76" t="s">
        <v>182</v>
      </c>
      <c r="C35" s="76" t="s">
        <v>182</v>
      </c>
      <c r="D35" s="77" t="s">
        <v>440</v>
      </c>
      <c r="E35" s="77" t="s">
        <v>394</v>
      </c>
      <c r="F35" s="77"/>
      <c r="G35" s="77"/>
      <c r="H35" s="77">
        <v>2</v>
      </c>
      <c r="I35" s="77" t="s">
        <v>401</v>
      </c>
      <c r="J35" s="77" t="s">
        <v>390</v>
      </c>
      <c r="K35" s="77" t="s">
        <v>17</v>
      </c>
      <c r="L35" s="78" t="str">
        <f t="shared" si="0"/>
        <v/>
      </c>
      <c r="M35" s="77" t="str" cm="1">
        <f t="array" ref="M35">IF(OR(UPPER(TRIM($C35))="BRAZIL",UPPER(TRIM($C35))="INDIA",UPPER(TRIM($C35))="PHILIPPINES"),
   "UNDP OP8 COB - RPA",
   IFERROR(
     VLOOKUP($C35,$BF:$BG,2,0),
     _xlfn.SWITCH(UPPER(TRIM($K35)),
       "N/A","N/A",
       "VACANT","UNDP OP8 COB - Vacant",
       "UNDP","UNDP OP8 COB - UNDP CO",
       "UN COMPOUND","UNDP OP8 COB - UN Compound",
       "UNDP - WFH","UNDP OP8 COB - UNDP WFH",
"UNICEF","UNDP OP8 COB - UNICEF",
       "NHI","n.End of June 2026",
       "PRIVATE LEASE","k.End of Mar 2026",
       ""
     )
   )
)</f>
        <v>UNDP OP8 COB - UNDP CO</v>
      </c>
      <c r="N35" s="77" t="str">
        <f t="shared" si="1"/>
        <v>UNDP Action</v>
      </c>
      <c r="O35" s="79">
        <f>IFERROR(VLOOKUP($C35,'[15]2024 COBs'!$AA:$AK,5,0),"")</f>
        <v>12000</v>
      </c>
      <c r="P35" s="79">
        <f>IFERROR((VLOOKUP($C35,'[15]2024 COBs'!$AA:$AK,8,0)+VLOOKUP($C35,'[15]2024 COBs'!$AA:$AK,9,0)+VLOOKUP($C35,'[15]2024 COBs'!$AA:$AK,10,0)+VLOOKUP($C35,'[15]2024 COBs'!$AA:$AK,11,0))*5%,"")</f>
        <v>56.7</v>
      </c>
      <c r="Q35" s="79">
        <f>IFERROR((VLOOKUP($C35,'[15]2024 COBs'!$AA:$AK,8,0)+VLOOKUP($C35,'[15]2024 COBs'!$AA:$AK,9,0)+VLOOKUP($C35,'[15]2024 COBs'!$AA:$AK,10,0)+VLOOKUP($C35,'[15]2024 COBs'!$AA:$AK,11,0))*16%,"")</f>
        <v>181.44</v>
      </c>
      <c r="R35" s="79"/>
      <c r="S35" s="79">
        <f>IFERROR(VLOOKUP($C35,'[15]2024 COBs'!$AA:$AK,7,0),"")</f>
        <v>419.99999999999994</v>
      </c>
      <c r="T35" s="79">
        <f>IFERROR((VLOOKUP($C35,'[15]2024 COBs'!$AA:$AK,8,0)+VLOOKUP($C35,'[15]2024 COBs'!$AA:$AK,9,0)+VLOOKUP($C35,'[15]2024 COBs'!$AA:$AK,10,0)+VLOOKUP($C35,'[15]2024 COBs'!$AA:$AK,11,0))*20%,"")</f>
        <v>226.8</v>
      </c>
      <c r="U35" s="79">
        <f>IFERROR(VLOOKUP($C35,'[15]2024 COBs'!$AA:$AK,6,0),"")</f>
        <v>9600</v>
      </c>
      <c r="V35" s="79">
        <f>IFERROR((VLOOKUP($C35,'[15]2024 COBs'!$AA:$AK,8,0)+VLOOKUP($C35,'[15]2024 COBs'!$AA:$AK,9,0)+VLOOKUP($C35,'[15]2024 COBs'!$AA:$AK,10,0)+VLOOKUP($C35,'[15]2024 COBs'!$AA:$AK,11,0))*18%,"")</f>
        <v>204.12</v>
      </c>
      <c r="W35" s="79">
        <f>IFERROR((VLOOKUP($C35,'[15]2024 COBs'!$AA:$AK,8,0)+VLOOKUP($C35,'[15]2024 COBs'!$AA:$AK,9,0)+VLOOKUP($C35,'[15]2024 COBs'!$AA:$AK,10,0)+VLOOKUP($C35,'[15]2024 COBs'!$AA:$AK,11,0))*27%,"")</f>
        <v>306.18</v>
      </c>
      <c r="X35" s="79">
        <f>IFERROR((VLOOKUP($C35,'[15]2024 COBs'!$AA:$AK,8,0)+VLOOKUP($C35,'[15]2024 COBs'!$AA:$AK,9,0)+VLOOKUP($C35,'[15]2024 COBs'!$AA:$AK,10,0)+VLOOKUP($C35,'[15]2024 COBs'!$AA:$AK,11,0))*14%,"")</f>
        <v>158.76000000000002</v>
      </c>
      <c r="Y35" s="79">
        <f>IFERROR(VLOOKUP($C35,'[15]2024 COBs'!$AA:$AK,4,0),"")</f>
        <v>0</v>
      </c>
      <c r="Z35" s="80">
        <f t="shared" si="4"/>
        <v>23154</v>
      </c>
      <c r="AF35" s="76" t="s">
        <v>223</v>
      </c>
      <c r="AG35" s="76" t="s">
        <v>223</v>
      </c>
      <c r="AH35" s="78" t="s">
        <v>493</v>
      </c>
      <c r="AI35" s="78" t="s">
        <v>394</v>
      </c>
      <c r="AJ35" s="78"/>
      <c r="AK35" s="78" t="s">
        <v>463</v>
      </c>
      <c r="AL35" s="78">
        <v>2</v>
      </c>
      <c r="AM35" s="77" t="s">
        <v>401</v>
      </c>
      <c r="AN35" s="77" t="s">
        <v>390</v>
      </c>
      <c r="AO35" s="79"/>
      <c r="AP35" s="79"/>
      <c r="AQ35" s="79"/>
      <c r="AR35" s="79"/>
      <c r="AS35" s="79"/>
      <c r="AT35" s="79"/>
      <c r="AU35" s="79"/>
      <c r="AV35" s="79"/>
      <c r="AW35" s="79"/>
      <c r="AX35" s="79"/>
      <c r="AY35" s="79"/>
      <c r="AZ35" s="80">
        <f t="shared" si="3"/>
        <v>0</v>
      </c>
      <c r="BF35" s="65" t="s">
        <v>494</v>
      </c>
      <c r="BG35" s="65" t="s">
        <v>396</v>
      </c>
      <c r="BH35" s="65">
        <v>3</v>
      </c>
      <c r="BK35" s="65" t="s">
        <v>179</v>
      </c>
      <c r="BL35" s="65" t="s">
        <v>411</v>
      </c>
      <c r="BM35" s="65" t="s">
        <v>396</v>
      </c>
      <c r="BN35" s="65">
        <v>1</v>
      </c>
    </row>
    <row r="36" spans="2:66" x14ac:dyDescent="0.25">
      <c r="B36" s="76" t="s">
        <v>436</v>
      </c>
      <c r="C36" s="76" t="s">
        <v>436</v>
      </c>
      <c r="D36" s="77" t="s">
        <v>495</v>
      </c>
      <c r="E36" s="77" t="s">
        <v>388</v>
      </c>
      <c r="F36" s="77" t="s">
        <v>409</v>
      </c>
      <c r="G36" s="77" t="s">
        <v>463</v>
      </c>
      <c r="H36" s="77">
        <v>5</v>
      </c>
      <c r="I36" s="77" t="s">
        <v>421</v>
      </c>
      <c r="J36" s="77" t="s">
        <v>439</v>
      </c>
      <c r="K36" s="77" t="s">
        <v>463</v>
      </c>
      <c r="L36" s="78" t="str">
        <f t="shared" si="0"/>
        <v>Yes</v>
      </c>
      <c r="M36" s="77" t="str" cm="1">
        <f t="array" ref="M36">IF(OR(UPPER(TRIM($C36))="BRAZIL",UPPER(TRIM($C36))="INDIA",UPPER(TRIM($C36))="PHILIPPINES"),
   "UNDP OP8 COB - RPA",
   IFERROR(
     VLOOKUP($C36,$BF:$BG,2,0),
     _xlfn.SWITCH(UPPER(TRIM($K36)),
       "N/A","N/A",
       "VACANT","UNDP OP8 COB - Vacant",
       "UNDP","UNDP OP8 COB - UNDP CO",
       "UN COMPOUND","UNDP OP8 COB - UN Compound",
       "UNDP - WFH","UNDP OP8 COB - UNDP WFH",
"UNICEF","UNDP OP8 COB - UNICEF",
       "NHI","n.End of June 2026",
       "PRIVATE LEASE","k.End of Mar 2026",
       ""
     )
   )
)</f>
        <v>n.End of June 2026</v>
      </c>
      <c r="N36" s="77" t="str">
        <f t="shared" si="1"/>
        <v>UNOPS Action</v>
      </c>
      <c r="O36" s="79">
        <f>IFERROR(VLOOKUP($C36,'[15]2024 COBs'!$AA:$AK,5,0),"")</f>
        <v>13170</v>
      </c>
      <c r="P36" s="79">
        <f>IFERROR((VLOOKUP($C36,'[15]2024 COBs'!$AA:$AK,8,0)+VLOOKUP($C36,'[15]2024 COBs'!$AA:$AK,9,0)+VLOOKUP($C36,'[15]2024 COBs'!$AA:$AK,10,0)+VLOOKUP($C36,'[15]2024 COBs'!$AA:$AK,11,0))*5%,"")</f>
        <v>598.65</v>
      </c>
      <c r="Q36" s="79">
        <f>IFERROR((VLOOKUP($C36,'[15]2024 COBs'!$AA:$AK,8,0)+VLOOKUP($C36,'[15]2024 COBs'!$AA:$AK,9,0)+VLOOKUP($C36,'[15]2024 COBs'!$AA:$AK,10,0)+VLOOKUP($C36,'[15]2024 COBs'!$AA:$AK,11,0))*16%,"")</f>
        <v>1915.68</v>
      </c>
      <c r="R36" s="79"/>
      <c r="S36" s="79">
        <f>IFERROR(VLOOKUP($C36,'[15]2024 COBs'!$AA:$AK,7,0),"")</f>
        <v>700</v>
      </c>
      <c r="T36" s="79">
        <f>IFERROR((VLOOKUP($C36,'[15]2024 COBs'!$AA:$AK,8,0)+VLOOKUP($C36,'[15]2024 COBs'!$AA:$AK,9,0)+VLOOKUP($C36,'[15]2024 COBs'!$AA:$AK,10,0)+VLOOKUP($C36,'[15]2024 COBs'!$AA:$AK,11,0))*20%,"")</f>
        <v>2394.6</v>
      </c>
      <c r="U36" s="79">
        <f>IFERROR(VLOOKUP($C36,'[15]2024 COBs'!$AA:$AK,6,0),"")</f>
        <v>2713</v>
      </c>
      <c r="V36" s="79">
        <f>IFERROR((VLOOKUP($C36,'[15]2024 COBs'!$AA:$AK,8,0)+VLOOKUP($C36,'[15]2024 COBs'!$AA:$AK,9,0)+VLOOKUP($C36,'[15]2024 COBs'!$AA:$AK,10,0)+VLOOKUP($C36,'[15]2024 COBs'!$AA:$AK,11,0))*18%,"")</f>
        <v>2155.14</v>
      </c>
      <c r="W36" s="79">
        <f>IFERROR((VLOOKUP($C36,'[15]2024 COBs'!$AA:$AK,8,0)+VLOOKUP($C36,'[15]2024 COBs'!$AA:$AK,9,0)+VLOOKUP($C36,'[15]2024 COBs'!$AA:$AK,10,0)+VLOOKUP($C36,'[15]2024 COBs'!$AA:$AK,11,0))*27%,"")</f>
        <v>3232.71</v>
      </c>
      <c r="X36" s="79">
        <f>IFERROR((VLOOKUP($C36,'[15]2024 COBs'!$AA:$AK,8,0)+VLOOKUP($C36,'[15]2024 COBs'!$AA:$AK,9,0)+VLOOKUP($C36,'[15]2024 COBs'!$AA:$AK,10,0)+VLOOKUP($C36,'[15]2024 COBs'!$AA:$AK,11,0))*14%,"")</f>
        <v>1676.2200000000003</v>
      </c>
      <c r="Y36" s="79">
        <f>IFERROR(VLOOKUP($C36,'[15]2024 COBs'!$AA:$AK,4,0),"")</f>
        <v>4180</v>
      </c>
      <c r="Z36" s="80">
        <f t="shared" si="4"/>
        <v>32736</v>
      </c>
      <c r="AF36" s="76" t="s">
        <v>226</v>
      </c>
      <c r="AG36" s="76" t="s">
        <v>226</v>
      </c>
      <c r="AH36" s="78" t="s">
        <v>496</v>
      </c>
      <c r="AI36" s="78" t="s">
        <v>394</v>
      </c>
      <c r="AJ36" s="78"/>
      <c r="AK36" s="78"/>
      <c r="AL36" s="78">
        <v>1</v>
      </c>
      <c r="AM36" s="77" t="s">
        <v>401</v>
      </c>
      <c r="AN36" s="77" t="s">
        <v>390</v>
      </c>
      <c r="AO36" s="79"/>
      <c r="AP36" s="79"/>
      <c r="AQ36" s="79"/>
      <c r="AR36" s="79"/>
      <c r="AS36" s="79"/>
      <c r="AT36" s="79"/>
      <c r="AU36" s="79"/>
      <c r="AV36" s="79"/>
      <c r="AW36" s="79"/>
      <c r="AX36" s="79"/>
      <c r="AY36" s="79"/>
      <c r="AZ36" s="80">
        <f t="shared" si="3"/>
        <v>0</v>
      </c>
      <c r="BF36" s="65" t="s">
        <v>221</v>
      </c>
      <c r="BG36" s="65" t="s">
        <v>497</v>
      </c>
      <c r="BH36" s="65">
        <v>1</v>
      </c>
      <c r="BK36" s="65" t="s">
        <v>180</v>
      </c>
      <c r="BL36" s="65" t="s">
        <v>397</v>
      </c>
      <c r="BM36" s="65" t="s">
        <v>456</v>
      </c>
      <c r="BN36" s="65">
        <v>1</v>
      </c>
    </row>
    <row r="37" spans="2:66" x14ac:dyDescent="0.25">
      <c r="B37" s="76" t="s">
        <v>183</v>
      </c>
      <c r="C37" s="76" t="s">
        <v>441</v>
      </c>
      <c r="D37" s="77" t="s">
        <v>498</v>
      </c>
      <c r="E37" s="77" t="s">
        <v>408</v>
      </c>
      <c r="F37" s="77"/>
      <c r="G37" s="77"/>
      <c r="H37" s="77">
        <v>1</v>
      </c>
      <c r="I37" s="77" t="s">
        <v>401</v>
      </c>
      <c r="J37" s="77" t="s">
        <v>390</v>
      </c>
      <c r="K37" s="77" t="s">
        <v>17</v>
      </c>
      <c r="L37" s="78" t="str">
        <f t="shared" si="0"/>
        <v>Yes</v>
      </c>
      <c r="M37" s="77" t="str" cm="1">
        <f t="array" ref="M37">IF(OR(UPPER(TRIM($C37))="BRAZIL",UPPER(TRIM($C37))="INDIA",UPPER(TRIM($C37))="PHILIPPINES"),
   "UNDP OP8 COB - RPA",
   IFERROR(
     VLOOKUP($C37,$BF:$BG,2,0),
     _xlfn.SWITCH(UPPER(TRIM($K37)),
       "N/A","N/A",
       "VACANT","UNDP OP8 COB - Vacant",
       "UNDP","UNDP OP8 COB - UNDP CO",
       "UN COMPOUND","UNDP OP8 COB - UN Compound",
       "UNDP - WFH","UNDP OP8 COB - UNDP WFH",
"UNICEF","UNDP OP8 COB - UNICEF",
       "NHI","n.End of June 2026",
       "PRIVATE LEASE","k.End of Mar 2026",
       ""
     )
   )
)</f>
        <v>k.End of Mar 2026</v>
      </c>
      <c r="N37" s="77" t="str">
        <f t="shared" si="1"/>
        <v>UNOPS Action</v>
      </c>
      <c r="O37" s="79">
        <f>IFERROR(VLOOKUP($C37,'[15]2024 COBs'!$AA:$AK,5,0),"")</f>
        <v>8604.9880036294471</v>
      </c>
      <c r="P37" s="79">
        <f>IFERROR((VLOOKUP($C37,'[15]2024 COBs'!$AA:$AK,8,0)+VLOOKUP($C37,'[15]2024 COBs'!$AA:$AK,9,0)+VLOOKUP($C37,'[15]2024 COBs'!$AA:$AK,10,0)+VLOOKUP($C37,'[15]2024 COBs'!$AA:$AK,11,0))*5%,"")</f>
        <v>275.52134280621465</v>
      </c>
      <c r="Q37" s="79">
        <f>IFERROR((VLOOKUP($C37,'[15]2024 COBs'!$AA:$AK,8,0)+VLOOKUP($C37,'[15]2024 COBs'!$AA:$AK,9,0)+VLOOKUP($C37,'[15]2024 COBs'!$AA:$AK,10,0)+VLOOKUP($C37,'[15]2024 COBs'!$AA:$AK,11,0))*16%,"")</f>
        <v>881.6682969798868</v>
      </c>
      <c r="R37" s="79"/>
      <c r="S37" s="79">
        <f>IFERROR(VLOOKUP($C37,'[15]2024 COBs'!$AA:$AK,7,0),"")</f>
        <v>455.77703546194442</v>
      </c>
      <c r="T37" s="79">
        <f>IFERROR((VLOOKUP($C37,'[15]2024 COBs'!$AA:$AK,8,0)+VLOOKUP($C37,'[15]2024 COBs'!$AA:$AK,9,0)+VLOOKUP($C37,'[15]2024 COBs'!$AA:$AK,10,0)+VLOOKUP($C37,'[15]2024 COBs'!$AA:$AK,11,0))*20%,"")</f>
        <v>1102.0853712248586</v>
      </c>
      <c r="U37" s="79">
        <f>IFERROR(VLOOKUP($C37,'[15]2024 COBs'!$AA:$AK,6,0),"")</f>
        <v>11234.887044752235</v>
      </c>
      <c r="V37" s="79">
        <f>IFERROR((VLOOKUP($C37,'[15]2024 COBs'!$AA:$AK,8,0)+VLOOKUP($C37,'[15]2024 COBs'!$AA:$AK,9,0)+VLOOKUP($C37,'[15]2024 COBs'!$AA:$AK,10,0)+VLOOKUP($C37,'[15]2024 COBs'!$AA:$AK,11,0))*18%,"")</f>
        <v>991.87683410237264</v>
      </c>
      <c r="W37" s="79">
        <f>IFERROR((VLOOKUP($C37,'[15]2024 COBs'!$AA:$AK,8,0)+VLOOKUP($C37,'[15]2024 COBs'!$AA:$AK,9,0)+VLOOKUP($C37,'[15]2024 COBs'!$AA:$AK,10,0)+VLOOKUP($C37,'[15]2024 COBs'!$AA:$AK,11,0))*27%,"")</f>
        <v>1487.8152511535591</v>
      </c>
      <c r="X37" s="79">
        <f>IFERROR((VLOOKUP($C37,'[15]2024 COBs'!$AA:$AK,8,0)+VLOOKUP($C37,'[15]2024 COBs'!$AA:$AK,9,0)+VLOOKUP($C37,'[15]2024 COBs'!$AA:$AK,10,0)+VLOOKUP($C37,'[15]2024 COBs'!$AA:$AK,11,0))*14%,"")</f>
        <v>771.45975985740097</v>
      </c>
      <c r="Y37" s="79">
        <f>IFERROR(VLOOKUP($C37,'[15]2024 COBs'!$AA:$AK,4,0),"")</f>
        <v>3665.7119680711562</v>
      </c>
      <c r="Z37" s="80">
        <f t="shared" si="4"/>
        <v>29471.790908039075</v>
      </c>
      <c r="AF37" s="76" t="s">
        <v>227</v>
      </c>
      <c r="AG37" s="76" t="s">
        <v>227</v>
      </c>
      <c r="AH37" s="78" t="s">
        <v>499</v>
      </c>
      <c r="AI37" s="78" t="s">
        <v>394</v>
      </c>
      <c r="AJ37" s="78"/>
      <c r="AK37" s="78"/>
      <c r="AL37" s="78">
        <v>3</v>
      </c>
      <c r="AM37" s="77" t="s">
        <v>401</v>
      </c>
      <c r="AN37" s="77" t="s">
        <v>390</v>
      </c>
      <c r="AO37" s="79"/>
      <c r="AP37" s="79"/>
      <c r="AQ37" s="79"/>
      <c r="AR37" s="79"/>
      <c r="AS37" s="79"/>
      <c r="AT37" s="79"/>
      <c r="AU37" s="79"/>
      <c r="AV37" s="79"/>
      <c r="AW37" s="79"/>
      <c r="AX37" s="79"/>
      <c r="AY37" s="79"/>
      <c r="AZ37" s="80">
        <f t="shared" si="3"/>
        <v>0</v>
      </c>
      <c r="BF37" s="65" t="s">
        <v>223</v>
      </c>
      <c r="BG37" s="65" t="s">
        <v>415</v>
      </c>
      <c r="BH37" s="65">
        <v>1</v>
      </c>
      <c r="BK37" s="65" t="s">
        <v>182</v>
      </c>
      <c r="BL37" s="65" t="s">
        <v>397</v>
      </c>
      <c r="BM37" s="65" t="s">
        <v>398</v>
      </c>
      <c r="BN37" s="65">
        <v>2</v>
      </c>
    </row>
    <row r="38" spans="2:66" x14ac:dyDescent="0.25">
      <c r="B38" s="76" t="s">
        <v>184</v>
      </c>
      <c r="C38" s="76" t="s">
        <v>184</v>
      </c>
      <c r="D38" s="77" t="s">
        <v>444</v>
      </c>
      <c r="E38" s="77" t="s">
        <v>394</v>
      </c>
      <c r="F38" s="77"/>
      <c r="G38" s="77"/>
      <c r="H38" s="77">
        <v>1</v>
      </c>
      <c r="I38" s="77" t="s">
        <v>401</v>
      </c>
      <c r="J38" s="77" t="s">
        <v>390</v>
      </c>
      <c r="K38" s="77" t="s">
        <v>425</v>
      </c>
      <c r="L38" s="78" t="str">
        <f t="shared" si="0"/>
        <v>Yes</v>
      </c>
      <c r="M38" s="77" t="str" cm="1">
        <f t="array" ref="M38">IF(OR(UPPER(TRIM($C38))="BRAZIL",UPPER(TRIM($C38))="INDIA",UPPER(TRIM($C38))="PHILIPPINES"),
   "UNDP OP8 COB - RPA",
   IFERROR(
     VLOOKUP($C38,$BF:$BG,2,0),
     _xlfn.SWITCH(UPPER(TRIM($K38)),
       "N/A","N/A",
       "VACANT","UNDP OP8 COB - Vacant",
       "UNDP","UNDP OP8 COB - UNDP CO",
       "UN COMPOUND","UNDP OP8 COB - UN Compound",
       "UNDP - WFH","UNDP OP8 COB - UNDP WFH",
"UNICEF","UNDP OP8 COB - UNICEF",
       "NHI","n.End of June 2026",
       "PRIVATE LEASE","k.End of Mar 2026",
       ""
     )
   )
)</f>
        <v>k.End of Mar 2026</v>
      </c>
      <c r="N38" s="77" t="str">
        <f t="shared" si="1"/>
        <v>UNOPS Action</v>
      </c>
      <c r="O38" s="79">
        <f>IFERROR(VLOOKUP($C38,'[15]2024 COBs'!$AA:$AK,5,0),"")</f>
        <v>2807.25</v>
      </c>
      <c r="P38" s="79">
        <f>IFERROR((VLOOKUP($C38,'[15]2024 COBs'!$AA:$AK,8,0)+VLOOKUP($C38,'[15]2024 COBs'!$AA:$AK,9,0)+VLOOKUP($C38,'[15]2024 COBs'!$AA:$AK,10,0)+VLOOKUP($C38,'[15]2024 COBs'!$AA:$AK,11,0))*5%,"")</f>
        <v>174.3</v>
      </c>
      <c r="Q38" s="79">
        <f>IFERROR((VLOOKUP($C38,'[15]2024 COBs'!$AA:$AK,8,0)+VLOOKUP($C38,'[15]2024 COBs'!$AA:$AK,9,0)+VLOOKUP($C38,'[15]2024 COBs'!$AA:$AK,10,0)+VLOOKUP($C38,'[15]2024 COBs'!$AA:$AK,11,0))*16%,"")</f>
        <v>557.76</v>
      </c>
      <c r="R38" s="79"/>
      <c r="S38" s="79">
        <f>IFERROR(VLOOKUP($C38,'[15]2024 COBs'!$AA:$AK,7,0),"")</f>
        <v>1428</v>
      </c>
      <c r="T38" s="79">
        <f>IFERROR((VLOOKUP($C38,'[15]2024 COBs'!$AA:$AK,8,0)+VLOOKUP($C38,'[15]2024 COBs'!$AA:$AK,9,0)+VLOOKUP($C38,'[15]2024 COBs'!$AA:$AK,10,0)+VLOOKUP($C38,'[15]2024 COBs'!$AA:$AK,11,0))*20%,"")</f>
        <v>697.2</v>
      </c>
      <c r="U38" s="79">
        <f>IFERROR(VLOOKUP($C38,'[15]2024 COBs'!$AA:$AK,6,0),"")</f>
        <v>24022.5</v>
      </c>
      <c r="V38" s="79">
        <f>IFERROR((VLOOKUP($C38,'[15]2024 COBs'!$AA:$AK,8,0)+VLOOKUP($C38,'[15]2024 COBs'!$AA:$AK,9,0)+VLOOKUP($C38,'[15]2024 COBs'!$AA:$AK,10,0)+VLOOKUP($C38,'[15]2024 COBs'!$AA:$AK,11,0))*18%,"")</f>
        <v>627.48</v>
      </c>
      <c r="W38" s="79">
        <f>IFERROR((VLOOKUP($C38,'[15]2024 COBs'!$AA:$AK,8,0)+VLOOKUP($C38,'[15]2024 COBs'!$AA:$AK,9,0)+VLOOKUP($C38,'[15]2024 COBs'!$AA:$AK,10,0)+VLOOKUP($C38,'[15]2024 COBs'!$AA:$AK,11,0))*27%,"")</f>
        <v>941.22</v>
      </c>
      <c r="X38" s="79">
        <f>IFERROR((VLOOKUP($C38,'[15]2024 COBs'!$AA:$AK,8,0)+VLOOKUP($C38,'[15]2024 COBs'!$AA:$AK,9,0)+VLOOKUP($C38,'[15]2024 COBs'!$AA:$AK,10,0)+VLOOKUP($C38,'[15]2024 COBs'!$AA:$AK,11,0))*14%,"")</f>
        <v>488.04</v>
      </c>
      <c r="Y38" s="79">
        <f>IFERROR(VLOOKUP($C38,'[15]2024 COBs'!$AA:$AK,4,0),"")</f>
        <v>1316.25</v>
      </c>
      <c r="Z38" s="80">
        <f t="shared" si="4"/>
        <v>33060</v>
      </c>
      <c r="AF38" s="76" t="s">
        <v>233</v>
      </c>
      <c r="AG38" s="76" t="s">
        <v>233</v>
      </c>
      <c r="AH38" s="78" t="s">
        <v>500</v>
      </c>
      <c r="AI38" s="78" t="s">
        <v>394</v>
      </c>
      <c r="AJ38" s="78"/>
      <c r="AK38" s="78"/>
      <c r="AL38" s="78">
        <v>3</v>
      </c>
      <c r="AM38" s="77" t="s">
        <v>401</v>
      </c>
      <c r="AN38" s="77" t="s">
        <v>390</v>
      </c>
      <c r="AO38" s="79"/>
      <c r="AP38" s="79"/>
      <c r="AQ38" s="79"/>
      <c r="AR38" s="79"/>
      <c r="AS38" s="79"/>
      <c r="AT38" s="79"/>
      <c r="AU38" s="79"/>
      <c r="AV38" s="79"/>
      <c r="AW38" s="79"/>
      <c r="AX38" s="79"/>
      <c r="AY38" s="79"/>
      <c r="AZ38" s="80">
        <f t="shared" si="3"/>
        <v>0</v>
      </c>
      <c r="BF38" s="65" t="s">
        <v>224</v>
      </c>
      <c r="BG38" s="65" t="s">
        <v>396</v>
      </c>
      <c r="BH38" s="65">
        <v>1</v>
      </c>
      <c r="BK38" s="65" t="s">
        <v>436</v>
      </c>
      <c r="BL38" s="65" t="s">
        <v>411</v>
      </c>
      <c r="BM38" s="65" t="s">
        <v>396</v>
      </c>
      <c r="BN38" s="65">
        <v>1</v>
      </c>
    </row>
    <row r="39" spans="2:66" x14ac:dyDescent="0.25">
      <c r="B39" s="76" t="s">
        <v>185</v>
      </c>
      <c r="C39" s="76" t="s">
        <v>185</v>
      </c>
      <c r="D39" s="77" t="s">
        <v>501</v>
      </c>
      <c r="E39" s="77" t="s">
        <v>408</v>
      </c>
      <c r="F39" s="77"/>
      <c r="G39" s="77"/>
      <c r="H39" s="77">
        <v>3</v>
      </c>
      <c r="I39" s="77" t="s">
        <v>401</v>
      </c>
      <c r="J39" s="77" t="s">
        <v>390</v>
      </c>
      <c r="K39" s="77" t="s">
        <v>17</v>
      </c>
      <c r="L39" s="78" t="str">
        <f t="shared" si="0"/>
        <v>Yes</v>
      </c>
      <c r="M39" s="77" t="str" cm="1">
        <f t="array" ref="M39">IF(OR(UPPER(TRIM($C39))="BRAZIL",UPPER(TRIM($C39))="INDIA",UPPER(TRIM($C39))="PHILIPPINES"),
   "UNDP OP8 COB - RPA",
   IFERROR(
     VLOOKUP($C39,$BF:$BG,2,0),
     _xlfn.SWITCH(UPPER(TRIM($K39)),
       "N/A","N/A",
       "VACANT","UNDP OP8 COB - Vacant",
       "UNDP","UNDP OP8 COB - UNDP CO",
       "UN COMPOUND","UNDP OP8 COB - UN Compound",
       "UNDP - WFH","UNDP OP8 COB - UNDP WFH",
"UNICEF","UNDP OP8 COB - UNICEF",
       "NHI","n.End of June 2026",
       "PRIVATE LEASE","k.End of Mar 2026",
       ""
     )
   )
)</f>
        <v>j.End of Feb 2026</v>
      </c>
      <c r="N39" s="77" t="str">
        <f t="shared" si="1"/>
        <v>UNOPS Action</v>
      </c>
      <c r="O39" s="79">
        <f>IFERROR(VLOOKUP($C39,'[15]2024 COBs'!$AA:$AK,5,0),"")</f>
        <v>25180.212765957447</v>
      </c>
      <c r="P39" s="79">
        <f>IFERROR((VLOOKUP($C39,'[15]2024 COBs'!$AA:$AK,8,0)+VLOOKUP($C39,'[15]2024 COBs'!$AA:$AK,9,0)+VLOOKUP($C39,'[15]2024 COBs'!$AA:$AK,10,0)+VLOOKUP($C39,'[15]2024 COBs'!$AA:$AK,11,0))*5%,"")</f>
        <v>134.29446808510639</v>
      </c>
      <c r="Q39" s="79">
        <f>IFERROR((VLOOKUP($C39,'[15]2024 COBs'!$AA:$AK,8,0)+VLOOKUP($C39,'[15]2024 COBs'!$AA:$AK,9,0)+VLOOKUP($C39,'[15]2024 COBs'!$AA:$AK,10,0)+VLOOKUP($C39,'[15]2024 COBs'!$AA:$AK,11,0))*16%,"")</f>
        <v>429.74229787234043</v>
      </c>
      <c r="R39" s="79"/>
      <c r="S39" s="79">
        <f>IFERROR(VLOOKUP($C39,'[15]2024 COBs'!$AA:$AK,7,0),"")</f>
        <v>671.47234042553191</v>
      </c>
      <c r="T39" s="79">
        <f>IFERROR((VLOOKUP($C39,'[15]2024 COBs'!$AA:$AK,8,0)+VLOOKUP($C39,'[15]2024 COBs'!$AA:$AK,9,0)+VLOOKUP($C39,'[15]2024 COBs'!$AA:$AK,10,0)+VLOOKUP($C39,'[15]2024 COBs'!$AA:$AK,11,0))*20%,"")</f>
        <v>537.17787234042555</v>
      </c>
      <c r="U39" s="79">
        <f>IFERROR(VLOOKUP($C39,'[15]2024 COBs'!$AA:$AK,6,0),"")</f>
        <v>10491.755319148935</v>
      </c>
      <c r="V39" s="79">
        <f>IFERROR((VLOOKUP($C39,'[15]2024 COBs'!$AA:$AK,8,0)+VLOOKUP($C39,'[15]2024 COBs'!$AA:$AK,9,0)+VLOOKUP($C39,'[15]2024 COBs'!$AA:$AK,10,0)+VLOOKUP($C39,'[15]2024 COBs'!$AA:$AK,11,0))*18%,"")</f>
        <v>483.46008510638296</v>
      </c>
      <c r="W39" s="79">
        <f>IFERROR((VLOOKUP($C39,'[15]2024 COBs'!$AA:$AK,8,0)+VLOOKUP($C39,'[15]2024 COBs'!$AA:$AK,9,0)+VLOOKUP($C39,'[15]2024 COBs'!$AA:$AK,10,0)+VLOOKUP($C39,'[15]2024 COBs'!$AA:$AK,11,0))*27%,"")</f>
        <v>725.1901276595745</v>
      </c>
      <c r="X39" s="79">
        <f>IFERROR((VLOOKUP($C39,'[15]2024 COBs'!$AA:$AK,8,0)+VLOOKUP($C39,'[15]2024 COBs'!$AA:$AK,9,0)+VLOOKUP($C39,'[15]2024 COBs'!$AA:$AK,10,0)+VLOOKUP($C39,'[15]2024 COBs'!$AA:$AK,11,0))*14%,"")</f>
        <v>376.0245106382979</v>
      </c>
      <c r="Y39" s="79">
        <f>IFERROR(VLOOKUP($C39,'[15]2024 COBs'!$AA:$AK,4,0),"")</f>
        <v>419.67021276595744</v>
      </c>
      <c r="Z39" s="80">
        <f t="shared" si="4"/>
        <v>39449</v>
      </c>
      <c r="AF39" s="76" t="s">
        <v>502</v>
      </c>
      <c r="AG39" s="76" t="s">
        <v>502</v>
      </c>
      <c r="AH39" s="78" t="s">
        <v>503</v>
      </c>
      <c r="AI39" s="78" t="s">
        <v>394</v>
      </c>
      <c r="AJ39" s="78"/>
      <c r="AK39" s="78"/>
      <c r="AL39" s="78">
        <v>3</v>
      </c>
      <c r="AM39" s="77" t="s">
        <v>389</v>
      </c>
      <c r="AN39" s="77" t="s">
        <v>395</v>
      </c>
      <c r="AO39" s="79"/>
      <c r="AP39" s="79"/>
      <c r="AQ39" s="79"/>
      <c r="AR39" s="79"/>
      <c r="AS39" s="79"/>
      <c r="AT39" s="79"/>
      <c r="AU39" s="79"/>
      <c r="AV39" s="79"/>
      <c r="AW39" s="79"/>
      <c r="AX39" s="79"/>
      <c r="AY39" s="79"/>
      <c r="AZ39" s="80">
        <f t="shared" si="3"/>
        <v>0</v>
      </c>
      <c r="BF39" s="65" t="s">
        <v>225</v>
      </c>
      <c r="BG39" s="65" t="s">
        <v>396</v>
      </c>
      <c r="BH39" s="65">
        <v>1</v>
      </c>
      <c r="BK39" s="65" t="s">
        <v>441</v>
      </c>
      <c r="BL39" s="65" t="s">
        <v>397</v>
      </c>
      <c r="BM39" s="65" t="s">
        <v>416</v>
      </c>
      <c r="BN39" s="65">
        <v>1</v>
      </c>
    </row>
    <row r="40" spans="2:66" x14ac:dyDescent="0.25">
      <c r="B40" s="76" t="s">
        <v>186</v>
      </c>
      <c r="C40" s="76" t="s">
        <v>186</v>
      </c>
      <c r="D40" s="77" t="s">
        <v>504</v>
      </c>
      <c r="E40" s="77" t="s">
        <v>404</v>
      </c>
      <c r="F40" s="77"/>
      <c r="G40" s="77"/>
      <c r="H40" s="77">
        <v>3</v>
      </c>
      <c r="I40" s="77" t="s">
        <v>401</v>
      </c>
      <c r="J40" s="77" t="s">
        <v>390</v>
      </c>
      <c r="K40" s="77" t="s">
        <v>17</v>
      </c>
      <c r="L40" s="78" t="str">
        <f t="shared" si="0"/>
        <v/>
      </c>
      <c r="M40" s="77" t="str" cm="1">
        <f t="array" ref="M40">IF(OR(UPPER(TRIM($C40))="BRAZIL",UPPER(TRIM($C40))="INDIA",UPPER(TRIM($C40))="PHILIPPINES"),
   "UNDP OP8 COB - RPA",
   IFERROR(
     VLOOKUP($C40,$BF:$BG,2,0),
     _xlfn.SWITCH(UPPER(TRIM($K40)),
       "N/A","N/A",
       "VACANT","UNDP OP8 COB - Vacant",
       "UNDP","UNDP OP8 COB - UNDP CO",
       "UN COMPOUND","UNDP OP8 COB - UN Compound",
       "UNDP - WFH","UNDP OP8 COB - UNDP WFH",
"UNICEF","UNDP OP8 COB - UNICEF",
       "NHI","n.End of June 2026",
       "PRIVATE LEASE","k.End of Mar 2026",
       ""
     )
   )
)</f>
        <v>UNDP OP8 COB - UNDP CO</v>
      </c>
      <c r="N40" s="77" t="str">
        <f t="shared" si="1"/>
        <v>UNDP Action</v>
      </c>
      <c r="O40" s="79">
        <f>IFERROR(VLOOKUP($C40,'[15]2024 COBs'!$AA:$AK,5,0),"")</f>
        <v>7929.7292876910415</v>
      </c>
      <c r="P40" s="79">
        <f>IFERROR((VLOOKUP($C40,'[15]2024 COBs'!$AA:$AK,8,0)+VLOOKUP($C40,'[15]2024 COBs'!$AA:$AK,9,0)+VLOOKUP($C40,'[15]2024 COBs'!$AA:$AK,10,0)+VLOOKUP($C40,'[15]2024 COBs'!$AA:$AK,11,0))*5%,"")</f>
        <v>88.878044827844121</v>
      </c>
      <c r="Q40" s="79">
        <f>IFERROR((VLOOKUP($C40,'[15]2024 COBs'!$AA:$AK,8,0)+VLOOKUP($C40,'[15]2024 COBs'!$AA:$AK,9,0)+VLOOKUP($C40,'[15]2024 COBs'!$AA:$AK,10,0)+VLOOKUP($C40,'[15]2024 COBs'!$AA:$AK,11,0))*16%,"")</f>
        <v>284.4097434491012</v>
      </c>
      <c r="R40" s="79"/>
      <c r="S40" s="79">
        <f>IFERROR(VLOOKUP($C40,'[15]2024 COBs'!$AA:$AK,7,0),"")</f>
        <v>0</v>
      </c>
      <c r="T40" s="79">
        <f>IFERROR((VLOOKUP($C40,'[15]2024 COBs'!$AA:$AK,8,0)+VLOOKUP($C40,'[15]2024 COBs'!$AA:$AK,9,0)+VLOOKUP($C40,'[15]2024 COBs'!$AA:$AK,10,0)+VLOOKUP($C40,'[15]2024 COBs'!$AA:$AK,11,0))*20%,"")</f>
        <v>355.51217931137649</v>
      </c>
      <c r="U40" s="79">
        <f>IFERROR(VLOOKUP($C40,'[15]2024 COBs'!$AA:$AK,6,0),"")</f>
        <v>22418.787404323219</v>
      </c>
      <c r="V40" s="79">
        <f>IFERROR((VLOOKUP($C40,'[15]2024 COBs'!$AA:$AK,8,0)+VLOOKUP($C40,'[15]2024 COBs'!$AA:$AK,9,0)+VLOOKUP($C40,'[15]2024 COBs'!$AA:$AK,10,0)+VLOOKUP($C40,'[15]2024 COBs'!$AA:$AK,11,0))*18%,"")</f>
        <v>319.96096138023881</v>
      </c>
      <c r="W40" s="79">
        <f>IFERROR((VLOOKUP($C40,'[15]2024 COBs'!$AA:$AK,8,0)+VLOOKUP($C40,'[15]2024 COBs'!$AA:$AK,9,0)+VLOOKUP($C40,'[15]2024 COBs'!$AA:$AK,10,0)+VLOOKUP($C40,'[15]2024 COBs'!$AA:$AK,11,0))*27%,"")</f>
        <v>479.94144207035828</v>
      </c>
      <c r="X40" s="79">
        <f>IFERROR((VLOOKUP($C40,'[15]2024 COBs'!$AA:$AK,8,0)+VLOOKUP($C40,'[15]2024 COBs'!$AA:$AK,9,0)+VLOOKUP($C40,'[15]2024 COBs'!$AA:$AK,10,0)+VLOOKUP($C40,'[15]2024 COBs'!$AA:$AK,11,0))*14%,"")</f>
        <v>248.85852551796356</v>
      </c>
      <c r="Y40" s="79">
        <f>IFERROR(VLOOKUP($C40,'[15]2024 COBs'!$AA:$AK,4,0),"")</f>
        <v>2399.9224114288563</v>
      </c>
      <c r="Z40" s="80">
        <f t="shared" si="4"/>
        <v>34526</v>
      </c>
      <c r="AF40" s="76" t="s">
        <v>235</v>
      </c>
      <c r="AG40" s="76" t="s">
        <v>235</v>
      </c>
      <c r="AH40" s="78" t="s">
        <v>505</v>
      </c>
      <c r="AI40" s="78" t="s">
        <v>394</v>
      </c>
      <c r="AJ40" s="78"/>
      <c r="AK40" s="78"/>
      <c r="AL40" s="78">
        <v>1</v>
      </c>
      <c r="AM40" s="77" t="s">
        <v>401</v>
      </c>
      <c r="AN40" s="77" t="s">
        <v>390</v>
      </c>
      <c r="AO40" s="79"/>
      <c r="AP40" s="79"/>
      <c r="AQ40" s="79"/>
      <c r="AR40" s="79"/>
      <c r="AS40" s="79"/>
      <c r="AT40" s="79"/>
      <c r="AU40" s="79"/>
      <c r="AV40" s="79"/>
      <c r="AW40" s="79"/>
      <c r="AX40" s="79"/>
      <c r="AY40" s="79"/>
      <c r="AZ40" s="80">
        <f t="shared" si="3"/>
        <v>0</v>
      </c>
      <c r="BF40" s="65" t="s">
        <v>227</v>
      </c>
      <c r="BG40" s="65" t="s">
        <v>396</v>
      </c>
      <c r="BH40" s="65">
        <v>1</v>
      </c>
      <c r="BK40" s="65" t="s">
        <v>441</v>
      </c>
      <c r="BL40" s="65" t="s">
        <v>411</v>
      </c>
      <c r="BM40" s="65" t="s">
        <v>415</v>
      </c>
      <c r="BN40" s="65">
        <v>1</v>
      </c>
    </row>
    <row r="41" spans="2:66" x14ac:dyDescent="0.25">
      <c r="B41" s="76" t="s">
        <v>187</v>
      </c>
      <c r="C41" s="76" t="s">
        <v>187</v>
      </c>
      <c r="D41" s="77" t="s">
        <v>506</v>
      </c>
      <c r="E41" s="77" t="s">
        <v>408</v>
      </c>
      <c r="F41" s="77" t="s">
        <v>409</v>
      </c>
      <c r="G41" s="77"/>
      <c r="H41" s="77">
        <v>3</v>
      </c>
      <c r="I41" s="77" t="s">
        <v>401</v>
      </c>
      <c r="J41" s="77" t="s">
        <v>390</v>
      </c>
      <c r="K41" s="77" t="s">
        <v>391</v>
      </c>
      <c r="L41" s="78" t="str">
        <f t="shared" si="0"/>
        <v/>
      </c>
      <c r="M41" s="77" t="str" cm="1">
        <f t="array" ref="M41">IF(OR(UPPER(TRIM($C41))="BRAZIL",UPPER(TRIM($C41))="INDIA",UPPER(TRIM($C41))="PHILIPPINES"),
   "UNDP OP8 COB - RPA",
   IFERROR(
     VLOOKUP($C41,$BF:$BG,2,0),
     _xlfn.SWITCH(UPPER(TRIM($K41)),
       "N/A","N/A",
       "VACANT","UNDP OP8 COB - Vacant",
       "UNDP","UNDP OP8 COB - UNDP CO",
       "UN COMPOUND","UNDP OP8 COB - UN Compound",
       "UNDP - WFH","UNDP OP8 COB - UNDP WFH",
"UNICEF","UNDP OP8 COB - UNICEF",
       "NHI","n.End of June 2026",
       "PRIVATE LEASE","k.End of Mar 2026",
       ""
     )
   )
)</f>
        <v>UNDP OP8 COB - Vacant</v>
      </c>
      <c r="N41" s="77" t="str">
        <f t="shared" si="1"/>
        <v>UNDP Action</v>
      </c>
      <c r="O41" s="79">
        <f>IFERROR(VLOOKUP($C41,'[15]2024 COBs'!$AA:$AK,5,0),"")</f>
        <v>1350</v>
      </c>
      <c r="P41" s="79">
        <f>IFERROR((VLOOKUP($C41,'[15]2024 COBs'!$AA:$AK,8,0)+VLOOKUP($C41,'[15]2024 COBs'!$AA:$AK,9,0)+VLOOKUP($C41,'[15]2024 COBs'!$AA:$AK,10,0)+VLOOKUP($C41,'[15]2024 COBs'!$AA:$AK,11,0))*5%,"")</f>
        <v>91.875</v>
      </c>
      <c r="Q41" s="79">
        <f>IFERROR((VLOOKUP($C41,'[15]2024 COBs'!$AA:$AK,8,0)+VLOOKUP($C41,'[15]2024 COBs'!$AA:$AK,9,0)+VLOOKUP($C41,'[15]2024 COBs'!$AA:$AK,10,0)+VLOOKUP($C41,'[15]2024 COBs'!$AA:$AK,11,0))*16%,"")</f>
        <v>294</v>
      </c>
      <c r="R41" s="79"/>
      <c r="S41" s="79">
        <f>IFERROR(VLOOKUP($C41,'[15]2024 COBs'!$AA:$AK,7,0),"")</f>
        <v>225</v>
      </c>
      <c r="T41" s="79">
        <f>IFERROR((VLOOKUP($C41,'[15]2024 COBs'!$AA:$AK,8,0)+VLOOKUP($C41,'[15]2024 COBs'!$AA:$AK,9,0)+VLOOKUP($C41,'[15]2024 COBs'!$AA:$AK,10,0)+VLOOKUP($C41,'[15]2024 COBs'!$AA:$AK,11,0))*20%,"")</f>
        <v>367.5</v>
      </c>
      <c r="U41" s="79">
        <f>IFERROR(VLOOKUP($C41,'[15]2024 COBs'!$AA:$AK,6,0),"")</f>
        <v>12738.75</v>
      </c>
      <c r="V41" s="79">
        <f>IFERROR((VLOOKUP($C41,'[15]2024 COBs'!$AA:$AK,8,0)+VLOOKUP($C41,'[15]2024 COBs'!$AA:$AK,9,0)+VLOOKUP($C41,'[15]2024 COBs'!$AA:$AK,10,0)+VLOOKUP($C41,'[15]2024 COBs'!$AA:$AK,11,0))*18%,"")</f>
        <v>330.75</v>
      </c>
      <c r="W41" s="79">
        <f>IFERROR((VLOOKUP($C41,'[15]2024 COBs'!$AA:$AK,8,0)+VLOOKUP($C41,'[15]2024 COBs'!$AA:$AK,9,0)+VLOOKUP($C41,'[15]2024 COBs'!$AA:$AK,10,0)+VLOOKUP($C41,'[15]2024 COBs'!$AA:$AK,11,0))*27%,"")</f>
        <v>496.12500000000006</v>
      </c>
      <c r="X41" s="79">
        <f>IFERROR((VLOOKUP($C41,'[15]2024 COBs'!$AA:$AK,8,0)+VLOOKUP($C41,'[15]2024 COBs'!$AA:$AK,9,0)+VLOOKUP($C41,'[15]2024 COBs'!$AA:$AK,10,0)+VLOOKUP($C41,'[15]2024 COBs'!$AA:$AK,11,0))*14%,"")</f>
        <v>257.25</v>
      </c>
      <c r="Y41" s="79">
        <f>IFERROR(VLOOKUP($C41,'[15]2024 COBs'!$AA:$AK,4,0),"")</f>
        <v>2925.0000000000005</v>
      </c>
      <c r="Z41" s="80">
        <f t="shared" si="4"/>
        <v>19076.25</v>
      </c>
      <c r="AF41" s="76" t="s">
        <v>236</v>
      </c>
      <c r="AG41" s="76" t="s">
        <v>236</v>
      </c>
      <c r="AH41" s="78" t="s">
        <v>507</v>
      </c>
      <c r="AI41" s="78" t="s">
        <v>394</v>
      </c>
      <c r="AJ41" s="78" t="s">
        <v>409</v>
      </c>
      <c r="AK41" s="78"/>
      <c r="AL41" s="78">
        <v>2</v>
      </c>
      <c r="AM41" s="77" t="s">
        <v>401</v>
      </c>
      <c r="AN41" s="77" t="s">
        <v>390</v>
      </c>
      <c r="AO41" s="79"/>
      <c r="AP41" s="79"/>
      <c r="AQ41" s="79"/>
      <c r="AR41" s="79"/>
      <c r="AS41" s="79"/>
      <c r="AT41" s="79"/>
      <c r="AU41" s="79"/>
      <c r="AV41" s="79"/>
      <c r="AW41" s="79"/>
      <c r="AX41" s="79"/>
      <c r="AY41" s="79"/>
      <c r="AZ41" s="80">
        <f t="shared" si="3"/>
        <v>0</v>
      </c>
      <c r="BF41" s="65" t="s">
        <v>229</v>
      </c>
      <c r="BG41" s="65" t="s">
        <v>396</v>
      </c>
      <c r="BH41" s="65">
        <v>1</v>
      </c>
      <c r="BK41" s="65" t="s">
        <v>184</v>
      </c>
      <c r="BL41" s="65" t="s">
        <v>411</v>
      </c>
      <c r="BM41" s="65" t="s">
        <v>415</v>
      </c>
      <c r="BN41" s="65">
        <v>1</v>
      </c>
    </row>
    <row r="42" spans="2:66" x14ac:dyDescent="0.25">
      <c r="B42" s="76" t="s">
        <v>188</v>
      </c>
      <c r="C42" s="81" t="s">
        <v>188</v>
      </c>
      <c r="D42" s="77" t="s">
        <v>508</v>
      </c>
      <c r="E42" s="77" t="s">
        <v>408</v>
      </c>
      <c r="F42" s="77"/>
      <c r="G42" s="77"/>
      <c r="H42" s="77">
        <v>2</v>
      </c>
      <c r="I42" s="77" t="s">
        <v>401</v>
      </c>
      <c r="J42" s="77" t="s">
        <v>390</v>
      </c>
      <c r="K42" s="77" t="s">
        <v>425</v>
      </c>
      <c r="L42" s="78" t="str">
        <f t="shared" si="0"/>
        <v>Yes</v>
      </c>
      <c r="M42" s="77" t="str" cm="1">
        <f t="array" ref="M42">IF(OR(UPPER(TRIM($C42))="BRAZIL",UPPER(TRIM($C42))="INDIA",UPPER(TRIM($C42))="PHILIPPINES"),
   "UNDP OP8 COB - RPA",
   IFERROR(
     VLOOKUP($C42,$BF:$BG,2,0),
     _xlfn.SWITCH(UPPER(TRIM($K42)),
       "N/A","N/A",
       "VACANT","UNDP OP8 COB - Vacant",
       "UNDP","UNDP OP8 COB - UNDP CO",
       "UN COMPOUND","UNDP OP8 COB - UN Compound",
       "UNDP - WFH","UNDP OP8 COB - UNDP WFH",
"UNICEF","UNDP OP8 COB - UNICEF",
       "NHI","n.End of June 2026",
       "PRIVATE LEASE","k.End of Mar 2026",
       ""
     )
   )
)</f>
        <v>n.End of June 2026</v>
      </c>
      <c r="N42" s="77" t="str">
        <f t="shared" si="1"/>
        <v>UNOPS Action</v>
      </c>
      <c r="O42" s="79">
        <v>16820</v>
      </c>
      <c r="P42" s="79">
        <f>IFERROR((VLOOKUP($C42,'[15]2024 COBs'!$AA:$AK,8,0)+VLOOKUP($C42,'[15]2024 COBs'!$AA:$AK,9,0)+VLOOKUP($C42,'[15]2024 COBs'!$AA:$AK,10,0)+VLOOKUP($C42,'[15]2024 COBs'!$AA:$AK,11,0))*5%,"")</f>
        <v>883.10279329608954</v>
      </c>
      <c r="Q42" s="79">
        <v>1926</v>
      </c>
      <c r="R42" s="79"/>
      <c r="S42" s="79">
        <v>1724</v>
      </c>
      <c r="T42" s="79">
        <v>1532</v>
      </c>
      <c r="U42" s="79">
        <v>2299</v>
      </c>
      <c r="V42" s="79">
        <v>13079</v>
      </c>
      <c r="W42" s="79">
        <v>1269</v>
      </c>
      <c r="X42" s="79">
        <v>2473</v>
      </c>
      <c r="Y42" s="79">
        <v>1185</v>
      </c>
      <c r="Z42" s="80">
        <f t="shared" si="4"/>
        <v>43190.102793296086</v>
      </c>
      <c r="AF42" s="76" t="s">
        <v>237</v>
      </c>
      <c r="AG42" s="76" t="s">
        <v>237</v>
      </c>
      <c r="AH42" s="78" t="s">
        <v>509</v>
      </c>
      <c r="AI42" s="78" t="s">
        <v>394</v>
      </c>
      <c r="AJ42" s="78"/>
      <c r="AK42" s="78"/>
      <c r="AL42" s="78">
        <v>2</v>
      </c>
      <c r="AM42" s="77" t="s">
        <v>401</v>
      </c>
      <c r="AN42" s="77" t="s">
        <v>390</v>
      </c>
      <c r="AO42" s="79"/>
      <c r="AP42" s="79"/>
      <c r="AQ42" s="79"/>
      <c r="AR42" s="79"/>
      <c r="AS42" s="79"/>
      <c r="AT42" s="79"/>
      <c r="AU42" s="79"/>
      <c r="AV42" s="79"/>
      <c r="AW42" s="79"/>
      <c r="AX42" s="79"/>
      <c r="AY42" s="79"/>
      <c r="AZ42" s="80">
        <f t="shared" si="3"/>
        <v>0</v>
      </c>
      <c r="BF42" s="65" t="s">
        <v>231</v>
      </c>
      <c r="BG42" s="65" t="s">
        <v>415</v>
      </c>
      <c r="BH42" s="65">
        <v>1</v>
      </c>
      <c r="BK42" s="65" t="s">
        <v>185</v>
      </c>
      <c r="BL42" s="65" t="s">
        <v>397</v>
      </c>
      <c r="BM42" s="65" t="s">
        <v>398</v>
      </c>
      <c r="BN42" s="65">
        <v>1</v>
      </c>
    </row>
    <row r="43" spans="2:66" x14ac:dyDescent="0.25">
      <c r="B43" s="76" t="s">
        <v>189</v>
      </c>
      <c r="C43" s="76" t="s">
        <v>189</v>
      </c>
      <c r="D43" s="77" t="s">
        <v>510</v>
      </c>
      <c r="E43" s="77" t="s">
        <v>408</v>
      </c>
      <c r="F43" s="77"/>
      <c r="G43" s="77"/>
      <c r="H43" s="77">
        <v>2</v>
      </c>
      <c r="I43" s="77" t="s">
        <v>401</v>
      </c>
      <c r="J43" s="77" t="s">
        <v>390</v>
      </c>
      <c r="K43" s="77" t="s">
        <v>391</v>
      </c>
      <c r="L43" s="78" t="str">
        <f t="shared" si="0"/>
        <v/>
      </c>
      <c r="M43" s="77" t="str" cm="1">
        <f t="array" ref="M43">IF(OR(UPPER(TRIM($C43))="BRAZIL",UPPER(TRIM($C43))="INDIA",UPPER(TRIM($C43))="PHILIPPINES"),
   "UNDP OP8 COB - RPA",
   IFERROR(
     VLOOKUP($C43,$BF:$BG,2,0),
     _xlfn.SWITCH(UPPER(TRIM($K43)),
       "N/A","N/A",
       "VACANT","UNDP OP8 COB - Vacant",
       "UNDP","UNDP OP8 COB - UNDP CO",
       "UN COMPOUND","UNDP OP8 COB - UN Compound",
       "UNDP - WFH","UNDP OP8 COB - UNDP WFH",
"UNICEF","UNDP OP8 COB - UNICEF",
       "NHI","n.End of June 2026",
       "PRIVATE LEASE","k.End of Mar 2026",
       ""
     )
   )
)</f>
        <v>UNDP OP8 COB - Vacant</v>
      </c>
      <c r="N43" s="77" t="str">
        <f t="shared" si="1"/>
        <v>UNDP Action</v>
      </c>
      <c r="O43" s="79">
        <f>IFERROR(VLOOKUP($C43,'[15]2024 COBs'!$AA:$AK,5,0),"")</f>
        <v>8604.9880036294471</v>
      </c>
      <c r="P43" s="79">
        <f>IFERROR((VLOOKUP($C43,'[15]2024 COBs'!$AA:$AK,8,0)+VLOOKUP($C43,'[15]2024 COBs'!$AA:$AK,9,0)+VLOOKUP($C43,'[15]2024 COBs'!$AA:$AK,10,0)+VLOOKUP($C43,'[15]2024 COBs'!$AA:$AK,11,0))*5%,"")</f>
        <v>275.52134280621465</v>
      </c>
      <c r="Q43" s="79">
        <f>IFERROR((VLOOKUP($C43,'[15]2024 COBs'!$AA:$AK,8,0)+VLOOKUP($C43,'[15]2024 COBs'!$AA:$AK,9,0)+VLOOKUP($C43,'[15]2024 COBs'!$AA:$AK,10,0)+VLOOKUP($C43,'[15]2024 COBs'!$AA:$AK,11,0))*16%,"")</f>
        <v>881.6682969798868</v>
      </c>
      <c r="R43" s="79"/>
      <c r="S43" s="79">
        <f>IFERROR(VLOOKUP($C43,'[15]2024 COBs'!$AA:$AK,7,0),"")</f>
        <v>455.77703546194442</v>
      </c>
      <c r="T43" s="79">
        <f>IFERROR((VLOOKUP($C43,'[15]2024 COBs'!$AA:$AK,8,0)+VLOOKUP($C43,'[15]2024 COBs'!$AA:$AK,9,0)+VLOOKUP($C43,'[15]2024 COBs'!$AA:$AK,10,0)+VLOOKUP($C43,'[15]2024 COBs'!$AA:$AK,11,0))*20%,"")</f>
        <v>1102.0853712248586</v>
      </c>
      <c r="U43" s="79">
        <f>IFERROR(VLOOKUP($C43,'[15]2024 COBs'!$AA:$AK,6,0),"")</f>
        <v>11234.887044752235</v>
      </c>
      <c r="V43" s="79">
        <f>IFERROR((VLOOKUP($C43,'[15]2024 COBs'!$AA:$AK,8,0)+VLOOKUP($C43,'[15]2024 COBs'!$AA:$AK,9,0)+VLOOKUP($C43,'[15]2024 COBs'!$AA:$AK,10,0)+VLOOKUP($C43,'[15]2024 COBs'!$AA:$AK,11,0))*18%,"")</f>
        <v>991.87683410237264</v>
      </c>
      <c r="W43" s="79">
        <f>IFERROR((VLOOKUP($C43,'[15]2024 COBs'!$AA:$AK,8,0)+VLOOKUP($C43,'[15]2024 COBs'!$AA:$AK,9,0)+VLOOKUP($C43,'[15]2024 COBs'!$AA:$AK,10,0)+VLOOKUP($C43,'[15]2024 COBs'!$AA:$AK,11,0))*27%,"")</f>
        <v>1487.8152511535591</v>
      </c>
      <c r="X43" s="79">
        <f>IFERROR((VLOOKUP($C43,'[15]2024 COBs'!$AA:$AK,8,0)+VLOOKUP($C43,'[15]2024 COBs'!$AA:$AK,9,0)+VLOOKUP($C43,'[15]2024 COBs'!$AA:$AK,10,0)+VLOOKUP($C43,'[15]2024 COBs'!$AA:$AK,11,0))*14%,"")</f>
        <v>771.45975985740097</v>
      </c>
      <c r="Y43" s="79">
        <f>IFERROR(VLOOKUP($C43,'[15]2024 COBs'!$AA:$AK,4,0),"")</f>
        <v>3665.7119680711562</v>
      </c>
      <c r="Z43" s="80">
        <f t="shared" si="4"/>
        <v>29471.790908039075</v>
      </c>
      <c r="AF43" s="76" t="s">
        <v>239</v>
      </c>
      <c r="AG43" s="76" t="s">
        <v>239</v>
      </c>
      <c r="AH43" s="78" t="s">
        <v>511</v>
      </c>
      <c r="AI43" s="78" t="s">
        <v>394</v>
      </c>
      <c r="AJ43" s="78"/>
      <c r="AK43" s="78"/>
      <c r="AL43" s="78">
        <v>2</v>
      </c>
      <c r="AM43" s="77" t="s">
        <v>401</v>
      </c>
      <c r="AN43" s="77" t="s">
        <v>390</v>
      </c>
      <c r="AO43" s="79"/>
      <c r="AP43" s="79"/>
      <c r="AQ43" s="79"/>
      <c r="AR43" s="79"/>
      <c r="AS43" s="79"/>
      <c r="AT43" s="79"/>
      <c r="AU43" s="79"/>
      <c r="AV43" s="79"/>
      <c r="AW43" s="79"/>
      <c r="AX43" s="79"/>
      <c r="AY43" s="79"/>
      <c r="AZ43" s="80">
        <f t="shared" si="3"/>
        <v>0</v>
      </c>
      <c r="BF43" s="65" t="s">
        <v>232</v>
      </c>
      <c r="BG43" s="65" t="s">
        <v>396</v>
      </c>
      <c r="BH43" s="65">
        <v>1</v>
      </c>
      <c r="BK43" s="65" t="s">
        <v>185</v>
      </c>
      <c r="BL43" s="65" t="s">
        <v>411</v>
      </c>
      <c r="BM43" s="65" t="s">
        <v>447</v>
      </c>
      <c r="BN43" s="65">
        <v>1</v>
      </c>
    </row>
    <row r="44" spans="2:66" x14ac:dyDescent="0.25">
      <c r="B44" s="76" t="s">
        <v>136</v>
      </c>
      <c r="C44" s="76" t="s">
        <v>136</v>
      </c>
      <c r="D44" s="77" t="s">
        <v>512</v>
      </c>
      <c r="E44" s="77" t="s">
        <v>404</v>
      </c>
      <c r="F44" s="77"/>
      <c r="G44" s="77" t="s">
        <v>463</v>
      </c>
      <c r="H44" s="77">
        <v>1</v>
      </c>
      <c r="I44" s="77" t="s">
        <v>401</v>
      </c>
      <c r="J44" s="77" t="s">
        <v>390</v>
      </c>
      <c r="K44" s="77" t="s">
        <v>463</v>
      </c>
      <c r="L44" s="78" t="str">
        <f t="shared" si="0"/>
        <v>Yes</v>
      </c>
      <c r="M44" s="77" t="str" cm="1">
        <f t="array" ref="M44">IF(OR(UPPER(TRIM($C44))="BRAZIL",UPPER(TRIM($C44))="INDIA",UPPER(TRIM($C44))="PHILIPPINES"),
   "UNDP OP8 COB - RPA",
   IFERROR(
     VLOOKUP($C44,$BF:$BG,2,0),
     _xlfn.SWITCH(UPPER(TRIM($K44)),
       "N/A","N/A",
       "VACANT","UNDP OP8 COB - Vacant",
       "UNDP","UNDP OP8 COB - UNDP CO",
       "UN COMPOUND","UNDP OP8 COB - UN Compound",
       "UNDP - WFH","UNDP OP8 COB - UNDP WFH",
"UNICEF","UNDP OP8 COB - UNICEF",
       "NHI","n.End of June 2026",
       "PRIVATE LEASE","k.End of Mar 2026",
       ""
     )
   )
)</f>
        <v>l1. 13 Apr 2026</v>
      </c>
      <c r="N44" s="77" t="str">
        <f t="shared" si="1"/>
        <v>UNOPS Action</v>
      </c>
      <c r="O44" s="79">
        <f>IFERROR(VLOOKUP($C44,'[15]2024 COBs'!$AA:$AK,5,0),"")</f>
        <v>12907.48200544417</v>
      </c>
      <c r="P44" s="79">
        <f>IFERROR((VLOOKUP($C44,'[15]2024 COBs'!$AA:$AK,8,0)+VLOOKUP($C44,'[15]2024 COBs'!$AA:$AK,9,0)+VLOOKUP($C44,'[15]2024 COBs'!$AA:$AK,10,0)+VLOOKUP($C44,'[15]2024 COBs'!$AA:$AK,11,0))*5%,"")</f>
        <v>413.28201420932191</v>
      </c>
      <c r="Q44" s="79">
        <f>IFERROR((VLOOKUP($C44,'[15]2024 COBs'!$AA:$AK,8,0)+VLOOKUP($C44,'[15]2024 COBs'!$AA:$AK,9,0)+VLOOKUP($C44,'[15]2024 COBs'!$AA:$AK,10,0)+VLOOKUP($C44,'[15]2024 COBs'!$AA:$AK,11,0))*16%,"")</f>
        <v>1322.5024454698303</v>
      </c>
      <c r="R44" s="79">
        <v>4000</v>
      </c>
      <c r="S44" s="79">
        <f>IFERROR(VLOOKUP($C44,'[15]2024 COBs'!$AA:$AK,7,0),"")</f>
        <v>683.66555319291672</v>
      </c>
      <c r="T44" s="79">
        <f>IFERROR((VLOOKUP($C44,'[15]2024 COBs'!$AA:$AK,8,0)+VLOOKUP($C44,'[15]2024 COBs'!$AA:$AK,9,0)+VLOOKUP($C44,'[15]2024 COBs'!$AA:$AK,10,0)+VLOOKUP($C44,'[15]2024 COBs'!$AA:$AK,11,0))*20%,"")</f>
        <v>1653.1280568372877</v>
      </c>
      <c r="U44" s="79">
        <f>IFERROR(VLOOKUP($C44,'[15]2024 COBs'!$AA:$AK,6,0),"")</f>
        <v>16852.330567128352</v>
      </c>
      <c r="V44" s="79">
        <f>IFERROR((VLOOKUP($C44,'[15]2024 COBs'!$AA:$AK,8,0)+VLOOKUP($C44,'[15]2024 COBs'!$AA:$AK,9,0)+VLOOKUP($C44,'[15]2024 COBs'!$AA:$AK,10,0)+VLOOKUP($C44,'[15]2024 COBs'!$AA:$AK,11,0))*18%,"")</f>
        <v>1487.8152511535588</v>
      </c>
      <c r="W44" s="79">
        <f>IFERROR((VLOOKUP($C44,'[15]2024 COBs'!$AA:$AK,8,0)+VLOOKUP($C44,'[15]2024 COBs'!$AA:$AK,9,0)+VLOOKUP($C44,'[15]2024 COBs'!$AA:$AK,10,0)+VLOOKUP($C44,'[15]2024 COBs'!$AA:$AK,11,0))*27%,"")</f>
        <v>2231.7228767303386</v>
      </c>
      <c r="X44" s="79">
        <f>IFERROR((VLOOKUP($C44,'[15]2024 COBs'!$AA:$AK,8,0)+VLOOKUP($C44,'[15]2024 COBs'!$AA:$AK,9,0)+VLOOKUP($C44,'[15]2024 COBs'!$AA:$AK,10,0)+VLOOKUP($C44,'[15]2024 COBs'!$AA:$AK,11,0))*14%,"")</f>
        <v>1157.1896397861015</v>
      </c>
      <c r="Y44" s="79">
        <f>IFERROR(VLOOKUP($C44,'[15]2024 COBs'!$AA:$AK,4,0),"")</f>
        <v>5498.567952106735</v>
      </c>
      <c r="Z44" s="80">
        <f t="shared" si="4"/>
        <v>48207.686362058608</v>
      </c>
      <c r="AF44" s="76" t="s">
        <v>513</v>
      </c>
      <c r="AG44" s="76" t="s">
        <v>513</v>
      </c>
      <c r="AH44" s="78" t="s">
        <v>514</v>
      </c>
      <c r="AI44" s="78" t="s">
        <v>394</v>
      </c>
      <c r="AJ44" s="78"/>
      <c r="AK44" s="78"/>
      <c r="AL44" s="78">
        <v>5</v>
      </c>
      <c r="AM44" s="77" t="s">
        <v>421</v>
      </c>
      <c r="AN44" s="77" t="s">
        <v>439</v>
      </c>
      <c r="AO44" s="79"/>
      <c r="AP44" s="79"/>
      <c r="AQ44" s="79"/>
      <c r="AR44" s="79"/>
      <c r="AS44" s="79"/>
      <c r="AT44" s="79"/>
      <c r="AU44" s="79"/>
      <c r="AV44" s="79"/>
      <c r="AW44" s="79"/>
      <c r="AX44" s="79"/>
      <c r="AY44" s="79"/>
      <c r="AZ44" s="80">
        <f t="shared" si="3"/>
        <v>0</v>
      </c>
      <c r="BF44" s="65" t="s">
        <v>515</v>
      </c>
      <c r="BG44" s="65" t="s">
        <v>415</v>
      </c>
      <c r="BH44" s="65">
        <v>1</v>
      </c>
      <c r="BK44" s="65" t="s">
        <v>186</v>
      </c>
      <c r="BL44" s="65" t="s">
        <v>397</v>
      </c>
      <c r="BM44" s="65" t="s">
        <v>398</v>
      </c>
      <c r="BN44" s="65">
        <v>1</v>
      </c>
    </row>
    <row r="45" spans="2:66" x14ac:dyDescent="0.25">
      <c r="B45" s="76" t="s">
        <v>190</v>
      </c>
      <c r="C45" s="76" t="s">
        <v>190</v>
      </c>
      <c r="D45" s="77" t="s">
        <v>516</v>
      </c>
      <c r="E45" s="77" t="s">
        <v>408</v>
      </c>
      <c r="F45" s="77"/>
      <c r="G45" s="77"/>
      <c r="H45" s="77">
        <v>3</v>
      </c>
      <c r="I45" s="77" t="s">
        <v>401</v>
      </c>
      <c r="J45" s="77" t="s">
        <v>395</v>
      </c>
      <c r="K45" s="77" t="s">
        <v>17</v>
      </c>
      <c r="L45" s="78" t="str">
        <f t="shared" si="0"/>
        <v/>
      </c>
      <c r="M45" s="77" t="str" cm="1">
        <f t="array" ref="M45">IF(OR(UPPER(TRIM($C45))="BRAZIL",UPPER(TRIM($C45))="INDIA",UPPER(TRIM($C45))="PHILIPPINES"),
   "UNDP OP8 COB - RPA",
   IFERROR(
     VLOOKUP($C45,$BF:$BG,2,0),
     _xlfn.SWITCH(UPPER(TRIM($K45)),
       "N/A","N/A",
       "VACANT","UNDP OP8 COB - Vacant",
       "UNDP","UNDP OP8 COB - UNDP CO",
       "UN COMPOUND","UNDP OP8 COB - UN Compound",
       "UNDP - WFH","UNDP OP8 COB - UNDP WFH",
"UNICEF","UNDP OP8 COB - UNICEF",
       "NHI","n.End of June 2026",
       "PRIVATE LEASE","k.End of Mar 2026",
       ""
     )
   )
)</f>
        <v>UNDP OP8 COB - UNDP CO</v>
      </c>
      <c r="N45" s="77" t="str">
        <f t="shared" si="1"/>
        <v>UNDP Action</v>
      </c>
      <c r="O45" s="79">
        <f>IFERROR(VLOOKUP($C45,'[15]2024 COBs'!$AA:$AK,5,0),"")</f>
        <v>14158.032053712834</v>
      </c>
      <c r="P45" s="79">
        <f>IFERROR((VLOOKUP($C45,'[15]2024 COBs'!$AA:$AK,8,0)+VLOOKUP($C45,'[15]2024 COBs'!$AA:$AK,9,0)+VLOOKUP($C45,'[15]2024 COBs'!$AA:$AK,10,0)+VLOOKUP($C45,'[15]2024 COBs'!$AA:$AK,11,0))*5%,"")</f>
        <v>403.84077535633827</v>
      </c>
      <c r="Q45" s="79">
        <f>IFERROR((VLOOKUP($C45,'[15]2024 COBs'!$AA:$AK,8,0)+VLOOKUP($C45,'[15]2024 COBs'!$AA:$AK,9,0)+VLOOKUP($C45,'[15]2024 COBs'!$AA:$AK,10,0)+VLOOKUP($C45,'[15]2024 COBs'!$AA:$AK,11,0))*16%,"")</f>
        <v>1292.2904811402823</v>
      </c>
      <c r="R45" s="79"/>
      <c r="S45" s="79">
        <f>IFERROR(VLOOKUP($C45,'[15]2024 COBs'!$AA:$AK,7,0),"")</f>
        <v>0</v>
      </c>
      <c r="T45" s="79">
        <f>IFERROR((VLOOKUP($C45,'[15]2024 COBs'!$AA:$AK,8,0)+VLOOKUP($C45,'[15]2024 COBs'!$AA:$AK,9,0)+VLOOKUP($C45,'[15]2024 COBs'!$AA:$AK,10,0)+VLOOKUP($C45,'[15]2024 COBs'!$AA:$AK,11,0))*20%,"")</f>
        <v>1615.3631014253531</v>
      </c>
      <c r="U45" s="79">
        <f>IFERROR(VLOOKUP($C45,'[15]2024 COBs'!$AA:$AK,6,0),"")</f>
        <v>21858.152439160403</v>
      </c>
      <c r="V45" s="79">
        <f>IFERROR((VLOOKUP($C45,'[15]2024 COBs'!$AA:$AK,8,0)+VLOOKUP($C45,'[15]2024 COBs'!$AA:$AK,9,0)+VLOOKUP($C45,'[15]2024 COBs'!$AA:$AK,10,0)+VLOOKUP($C45,'[15]2024 COBs'!$AA:$AK,11,0))*18%,"")</f>
        <v>1453.8267912828176</v>
      </c>
      <c r="W45" s="79">
        <f>IFERROR((VLOOKUP($C45,'[15]2024 COBs'!$AA:$AK,8,0)+VLOOKUP($C45,'[15]2024 COBs'!$AA:$AK,9,0)+VLOOKUP($C45,'[15]2024 COBs'!$AA:$AK,10,0)+VLOOKUP($C45,'[15]2024 COBs'!$AA:$AK,11,0))*27%,"")</f>
        <v>2180.7401869242267</v>
      </c>
      <c r="X45" s="79">
        <f>IFERROR((VLOOKUP($C45,'[15]2024 COBs'!$AA:$AK,8,0)+VLOOKUP($C45,'[15]2024 COBs'!$AA:$AK,9,0)+VLOOKUP($C45,'[15]2024 COBs'!$AA:$AK,10,0)+VLOOKUP($C45,'[15]2024 COBs'!$AA:$AK,11,0))*14%,"")</f>
        <v>1130.7541709977472</v>
      </c>
      <c r="Y45" s="79">
        <f>IFERROR(VLOOKUP($C45,'[15]2024 COBs'!$AA:$AK,4,0),"")</f>
        <v>0</v>
      </c>
      <c r="Z45" s="80">
        <f t="shared" si="4"/>
        <v>44093</v>
      </c>
      <c r="AF45" s="76" t="s">
        <v>242</v>
      </c>
      <c r="AG45" s="76" t="s">
        <v>242</v>
      </c>
      <c r="AH45" s="78" t="s">
        <v>517</v>
      </c>
      <c r="AI45" s="78" t="s">
        <v>394</v>
      </c>
      <c r="AJ45" s="78"/>
      <c r="AK45" s="78"/>
      <c r="AL45" s="78">
        <v>1</v>
      </c>
      <c r="AM45" s="77" t="s">
        <v>401</v>
      </c>
      <c r="AN45" s="77" t="s">
        <v>390</v>
      </c>
      <c r="AO45" s="79"/>
      <c r="AP45" s="79"/>
      <c r="AQ45" s="79"/>
      <c r="AR45" s="79"/>
      <c r="AS45" s="79"/>
      <c r="AT45" s="79"/>
      <c r="AU45" s="79"/>
      <c r="AV45" s="79"/>
      <c r="AW45" s="79"/>
      <c r="AX45" s="79"/>
      <c r="AY45" s="79"/>
      <c r="AZ45" s="80">
        <f t="shared" si="3"/>
        <v>0</v>
      </c>
      <c r="BF45" s="65" t="s">
        <v>234</v>
      </c>
      <c r="BG45" s="65" t="s">
        <v>497</v>
      </c>
      <c r="BH45" s="65">
        <v>1</v>
      </c>
      <c r="BK45" s="65" t="s">
        <v>188</v>
      </c>
      <c r="BL45" s="65" t="s">
        <v>397</v>
      </c>
      <c r="BM45" s="65" t="s">
        <v>398</v>
      </c>
      <c r="BN45" s="65">
        <v>1</v>
      </c>
    </row>
    <row r="46" spans="2:66" x14ac:dyDescent="0.25">
      <c r="B46" s="76" t="s">
        <v>445</v>
      </c>
      <c r="C46" s="76" t="s">
        <v>445</v>
      </c>
      <c r="D46" s="77" t="s">
        <v>446</v>
      </c>
      <c r="E46" s="77" t="s">
        <v>394</v>
      </c>
      <c r="F46" s="77"/>
      <c r="G46" s="77"/>
      <c r="H46" s="77">
        <v>5</v>
      </c>
      <c r="I46" s="77" t="s">
        <v>421</v>
      </c>
      <c r="J46" s="77" t="s">
        <v>439</v>
      </c>
      <c r="K46" s="77" t="s">
        <v>422</v>
      </c>
      <c r="L46" s="78" t="str">
        <f t="shared" si="0"/>
        <v/>
      </c>
      <c r="M46" s="77" t="str" cm="1">
        <f t="array" ref="M46">IF(OR(UPPER(TRIM($C46))="BRAZIL",UPPER(TRIM($C46))="INDIA",UPPER(TRIM($C46))="PHILIPPINES"),
   "UNDP OP8 COB - RPA",
   IFERROR(
     VLOOKUP($C46,$BF:$BG,2,0),
     _xlfn.SWITCH(UPPER(TRIM($K46)),
       "N/A","N/A",
       "VACANT","UNDP OP8 COB - Vacant",
       "UNDP","UNDP OP8 COB - UNDP CO",
       "UN COMPOUND","UNDP OP8 COB - UN Compound",
       "UNDP - WFH","UNDP OP8 COB - UNDP WFH",
"UNICEF","UNDP OP8 COB - UNICEF",
       "NHI","n.End of June 2026",
       "PRIVATE LEASE","k.End of Mar 2026",
       ""
     )
   )
)</f>
        <v>N/A</v>
      </c>
      <c r="N46" s="77" t="str">
        <f t="shared" si="1"/>
        <v>N/A</v>
      </c>
      <c r="O46" s="79" t="str">
        <f>IFERROR(VLOOKUP($C46,'[15]2024 COBs'!$AA:$AK,5,0),"")</f>
        <v/>
      </c>
      <c r="P46" s="79" t="str">
        <f>IFERROR((VLOOKUP($C46,'[15]2024 COBs'!$AA:$AK,8,0)+VLOOKUP($C46,'[15]2024 COBs'!$AA:$AK,9,0)+VLOOKUP($C46,'[15]2024 COBs'!$AA:$AK,10,0)+VLOOKUP($C46,'[15]2024 COBs'!$AA:$AK,11,0))*5%,"")</f>
        <v/>
      </c>
      <c r="Q46" s="79" t="str">
        <f>IFERROR((VLOOKUP($C46,'[15]2024 COBs'!$AA:$AK,8,0)+VLOOKUP($C46,'[15]2024 COBs'!$AA:$AK,9,0)+VLOOKUP($C46,'[15]2024 COBs'!$AA:$AK,10,0)+VLOOKUP($C46,'[15]2024 COBs'!$AA:$AK,11,0))*16%,"")</f>
        <v/>
      </c>
      <c r="R46" s="79"/>
      <c r="S46" s="79" t="str">
        <f>IFERROR(VLOOKUP($C46,'[15]2024 COBs'!$AA:$AK,7,0),"")</f>
        <v/>
      </c>
      <c r="T46" s="79" t="str">
        <f>IFERROR((VLOOKUP($C46,'[15]2024 COBs'!$AA:$AK,8,0)+VLOOKUP($C46,'[15]2024 COBs'!$AA:$AK,9,0)+VLOOKUP($C46,'[15]2024 COBs'!$AA:$AK,10,0)+VLOOKUP($C46,'[15]2024 COBs'!$AA:$AK,11,0))*20%,"")</f>
        <v/>
      </c>
      <c r="U46" s="79" t="str">
        <f>IFERROR(VLOOKUP($C46,'[15]2024 COBs'!$AA:$AK,6,0),"")</f>
        <v/>
      </c>
      <c r="V46" s="79" t="str">
        <f>IFERROR((VLOOKUP($C46,'[15]2024 COBs'!$AA:$AK,8,0)+VLOOKUP($C46,'[15]2024 COBs'!$AA:$AK,9,0)+VLOOKUP($C46,'[15]2024 COBs'!$AA:$AK,10,0)+VLOOKUP($C46,'[15]2024 COBs'!$AA:$AK,11,0))*18%,"")</f>
        <v/>
      </c>
      <c r="W46" s="79" t="str">
        <f>IFERROR((VLOOKUP($C46,'[15]2024 COBs'!$AA:$AK,8,0)+VLOOKUP($C46,'[15]2024 COBs'!$AA:$AK,9,0)+VLOOKUP($C46,'[15]2024 COBs'!$AA:$AK,10,0)+VLOOKUP($C46,'[15]2024 COBs'!$AA:$AK,11,0))*27%,"")</f>
        <v/>
      </c>
      <c r="X46" s="79" t="str">
        <f>IFERROR((VLOOKUP($C46,'[15]2024 COBs'!$AA:$AK,8,0)+VLOOKUP($C46,'[15]2024 COBs'!$AA:$AK,9,0)+VLOOKUP($C46,'[15]2024 COBs'!$AA:$AK,10,0)+VLOOKUP($C46,'[15]2024 COBs'!$AA:$AK,11,0))*14%,"")</f>
        <v/>
      </c>
      <c r="Y46" s="79" t="str">
        <f>IFERROR(VLOOKUP($C46,'[15]2024 COBs'!$AA:$AK,4,0),"")</f>
        <v/>
      </c>
      <c r="Z46" s="80">
        <f t="shared" si="4"/>
        <v>0</v>
      </c>
      <c r="AF46" s="76" t="s">
        <v>245</v>
      </c>
      <c r="AG46" s="76" t="s">
        <v>245</v>
      </c>
      <c r="AH46" s="78" t="s">
        <v>518</v>
      </c>
      <c r="AI46" s="78" t="s">
        <v>394</v>
      </c>
      <c r="AJ46" s="78"/>
      <c r="AK46" s="78"/>
      <c r="AL46" s="78">
        <v>2</v>
      </c>
      <c r="AM46" s="77" t="s">
        <v>401</v>
      </c>
      <c r="AN46" s="77" t="s">
        <v>390</v>
      </c>
      <c r="AO46" s="79"/>
      <c r="AP46" s="79"/>
      <c r="AQ46" s="79"/>
      <c r="AR46" s="79"/>
      <c r="AS46" s="79"/>
      <c r="AT46" s="79"/>
      <c r="AU46" s="79"/>
      <c r="AV46" s="79"/>
      <c r="AW46" s="79"/>
      <c r="AX46" s="79"/>
      <c r="AY46" s="79"/>
      <c r="AZ46" s="80">
        <f t="shared" si="3"/>
        <v>0</v>
      </c>
      <c r="BF46" s="65" t="s">
        <v>239</v>
      </c>
      <c r="BG46" s="65" t="s">
        <v>415</v>
      </c>
      <c r="BH46" s="65">
        <v>1</v>
      </c>
      <c r="BK46" s="65" t="s">
        <v>188</v>
      </c>
      <c r="BL46" s="65" t="s">
        <v>411</v>
      </c>
      <c r="BM46" s="65" t="s">
        <v>396</v>
      </c>
      <c r="BN46" s="65">
        <v>1</v>
      </c>
    </row>
    <row r="47" spans="2:66" x14ac:dyDescent="0.25">
      <c r="B47" s="76" t="s">
        <v>191</v>
      </c>
      <c r="C47" s="76" t="s">
        <v>191</v>
      </c>
      <c r="D47" s="77" t="s">
        <v>449</v>
      </c>
      <c r="E47" s="77" t="s">
        <v>394</v>
      </c>
      <c r="F47" s="77"/>
      <c r="G47" s="77"/>
      <c r="H47" s="77">
        <v>3</v>
      </c>
      <c r="I47" s="77" t="s">
        <v>401</v>
      </c>
      <c r="J47" s="77" t="s">
        <v>390</v>
      </c>
      <c r="K47" s="77" t="s">
        <v>17</v>
      </c>
      <c r="L47" s="78" t="str">
        <f t="shared" si="0"/>
        <v>Yes</v>
      </c>
      <c r="M47" s="77" t="str" cm="1">
        <f t="array" ref="M47">IF(OR(UPPER(TRIM($C47))="BRAZIL",UPPER(TRIM($C47))="INDIA",UPPER(TRIM($C47))="PHILIPPINES"),
   "UNDP OP8 COB - RPA",
   IFERROR(
     VLOOKUP($C47,$BF:$BG,2,0),
     _xlfn.SWITCH(UPPER(TRIM($K47)),
       "N/A","N/A",
       "VACANT","UNDP OP8 COB - Vacant",
       "UNDP","UNDP OP8 COB - UNDP CO",
       "UN COMPOUND","UNDP OP8 COB - UN Compound",
       "UNDP - WFH","UNDP OP8 COB - UNDP WFH",
"UNICEF","UNDP OP8 COB - UNICEF",
       "NHI","n.End of June 2026",
       "PRIVATE LEASE","k.End of Mar 2026",
       ""
     )
   )
)</f>
        <v>n.End of June 2026</v>
      </c>
      <c r="N47" s="77" t="str">
        <f t="shared" si="1"/>
        <v>UNOPS Action</v>
      </c>
      <c r="O47" s="79">
        <f>IFERROR(VLOOKUP($C47,'[15]2024 COBs'!$AA:$AK,5,0),"")</f>
        <v>3235.2233571252768</v>
      </c>
      <c r="P47" s="79">
        <f>IFERROR((VLOOKUP($C47,'[15]2024 COBs'!$AA:$AK,8,0)+VLOOKUP($C47,'[15]2024 COBs'!$AA:$AK,9,0)+VLOOKUP($C47,'[15]2024 COBs'!$AA:$AK,10,0)+VLOOKUP($C47,'[15]2024 COBs'!$AA:$AK,11,0))*5%,"")</f>
        <v>214.22424932316028</v>
      </c>
      <c r="Q47" s="79">
        <f>IFERROR((VLOOKUP($C47,'[15]2024 COBs'!$AA:$AK,8,0)+VLOOKUP($C47,'[15]2024 COBs'!$AA:$AK,9,0)+VLOOKUP($C47,'[15]2024 COBs'!$AA:$AK,10,0)+VLOOKUP($C47,'[15]2024 COBs'!$AA:$AK,11,0))*16%,"")</f>
        <v>685.51759783411285</v>
      </c>
      <c r="R47" s="79"/>
      <c r="S47" s="79">
        <f>IFERROR(VLOOKUP($C47,'[15]2024 COBs'!$AA:$AK,7,0),"")</f>
        <v>629.55697760275666</v>
      </c>
      <c r="T47" s="79">
        <f>IFERROR((VLOOKUP($C47,'[15]2024 COBs'!$AA:$AK,8,0)+VLOOKUP($C47,'[15]2024 COBs'!$AA:$AK,9,0)+VLOOKUP($C47,'[15]2024 COBs'!$AA:$AK,10,0)+VLOOKUP($C47,'[15]2024 COBs'!$AA:$AK,11,0))*20%,"")</f>
        <v>856.89699729264112</v>
      </c>
      <c r="U47" s="79">
        <f>IFERROR(VLOOKUP($C47,'[15]2024 COBs'!$AA:$AK,6,0),"")</f>
        <v>17666.068299286242</v>
      </c>
      <c r="V47" s="79">
        <f>IFERROR((VLOOKUP($C47,'[15]2024 COBs'!$AA:$AK,8,0)+VLOOKUP($C47,'[15]2024 COBs'!$AA:$AK,9,0)+VLOOKUP($C47,'[15]2024 COBs'!$AA:$AK,10,0)+VLOOKUP($C47,'[15]2024 COBs'!$AA:$AK,11,0))*18%,"")</f>
        <v>771.20729756337687</v>
      </c>
      <c r="W47" s="79">
        <f>IFERROR((VLOOKUP($C47,'[15]2024 COBs'!$AA:$AK,8,0)+VLOOKUP($C47,'[15]2024 COBs'!$AA:$AK,9,0)+VLOOKUP($C47,'[15]2024 COBs'!$AA:$AK,10,0)+VLOOKUP($C47,'[15]2024 COBs'!$AA:$AK,11,0))*27%,"")</f>
        <v>1156.8109463450655</v>
      </c>
      <c r="X47" s="79">
        <f>IFERROR((VLOOKUP($C47,'[15]2024 COBs'!$AA:$AK,8,0)+VLOOKUP($C47,'[15]2024 COBs'!$AA:$AK,9,0)+VLOOKUP($C47,'[15]2024 COBs'!$AA:$AK,10,0)+VLOOKUP($C47,'[15]2024 COBs'!$AA:$AK,11,0))*14%,"")</f>
        <v>599.82789810484883</v>
      </c>
      <c r="Y47" s="79">
        <f>IFERROR(VLOOKUP($C47,'[15]2024 COBs'!$AA:$AK,4,0),"")</f>
        <v>2605.6663795225204</v>
      </c>
      <c r="Z47" s="80">
        <f t="shared" si="4"/>
        <v>28421.000000000004</v>
      </c>
      <c r="AF47" s="76" t="s">
        <v>250</v>
      </c>
      <c r="AG47" s="76" t="s">
        <v>250</v>
      </c>
      <c r="AH47" s="78" t="s">
        <v>519</v>
      </c>
      <c r="AI47" s="78" t="s">
        <v>394</v>
      </c>
      <c r="AJ47" s="78"/>
      <c r="AK47" s="78"/>
      <c r="AL47" s="78">
        <v>3</v>
      </c>
      <c r="AM47" s="77" t="s">
        <v>435</v>
      </c>
      <c r="AN47" s="77" t="s">
        <v>395</v>
      </c>
      <c r="AO47" s="79"/>
      <c r="AP47" s="79"/>
      <c r="AQ47" s="79"/>
      <c r="AR47" s="79"/>
      <c r="AS47" s="79"/>
      <c r="AT47" s="79"/>
      <c r="AU47" s="79"/>
      <c r="AV47" s="79"/>
      <c r="AW47" s="79"/>
      <c r="AX47" s="79"/>
      <c r="AY47" s="79"/>
      <c r="AZ47" s="80">
        <f t="shared" si="3"/>
        <v>0</v>
      </c>
      <c r="BF47" s="65" t="s">
        <v>520</v>
      </c>
      <c r="BG47" s="65" t="s">
        <v>396</v>
      </c>
      <c r="BH47" s="65">
        <v>2</v>
      </c>
      <c r="BK47" s="65" t="s">
        <v>136</v>
      </c>
      <c r="BL47" s="65" t="s">
        <v>411</v>
      </c>
      <c r="BM47" s="65" t="s">
        <v>455</v>
      </c>
      <c r="BN47" s="65">
        <v>1</v>
      </c>
    </row>
    <row r="48" spans="2:66" x14ac:dyDescent="0.25">
      <c r="B48" s="76" t="s">
        <v>452</v>
      </c>
      <c r="C48" s="76" t="s">
        <v>453</v>
      </c>
      <c r="D48" s="77" t="s">
        <v>454</v>
      </c>
      <c r="E48" s="77" t="s">
        <v>394</v>
      </c>
      <c r="F48" s="77"/>
      <c r="G48" s="77"/>
      <c r="H48" s="77">
        <v>3</v>
      </c>
      <c r="I48" s="77" t="s">
        <v>389</v>
      </c>
      <c r="J48" s="77" t="s">
        <v>395</v>
      </c>
      <c r="K48" s="77" t="s">
        <v>17</v>
      </c>
      <c r="L48" s="78" t="str">
        <f t="shared" si="0"/>
        <v/>
      </c>
      <c r="M48" s="77" t="str" cm="1">
        <f t="array" ref="M48">IF(OR(UPPER(TRIM($C48))="BRAZIL",UPPER(TRIM($C48))="INDIA",UPPER(TRIM($C48))="PHILIPPINES"),
   "UNDP OP8 COB - RPA",
   IFERROR(
     VLOOKUP($C48,$BF:$BG,2,0),
     _xlfn.SWITCH(UPPER(TRIM($K48)),
       "N/A","N/A",
       "VACANT","UNDP OP8 COB - Vacant",
       "UNDP","UNDP OP8 COB - UNDP CO",
       "UN COMPOUND","UNDP OP8 COB - UN Compound",
       "UNDP - WFH","UNDP OP8 COB - UNDP WFH",
"UNICEF","UNDP OP8 COB - UNICEF",
       "NHI","n.End of June 2026",
       "PRIVATE LEASE","k.End of Mar 2026",
       ""
     )
   )
)</f>
        <v>UNDP OP8 COB - UNDP CO</v>
      </c>
      <c r="N48" s="77" t="str">
        <f t="shared" si="1"/>
        <v>UNDP Action</v>
      </c>
      <c r="O48" s="79">
        <f>IFERROR(VLOOKUP($C48,'[15]2024 COBs'!$AA:$AK,5,0),"")</f>
        <v>1692</v>
      </c>
      <c r="P48" s="79">
        <f>IFERROR((VLOOKUP($C48,'[15]2024 COBs'!$AA:$AK,8,0)+VLOOKUP($C48,'[15]2024 COBs'!$AA:$AK,9,0)+VLOOKUP($C48,'[15]2024 COBs'!$AA:$AK,10,0)+VLOOKUP($C48,'[15]2024 COBs'!$AA:$AK,11,0))*5%,"")</f>
        <v>12</v>
      </c>
      <c r="Q48" s="79">
        <f>IFERROR((VLOOKUP($C48,'[15]2024 COBs'!$AA:$AK,8,0)+VLOOKUP($C48,'[15]2024 COBs'!$AA:$AK,9,0)+VLOOKUP($C48,'[15]2024 COBs'!$AA:$AK,10,0)+VLOOKUP($C48,'[15]2024 COBs'!$AA:$AK,11,0))*16%,"")</f>
        <v>38.4</v>
      </c>
      <c r="R48" s="79"/>
      <c r="S48" s="79">
        <f>IFERROR(VLOOKUP($C48,'[15]2024 COBs'!$AA:$AK,7,0),"")</f>
        <v>0</v>
      </c>
      <c r="T48" s="79">
        <f>IFERROR((VLOOKUP($C48,'[15]2024 COBs'!$AA:$AK,8,0)+VLOOKUP($C48,'[15]2024 COBs'!$AA:$AK,9,0)+VLOOKUP($C48,'[15]2024 COBs'!$AA:$AK,10,0)+VLOOKUP($C48,'[15]2024 COBs'!$AA:$AK,11,0))*20%,"")</f>
        <v>48</v>
      </c>
      <c r="U48" s="79">
        <f>IFERROR(VLOOKUP($C48,'[15]2024 COBs'!$AA:$AK,6,0),"")</f>
        <v>3756</v>
      </c>
      <c r="V48" s="79">
        <f>IFERROR((VLOOKUP($C48,'[15]2024 COBs'!$AA:$AK,8,0)+VLOOKUP($C48,'[15]2024 COBs'!$AA:$AK,9,0)+VLOOKUP($C48,'[15]2024 COBs'!$AA:$AK,10,0)+VLOOKUP($C48,'[15]2024 COBs'!$AA:$AK,11,0))*18%,"")</f>
        <v>43.199999999999996</v>
      </c>
      <c r="W48" s="79">
        <f>IFERROR((VLOOKUP($C48,'[15]2024 COBs'!$AA:$AK,8,0)+VLOOKUP($C48,'[15]2024 COBs'!$AA:$AK,9,0)+VLOOKUP($C48,'[15]2024 COBs'!$AA:$AK,10,0)+VLOOKUP($C48,'[15]2024 COBs'!$AA:$AK,11,0))*27%,"")</f>
        <v>64.800000000000011</v>
      </c>
      <c r="X48" s="79">
        <f>IFERROR((VLOOKUP($C48,'[15]2024 COBs'!$AA:$AK,8,0)+VLOOKUP($C48,'[15]2024 COBs'!$AA:$AK,9,0)+VLOOKUP($C48,'[15]2024 COBs'!$AA:$AK,10,0)+VLOOKUP($C48,'[15]2024 COBs'!$AA:$AK,11,0))*14%,"")</f>
        <v>33.6</v>
      </c>
      <c r="Y48" s="79">
        <f>IFERROR(VLOOKUP($C48,'[15]2024 COBs'!$AA:$AK,4,0),"")</f>
        <v>1950</v>
      </c>
      <c r="Z48" s="80">
        <f t="shared" si="4"/>
        <v>7638</v>
      </c>
      <c r="AF48" s="76" t="s">
        <v>255</v>
      </c>
      <c r="AG48" s="76" t="s">
        <v>255</v>
      </c>
      <c r="AH48" s="78" t="s">
        <v>521</v>
      </c>
      <c r="AI48" s="78" t="s">
        <v>394</v>
      </c>
      <c r="AJ48" s="78"/>
      <c r="AK48" s="78"/>
      <c r="AL48" s="78">
        <v>2</v>
      </c>
      <c r="AM48" s="77" t="s">
        <v>401</v>
      </c>
      <c r="AN48" s="77" t="s">
        <v>390</v>
      </c>
      <c r="AO48" s="79"/>
      <c r="AP48" s="79"/>
      <c r="AQ48" s="79"/>
      <c r="AR48" s="79"/>
      <c r="AS48" s="79"/>
      <c r="AT48" s="79"/>
      <c r="AU48" s="79"/>
      <c r="AV48" s="79"/>
      <c r="AW48" s="79"/>
      <c r="AX48" s="79"/>
      <c r="AY48" s="79"/>
      <c r="AZ48" s="80">
        <f t="shared" si="3"/>
        <v>0</v>
      </c>
      <c r="BF48" s="65" t="s">
        <v>522</v>
      </c>
      <c r="BG48" s="65" t="s">
        <v>415</v>
      </c>
      <c r="BH48" s="65">
        <v>1</v>
      </c>
      <c r="BK48" s="65" t="s">
        <v>190</v>
      </c>
      <c r="BL48" s="65" t="s">
        <v>397</v>
      </c>
      <c r="BM48" s="65" t="s">
        <v>398</v>
      </c>
      <c r="BN48" s="65">
        <v>1</v>
      </c>
    </row>
    <row r="49" spans="2:66" x14ac:dyDescent="0.25">
      <c r="B49" s="76" t="s">
        <v>192</v>
      </c>
      <c r="C49" s="76" t="s">
        <v>192</v>
      </c>
      <c r="D49" s="77" t="s">
        <v>459</v>
      </c>
      <c r="E49" s="77" t="s">
        <v>394</v>
      </c>
      <c r="F49" s="77"/>
      <c r="G49" s="77"/>
      <c r="H49" s="77">
        <v>2</v>
      </c>
      <c r="I49" s="77" t="s">
        <v>401</v>
      </c>
      <c r="J49" s="77" t="s">
        <v>390</v>
      </c>
      <c r="K49" s="77" t="s">
        <v>425</v>
      </c>
      <c r="L49" s="78" t="str">
        <f t="shared" si="0"/>
        <v/>
      </c>
      <c r="M49" s="77" t="str" cm="1">
        <f t="array" ref="M49">IF(OR(UPPER(TRIM($C49))="BRAZIL",UPPER(TRIM($C49))="INDIA",UPPER(TRIM($C49))="PHILIPPINES"),
   "UNDP OP8 COB - RPA",
   IFERROR(
     VLOOKUP($C49,$BF:$BG,2,0),
     _xlfn.SWITCH(UPPER(TRIM($K49)),
       "N/A","N/A",
       "VACANT","UNDP OP8 COB - Vacant",
       "UNDP","UNDP OP8 COB - UNDP CO",
       "UN COMPOUND","UNDP OP8 COB - UN Compound",
       "UNDP - WFH","UNDP OP8 COB - UNDP WFH",
"UNICEF","UNDP OP8 COB - UNICEF",
       "NHI","n.End of June 2026",
       "PRIVATE LEASE","k.End of Mar 2026",
       ""
     )
   )
)</f>
        <v>k.End of Mar 2026</v>
      </c>
      <c r="N49" s="77" t="str">
        <f t="shared" si="1"/>
        <v>UNOPS Action</v>
      </c>
      <c r="O49" s="79">
        <f>IFERROR(VLOOKUP($C49,'[15]2024 COBs'!$AA:$AK,5,0),"")</f>
        <v>10219.5</v>
      </c>
      <c r="P49" s="79">
        <f>IFERROR((VLOOKUP($C49,'[15]2024 COBs'!$AA:$AK,8,0)+VLOOKUP($C49,'[15]2024 COBs'!$AA:$AK,9,0)+VLOOKUP($C49,'[15]2024 COBs'!$AA:$AK,10,0)+VLOOKUP($C49,'[15]2024 COBs'!$AA:$AK,11,0))*5%,"")</f>
        <v>391.875</v>
      </c>
      <c r="Q49" s="79">
        <f>IFERROR((VLOOKUP($C49,'[15]2024 COBs'!$AA:$AK,8,0)+VLOOKUP($C49,'[15]2024 COBs'!$AA:$AK,9,0)+VLOOKUP($C49,'[15]2024 COBs'!$AA:$AK,10,0)+VLOOKUP($C49,'[15]2024 COBs'!$AA:$AK,11,0))*16%,"")</f>
        <v>1254</v>
      </c>
      <c r="R49" s="79"/>
      <c r="S49" s="79">
        <f>IFERROR(VLOOKUP($C49,'[15]2024 COBs'!$AA:$AK,7,0),"")</f>
        <v>738.00000000000011</v>
      </c>
      <c r="T49" s="79">
        <f>IFERROR((VLOOKUP($C49,'[15]2024 COBs'!$AA:$AK,8,0)+VLOOKUP($C49,'[15]2024 COBs'!$AA:$AK,9,0)+VLOOKUP($C49,'[15]2024 COBs'!$AA:$AK,10,0)+VLOOKUP($C49,'[15]2024 COBs'!$AA:$AK,11,0))*20%,"")</f>
        <v>1567.5</v>
      </c>
      <c r="U49" s="79">
        <f>IFERROR(VLOOKUP($C49,'[15]2024 COBs'!$AA:$AK,6,0),"")</f>
        <v>8386.5</v>
      </c>
      <c r="V49" s="79">
        <f>IFERROR((VLOOKUP($C49,'[15]2024 COBs'!$AA:$AK,8,0)+VLOOKUP($C49,'[15]2024 COBs'!$AA:$AK,9,0)+VLOOKUP($C49,'[15]2024 COBs'!$AA:$AK,10,0)+VLOOKUP($C49,'[15]2024 COBs'!$AA:$AK,11,0))*18%,"")</f>
        <v>1410.75</v>
      </c>
      <c r="W49" s="79">
        <f>IFERROR((VLOOKUP($C49,'[15]2024 COBs'!$AA:$AK,8,0)+VLOOKUP($C49,'[15]2024 COBs'!$AA:$AK,9,0)+VLOOKUP($C49,'[15]2024 COBs'!$AA:$AK,10,0)+VLOOKUP($C49,'[15]2024 COBs'!$AA:$AK,11,0))*27%,"")</f>
        <v>2116.125</v>
      </c>
      <c r="X49" s="79">
        <f>IFERROR((VLOOKUP($C49,'[15]2024 COBs'!$AA:$AK,8,0)+VLOOKUP($C49,'[15]2024 COBs'!$AA:$AK,9,0)+VLOOKUP($C49,'[15]2024 COBs'!$AA:$AK,10,0)+VLOOKUP($C49,'[15]2024 COBs'!$AA:$AK,11,0))*14%,"")</f>
        <v>1097.25</v>
      </c>
      <c r="Y49" s="79">
        <f>IFERROR(VLOOKUP($C49,'[15]2024 COBs'!$AA:$AK,4,0),"")</f>
        <v>6450</v>
      </c>
      <c r="Z49" s="80">
        <f t="shared" si="4"/>
        <v>33631.5</v>
      </c>
      <c r="AF49" s="76" t="s">
        <v>256</v>
      </c>
      <c r="AG49" s="76" t="s">
        <v>256</v>
      </c>
      <c r="AH49" s="78" t="s">
        <v>523</v>
      </c>
      <c r="AI49" s="78" t="s">
        <v>394</v>
      </c>
      <c r="AJ49" s="78"/>
      <c r="AK49" s="78"/>
      <c r="AL49" s="78">
        <v>2</v>
      </c>
      <c r="AM49" s="77" t="s">
        <v>401</v>
      </c>
      <c r="AN49" s="77" t="s">
        <v>390</v>
      </c>
      <c r="AO49" s="79"/>
      <c r="AP49" s="79"/>
      <c r="AQ49" s="79"/>
      <c r="AR49" s="79"/>
      <c r="AS49" s="79"/>
      <c r="AT49" s="79"/>
      <c r="AU49" s="79"/>
      <c r="AV49" s="79"/>
      <c r="AW49" s="79"/>
      <c r="AX49" s="79"/>
      <c r="AY49" s="79"/>
      <c r="AZ49" s="80">
        <f t="shared" si="3"/>
        <v>0</v>
      </c>
      <c r="BF49" s="65" t="s">
        <v>244</v>
      </c>
      <c r="BG49" s="65" t="s">
        <v>396</v>
      </c>
      <c r="BH49" s="65">
        <v>1</v>
      </c>
      <c r="BK49" s="65" t="s">
        <v>191</v>
      </c>
      <c r="BL49" s="65" t="s">
        <v>397</v>
      </c>
      <c r="BM49" s="65" t="s">
        <v>398</v>
      </c>
      <c r="BN49" s="65">
        <v>1</v>
      </c>
    </row>
    <row r="50" spans="2:66" x14ac:dyDescent="0.25">
      <c r="B50" s="76" t="s">
        <v>193</v>
      </c>
      <c r="C50" s="76" t="s">
        <v>193</v>
      </c>
      <c r="D50" s="77" t="s">
        <v>524</v>
      </c>
      <c r="E50" s="77" t="s">
        <v>388</v>
      </c>
      <c r="F50" s="77" t="s">
        <v>409</v>
      </c>
      <c r="G50" s="77"/>
      <c r="H50" s="77">
        <v>3</v>
      </c>
      <c r="I50" s="77" t="s">
        <v>401</v>
      </c>
      <c r="J50" s="77" t="s">
        <v>390</v>
      </c>
      <c r="K50" s="77" t="s">
        <v>391</v>
      </c>
      <c r="L50" s="78" t="str">
        <f t="shared" si="0"/>
        <v/>
      </c>
      <c r="M50" s="77" t="str" cm="1">
        <f t="array" ref="M50">IF(OR(UPPER(TRIM($C50))="BRAZIL",UPPER(TRIM($C50))="INDIA",UPPER(TRIM($C50))="PHILIPPINES"),
   "UNDP OP8 COB - RPA",
   IFERROR(
     VLOOKUP($C50,$BF:$BG,2,0),
     _xlfn.SWITCH(UPPER(TRIM($K50)),
       "N/A","N/A",
       "VACANT","UNDP OP8 COB - Vacant",
       "UNDP","UNDP OP8 COB - UNDP CO",
       "UN COMPOUND","UNDP OP8 COB - UN Compound",
       "UNDP - WFH","UNDP OP8 COB - UNDP WFH",
"UNICEF","UNDP OP8 COB - UNICEF",
       "NHI","n.End of June 2026",
       "PRIVATE LEASE","k.End of Mar 2026",
       ""
     )
   )
)</f>
        <v>UNDP OP8 COB - Vacant</v>
      </c>
      <c r="N50" s="77" t="str">
        <f t="shared" si="1"/>
        <v>UNDP Action</v>
      </c>
      <c r="O50" s="79">
        <f>IFERROR(VLOOKUP($C50,'[15]2024 COBs'!$AA:$AK,5,0),"")</f>
        <v>6240</v>
      </c>
      <c r="P50" s="79">
        <f>IFERROR((VLOOKUP($C50,'[15]2024 COBs'!$AA:$AK,8,0)+VLOOKUP($C50,'[15]2024 COBs'!$AA:$AK,9,0)+VLOOKUP($C50,'[15]2024 COBs'!$AA:$AK,10,0)+VLOOKUP($C50,'[15]2024 COBs'!$AA:$AK,11,0))*5%,"")</f>
        <v>310.95</v>
      </c>
      <c r="Q50" s="79">
        <f>IFERROR((VLOOKUP($C50,'[15]2024 COBs'!$AA:$AK,8,0)+VLOOKUP($C50,'[15]2024 COBs'!$AA:$AK,9,0)+VLOOKUP($C50,'[15]2024 COBs'!$AA:$AK,10,0)+VLOOKUP($C50,'[15]2024 COBs'!$AA:$AK,11,0))*16%,"")</f>
        <v>995.03999999999985</v>
      </c>
      <c r="R50" s="79"/>
      <c r="S50" s="79">
        <f>IFERROR(VLOOKUP($C50,'[15]2024 COBs'!$AA:$AK,7,0),"")</f>
        <v>359.99999999999994</v>
      </c>
      <c r="T50" s="79">
        <f>IFERROR((VLOOKUP($C50,'[15]2024 COBs'!$AA:$AK,8,0)+VLOOKUP($C50,'[15]2024 COBs'!$AA:$AK,9,0)+VLOOKUP($C50,'[15]2024 COBs'!$AA:$AK,10,0)+VLOOKUP($C50,'[15]2024 COBs'!$AA:$AK,11,0))*20%,"")</f>
        <v>1243.8</v>
      </c>
      <c r="U50" s="79">
        <f>IFERROR(VLOOKUP($C50,'[15]2024 COBs'!$AA:$AK,6,0),"")</f>
        <v>6038.3999999999987</v>
      </c>
      <c r="V50" s="79">
        <f>IFERROR((VLOOKUP($C50,'[15]2024 COBs'!$AA:$AK,8,0)+VLOOKUP($C50,'[15]2024 COBs'!$AA:$AK,9,0)+VLOOKUP($C50,'[15]2024 COBs'!$AA:$AK,10,0)+VLOOKUP($C50,'[15]2024 COBs'!$AA:$AK,11,0))*18%,"")</f>
        <v>1119.4199999999998</v>
      </c>
      <c r="W50" s="79">
        <f>IFERROR((VLOOKUP($C50,'[15]2024 COBs'!$AA:$AK,8,0)+VLOOKUP($C50,'[15]2024 COBs'!$AA:$AK,9,0)+VLOOKUP($C50,'[15]2024 COBs'!$AA:$AK,10,0)+VLOOKUP($C50,'[15]2024 COBs'!$AA:$AK,11,0))*27%,"")</f>
        <v>1679.1299999999999</v>
      </c>
      <c r="X50" s="79">
        <f>IFERROR((VLOOKUP($C50,'[15]2024 COBs'!$AA:$AK,8,0)+VLOOKUP($C50,'[15]2024 COBs'!$AA:$AK,9,0)+VLOOKUP($C50,'[15]2024 COBs'!$AA:$AK,10,0)+VLOOKUP($C50,'[15]2024 COBs'!$AA:$AK,11,0))*14%,"")</f>
        <v>870.66</v>
      </c>
      <c r="Y50" s="79">
        <f>IFERROR(VLOOKUP($C50,'[15]2024 COBs'!$AA:$AK,4,0),"")</f>
        <v>959.99999999999989</v>
      </c>
      <c r="Z50" s="80">
        <f t="shared" si="4"/>
        <v>19817.399999999998</v>
      </c>
      <c r="AF50" s="76" t="s">
        <v>386</v>
      </c>
      <c r="AG50" s="76" t="s">
        <v>386</v>
      </c>
      <c r="AH50" s="78" t="s">
        <v>387</v>
      </c>
      <c r="AI50" s="78" t="s">
        <v>388</v>
      </c>
      <c r="AJ50" s="78"/>
      <c r="AK50" s="78"/>
      <c r="AL50" s="78">
        <v>2</v>
      </c>
      <c r="AM50" s="77" t="s">
        <v>389</v>
      </c>
      <c r="AN50" s="77" t="s">
        <v>390</v>
      </c>
      <c r="AO50" s="79"/>
      <c r="AP50" s="79"/>
      <c r="AQ50" s="79"/>
      <c r="AR50" s="79"/>
      <c r="AS50" s="79"/>
      <c r="AT50" s="79"/>
      <c r="AU50" s="79"/>
      <c r="AV50" s="79"/>
      <c r="AW50" s="79"/>
      <c r="AX50" s="79"/>
      <c r="AY50" s="79"/>
      <c r="AZ50" s="80">
        <f t="shared" si="3"/>
        <v>0</v>
      </c>
      <c r="BF50" s="65" t="s">
        <v>246</v>
      </c>
      <c r="BG50" s="65" t="s">
        <v>396</v>
      </c>
      <c r="BH50" s="65">
        <v>1</v>
      </c>
      <c r="BK50" s="65" t="s">
        <v>191</v>
      </c>
      <c r="BL50" s="65" t="s">
        <v>411</v>
      </c>
      <c r="BM50" s="65" t="s">
        <v>396</v>
      </c>
      <c r="BN50" s="65">
        <v>1</v>
      </c>
    </row>
    <row r="51" spans="2:66" x14ac:dyDescent="0.25">
      <c r="B51" s="76" t="s">
        <v>194</v>
      </c>
      <c r="C51" s="76" t="s">
        <v>194</v>
      </c>
      <c r="D51" s="77" t="s">
        <v>525</v>
      </c>
      <c r="E51" s="77" t="s">
        <v>388</v>
      </c>
      <c r="F51" s="77" t="s">
        <v>432</v>
      </c>
      <c r="G51" s="77"/>
      <c r="H51" s="77">
        <v>1</v>
      </c>
      <c r="I51" s="77" t="s">
        <v>401</v>
      </c>
      <c r="J51" s="77" t="s">
        <v>390</v>
      </c>
      <c r="K51" s="77" t="s">
        <v>17</v>
      </c>
      <c r="L51" s="78" t="str">
        <f t="shared" si="0"/>
        <v>Yes</v>
      </c>
      <c r="M51" s="77" t="str" cm="1">
        <f t="array" ref="M51">IF(OR(UPPER(TRIM($C51))="BRAZIL",UPPER(TRIM($C51))="INDIA",UPPER(TRIM($C51))="PHILIPPINES"),
   "UNDP OP8 COB - RPA",
   IFERROR(
     VLOOKUP($C51,$BF:$BG,2,0),
     _xlfn.SWITCH(UPPER(TRIM($K51)),
       "N/A","N/A",
       "VACANT","UNDP OP8 COB - Vacant",
       "UNDP","UNDP OP8 COB - UNDP CO",
       "UN COMPOUND","UNDP OP8 COB - UN Compound",
       "UNDP - WFH","UNDP OP8 COB - UNDP WFH",
"UNICEF","UNDP OP8 COB - UNICEF",
       "NHI","n.End of June 2026",
       "PRIVATE LEASE","k.End of Mar 2026",
       ""
     )
   )
)</f>
        <v>n.End of June 2026</v>
      </c>
      <c r="N51" s="77" t="str">
        <f t="shared" si="1"/>
        <v>UNOPS Action</v>
      </c>
      <c r="O51" s="79">
        <f>IFERROR(VLOOKUP($C51,'[15]2024 COBs'!$AA:$AK,5,0),"")</f>
        <v>4875</v>
      </c>
      <c r="P51" s="79">
        <f>IFERROR((VLOOKUP($C51,'[15]2024 COBs'!$AA:$AK,8,0)+VLOOKUP($C51,'[15]2024 COBs'!$AA:$AK,9,0)+VLOOKUP($C51,'[15]2024 COBs'!$AA:$AK,10,0)+VLOOKUP($C51,'[15]2024 COBs'!$AA:$AK,11,0))*5%,"")</f>
        <v>183.75</v>
      </c>
      <c r="Q51" s="79">
        <f>IFERROR((VLOOKUP($C51,'[15]2024 COBs'!$AA:$AK,8,0)+VLOOKUP($C51,'[15]2024 COBs'!$AA:$AK,9,0)+VLOOKUP($C51,'[15]2024 COBs'!$AA:$AK,10,0)+VLOOKUP($C51,'[15]2024 COBs'!$AA:$AK,11,0))*16%,"")</f>
        <v>588</v>
      </c>
      <c r="R51" s="79"/>
      <c r="S51" s="79">
        <f>IFERROR(VLOOKUP($C51,'[15]2024 COBs'!$AA:$AK,7,0),"")</f>
        <v>750</v>
      </c>
      <c r="T51" s="79">
        <f>IFERROR((VLOOKUP($C51,'[15]2024 COBs'!$AA:$AK,8,0)+VLOOKUP($C51,'[15]2024 COBs'!$AA:$AK,9,0)+VLOOKUP($C51,'[15]2024 COBs'!$AA:$AK,10,0)+VLOOKUP($C51,'[15]2024 COBs'!$AA:$AK,11,0))*20%,"")</f>
        <v>735</v>
      </c>
      <c r="U51" s="79">
        <f>IFERROR(VLOOKUP($C51,'[15]2024 COBs'!$AA:$AK,6,0),"")</f>
        <v>13284</v>
      </c>
      <c r="V51" s="79">
        <f>IFERROR((VLOOKUP($C51,'[15]2024 COBs'!$AA:$AK,8,0)+VLOOKUP($C51,'[15]2024 COBs'!$AA:$AK,9,0)+VLOOKUP($C51,'[15]2024 COBs'!$AA:$AK,10,0)+VLOOKUP($C51,'[15]2024 COBs'!$AA:$AK,11,0))*18%,"")</f>
        <v>661.5</v>
      </c>
      <c r="W51" s="79">
        <f>IFERROR((VLOOKUP($C51,'[15]2024 COBs'!$AA:$AK,8,0)+VLOOKUP($C51,'[15]2024 COBs'!$AA:$AK,9,0)+VLOOKUP($C51,'[15]2024 COBs'!$AA:$AK,10,0)+VLOOKUP($C51,'[15]2024 COBs'!$AA:$AK,11,0))*27%,"")</f>
        <v>992.25000000000011</v>
      </c>
      <c r="X51" s="79">
        <f>IFERROR((VLOOKUP($C51,'[15]2024 COBs'!$AA:$AK,8,0)+VLOOKUP($C51,'[15]2024 COBs'!$AA:$AK,9,0)+VLOOKUP($C51,'[15]2024 COBs'!$AA:$AK,10,0)+VLOOKUP($C51,'[15]2024 COBs'!$AA:$AK,11,0))*14%,"")</f>
        <v>514.5</v>
      </c>
      <c r="Y51" s="79">
        <f>IFERROR(VLOOKUP($C51,'[15]2024 COBs'!$AA:$AK,4,0),"")</f>
        <v>5287.5</v>
      </c>
      <c r="Z51" s="80">
        <f t="shared" si="4"/>
        <v>27871.5</v>
      </c>
      <c r="AF51" s="76" t="s">
        <v>166</v>
      </c>
      <c r="AG51" s="76" t="s">
        <v>166</v>
      </c>
      <c r="AH51" s="78" t="s">
        <v>429</v>
      </c>
      <c r="AI51" s="78" t="s">
        <v>388</v>
      </c>
      <c r="AJ51" s="78"/>
      <c r="AK51" s="78"/>
      <c r="AL51" s="78">
        <v>3</v>
      </c>
      <c r="AM51" s="77" t="s">
        <v>401</v>
      </c>
      <c r="AN51" s="77" t="s">
        <v>390</v>
      </c>
      <c r="AO51" s="79"/>
      <c r="AP51" s="79"/>
      <c r="AQ51" s="79"/>
      <c r="AR51" s="79"/>
      <c r="AS51" s="79"/>
      <c r="AT51" s="79"/>
      <c r="AU51" s="79"/>
      <c r="AV51" s="79"/>
      <c r="AW51" s="79"/>
      <c r="AX51" s="79"/>
      <c r="AY51" s="79"/>
      <c r="AZ51" s="80">
        <f t="shared" si="3"/>
        <v>0</v>
      </c>
      <c r="BF51" s="65" t="s">
        <v>247</v>
      </c>
      <c r="BG51" s="65" t="s">
        <v>396</v>
      </c>
      <c r="BH51" s="65">
        <v>1</v>
      </c>
      <c r="BK51" s="65" t="s">
        <v>192</v>
      </c>
      <c r="BL51" s="65" t="s">
        <v>397</v>
      </c>
      <c r="BM51" s="65" t="s">
        <v>398</v>
      </c>
      <c r="BN51" s="65">
        <v>2</v>
      </c>
    </row>
    <row r="52" spans="2:66" x14ac:dyDescent="0.25">
      <c r="B52" s="76" t="s">
        <v>195</v>
      </c>
      <c r="C52" s="76" t="s">
        <v>195</v>
      </c>
      <c r="D52" s="77" t="s">
        <v>460</v>
      </c>
      <c r="E52" s="77" t="s">
        <v>394</v>
      </c>
      <c r="F52" s="77"/>
      <c r="G52" s="77"/>
      <c r="H52" s="77">
        <v>3</v>
      </c>
      <c r="I52" s="77" t="s">
        <v>401</v>
      </c>
      <c r="J52" s="77" t="s">
        <v>390</v>
      </c>
      <c r="K52" s="77" t="s">
        <v>17</v>
      </c>
      <c r="L52" s="78" t="str">
        <f t="shared" si="0"/>
        <v>Yes</v>
      </c>
      <c r="M52" s="77" t="str" cm="1">
        <f t="array" ref="M52">IF(OR(UPPER(TRIM($C52))="BRAZIL",UPPER(TRIM($C52))="INDIA",UPPER(TRIM($C52))="PHILIPPINES"),
   "UNDP OP8 COB - RPA",
   IFERROR(
     VLOOKUP($C52,$BF:$BG,2,0),
     _xlfn.SWITCH(UPPER(TRIM($K52)),
       "N/A","N/A",
       "VACANT","UNDP OP8 COB - Vacant",
       "UNDP","UNDP OP8 COB - UNDP CO",
       "UN COMPOUND","UNDP OP8 COB - UN Compound",
       "UNDP - WFH","UNDP OP8 COB - UNDP WFH",
"UNICEF","UNDP OP8 COB - UNICEF",
       "NHI","n.End of June 2026",
       "PRIVATE LEASE","k.End of Mar 2026",
       ""
     )
   )
)</f>
        <v>k.End of Mar 2026</v>
      </c>
      <c r="N52" s="77" t="str">
        <f t="shared" si="1"/>
        <v>UNOPS Action</v>
      </c>
      <c r="O52" s="79">
        <f>IFERROR(VLOOKUP($C52,'[15]2024 COBs'!$AA:$AK,5,0),"")</f>
        <v>5850</v>
      </c>
      <c r="P52" s="79">
        <f>IFERROR((VLOOKUP($C52,'[15]2024 COBs'!$AA:$AK,8,0)+VLOOKUP($C52,'[15]2024 COBs'!$AA:$AK,9,0)+VLOOKUP($C52,'[15]2024 COBs'!$AA:$AK,10,0)+VLOOKUP($C52,'[15]2024 COBs'!$AA:$AK,11,0))*5%,"")</f>
        <v>393.75</v>
      </c>
      <c r="Q52" s="79">
        <f>IFERROR((VLOOKUP($C52,'[15]2024 COBs'!$AA:$AK,8,0)+VLOOKUP($C52,'[15]2024 COBs'!$AA:$AK,9,0)+VLOOKUP($C52,'[15]2024 COBs'!$AA:$AK,10,0)+VLOOKUP($C52,'[15]2024 COBs'!$AA:$AK,11,0))*16%,"")</f>
        <v>1259.9999999999998</v>
      </c>
      <c r="R52" s="79"/>
      <c r="S52" s="79">
        <f>IFERROR(VLOOKUP($C52,'[15]2024 COBs'!$AA:$AK,7,0),"")</f>
        <v>0</v>
      </c>
      <c r="T52" s="79">
        <f>IFERROR((VLOOKUP($C52,'[15]2024 COBs'!$AA:$AK,8,0)+VLOOKUP($C52,'[15]2024 COBs'!$AA:$AK,9,0)+VLOOKUP($C52,'[15]2024 COBs'!$AA:$AK,10,0)+VLOOKUP($C52,'[15]2024 COBs'!$AA:$AK,11,0))*20%,"")</f>
        <v>1575</v>
      </c>
      <c r="U52" s="79">
        <f>IFERROR(VLOOKUP($C52,'[15]2024 COBs'!$AA:$AK,6,0),"")</f>
        <v>5025</v>
      </c>
      <c r="V52" s="79">
        <f>IFERROR((VLOOKUP($C52,'[15]2024 COBs'!$AA:$AK,8,0)+VLOOKUP($C52,'[15]2024 COBs'!$AA:$AK,9,0)+VLOOKUP($C52,'[15]2024 COBs'!$AA:$AK,10,0)+VLOOKUP($C52,'[15]2024 COBs'!$AA:$AK,11,0))*18%,"")</f>
        <v>1417.4999999999998</v>
      </c>
      <c r="W52" s="79">
        <f>IFERROR((VLOOKUP($C52,'[15]2024 COBs'!$AA:$AK,8,0)+VLOOKUP($C52,'[15]2024 COBs'!$AA:$AK,9,0)+VLOOKUP($C52,'[15]2024 COBs'!$AA:$AK,10,0)+VLOOKUP($C52,'[15]2024 COBs'!$AA:$AK,11,0))*27%,"")</f>
        <v>2126.25</v>
      </c>
      <c r="X52" s="79">
        <f>IFERROR((VLOOKUP($C52,'[15]2024 COBs'!$AA:$AK,8,0)+VLOOKUP($C52,'[15]2024 COBs'!$AA:$AK,9,0)+VLOOKUP($C52,'[15]2024 COBs'!$AA:$AK,10,0)+VLOOKUP($C52,'[15]2024 COBs'!$AA:$AK,11,0))*14%,"")</f>
        <v>1102.5</v>
      </c>
      <c r="Y52" s="79">
        <f>IFERROR(VLOOKUP($C52,'[15]2024 COBs'!$AA:$AK,4,0),"")</f>
        <v>3750</v>
      </c>
      <c r="Z52" s="80">
        <f t="shared" si="4"/>
        <v>22500</v>
      </c>
      <c r="AF52" s="76" t="s">
        <v>170</v>
      </c>
      <c r="AG52" s="76" t="s">
        <v>170</v>
      </c>
      <c r="AH52" s="78" t="s">
        <v>448</v>
      </c>
      <c r="AI52" s="78" t="s">
        <v>388</v>
      </c>
      <c r="AJ52" s="78"/>
      <c r="AK52" s="78"/>
      <c r="AL52" s="78">
        <v>3</v>
      </c>
      <c r="AM52" s="77" t="s">
        <v>401</v>
      </c>
      <c r="AN52" s="77" t="s">
        <v>395</v>
      </c>
      <c r="AO52" s="79"/>
      <c r="AP52" s="79"/>
      <c r="AQ52" s="79"/>
      <c r="AR52" s="79"/>
      <c r="AS52" s="79"/>
      <c r="AT52" s="79"/>
      <c r="AU52" s="79"/>
      <c r="AV52" s="79"/>
      <c r="AW52" s="79"/>
      <c r="AX52" s="79"/>
      <c r="AY52" s="79"/>
      <c r="AZ52" s="80">
        <f t="shared" si="3"/>
        <v>0</v>
      </c>
      <c r="BF52" s="65" t="s">
        <v>248</v>
      </c>
      <c r="BG52" s="65" t="s">
        <v>396</v>
      </c>
      <c r="BH52" s="65">
        <v>1</v>
      </c>
      <c r="BK52" s="65" t="s">
        <v>194</v>
      </c>
      <c r="BL52" s="65" t="s">
        <v>397</v>
      </c>
      <c r="BM52" s="65" t="s">
        <v>398</v>
      </c>
      <c r="BN52" s="65">
        <v>1</v>
      </c>
    </row>
    <row r="53" spans="2:66" x14ac:dyDescent="0.25">
      <c r="B53" s="76" t="s">
        <v>196</v>
      </c>
      <c r="C53" s="76" t="s">
        <v>196</v>
      </c>
      <c r="D53" s="77" t="s">
        <v>465</v>
      </c>
      <c r="E53" s="77" t="s">
        <v>394</v>
      </c>
      <c r="F53" s="77"/>
      <c r="G53" s="77"/>
      <c r="H53" s="77">
        <v>2</v>
      </c>
      <c r="I53" s="77" t="s">
        <v>401</v>
      </c>
      <c r="J53" s="77" t="s">
        <v>390</v>
      </c>
      <c r="K53" s="77" t="s">
        <v>425</v>
      </c>
      <c r="L53" s="78" t="str">
        <f t="shared" si="0"/>
        <v>Yes</v>
      </c>
      <c r="M53" s="77" t="str" cm="1">
        <f t="array" ref="M53">IF(OR(UPPER(TRIM($C53))="BRAZIL",UPPER(TRIM($C53))="INDIA",UPPER(TRIM($C53))="PHILIPPINES"),
   "UNDP OP8 COB - RPA",
   IFERROR(
     VLOOKUP($C53,$BF:$BG,2,0),
     _xlfn.SWITCH(UPPER(TRIM($K53)),
       "N/A","N/A",
       "VACANT","UNDP OP8 COB - Vacant",
       "UNDP","UNDP OP8 COB - UNDP CO",
       "UN COMPOUND","UNDP OP8 COB - UN Compound",
       "UNDP - WFH","UNDP OP8 COB - UNDP WFH",
"UNICEF","UNDP OP8 COB - UNICEF",
       "NHI","n.End of June 2026",
       "PRIVATE LEASE","k.End of Mar 2026",
       ""
     )
   )
)</f>
        <v>n.End of June 2026</v>
      </c>
      <c r="N53" s="77" t="str">
        <f t="shared" si="1"/>
        <v>UNOPS Action</v>
      </c>
      <c r="O53" s="79">
        <f>IFERROR(VLOOKUP($C53,'[15]2024 COBs'!$AA:$AK,5,0),"")</f>
        <v>2526</v>
      </c>
      <c r="P53" s="79">
        <f>IFERROR((VLOOKUP($C53,'[15]2024 COBs'!$AA:$AK,8,0)+VLOOKUP($C53,'[15]2024 COBs'!$AA:$AK,9,0)+VLOOKUP($C53,'[15]2024 COBs'!$AA:$AK,10,0)+VLOOKUP($C53,'[15]2024 COBs'!$AA:$AK,11,0))*5%,"")</f>
        <v>281.25</v>
      </c>
      <c r="Q53" s="79">
        <f>IFERROR((VLOOKUP($C53,'[15]2024 COBs'!$AA:$AK,8,0)+VLOOKUP($C53,'[15]2024 COBs'!$AA:$AK,9,0)+VLOOKUP($C53,'[15]2024 COBs'!$AA:$AK,10,0)+VLOOKUP($C53,'[15]2024 COBs'!$AA:$AK,11,0))*16%,"")</f>
        <v>900</v>
      </c>
      <c r="R53" s="79"/>
      <c r="S53" s="79">
        <f>IFERROR(VLOOKUP($C53,'[15]2024 COBs'!$AA:$AK,7,0),"")</f>
        <v>360</v>
      </c>
      <c r="T53" s="79">
        <f>IFERROR((VLOOKUP($C53,'[15]2024 COBs'!$AA:$AK,8,0)+VLOOKUP($C53,'[15]2024 COBs'!$AA:$AK,9,0)+VLOOKUP($C53,'[15]2024 COBs'!$AA:$AK,10,0)+VLOOKUP($C53,'[15]2024 COBs'!$AA:$AK,11,0))*20%,"")</f>
        <v>1125</v>
      </c>
      <c r="U53" s="79">
        <f>IFERROR(VLOOKUP($C53,'[15]2024 COBs'!$AA:$AK,6,0),"")</f>
        <v>2490</v>
      </c>
      <c r="V53" s="79">
        <f>IFERROR((VLOOKUP($C53,'[15]2024 COBs'!$AA:$AK,8,0)+VLOOKUP($C53,'[15]2024 COBs'!$AA:$AK,9,0)+VLOOKUP($C53,'[15]2024 COBs'!$AA:$AK,10,0)+VLOOKUP($C53,'[15]2024 COBs'!$AA:$AK,11,0))*18%,"")</f>
        <v>1012.5</v>
      </c>
      <c r="W53" s="79">
        <f>IFERROR((VLOOKUP($C53,'[15]2024 COBs'!$AA:$AK,8,0)+VLOOKUP($C53,'[15]2024 COBs'!$AA:$AK,9,0)+VLOOKUP($C53,'[15]2024 COBs'!$AA:$AK,10,0)+VLOOKUP($C53,'[15]2024 COBs'!$AA:$AK,11,0))*27%,"")</f>
        <v>1518.75</v>
      </c>
      <c r="X53" s="79">
        <f>IFERROR((VLOOKUP($C53,'[15]2024 COBs'!$AA:$AK,8,0)+VLOOKUP($C53,'[15]2024 COBs'!$AA:$AK,9,0)+VLOOKUP($C53,'[15]2024 COBs'!$AA:$AK,10,0)+VLOOKUP($C53,'[15]2024 COBs'!$AA:$AK,11,0))*14%,"")</f>
        <v>787.50000000000011</v>
      </c>
      <c r="Y53" s="79">
        <f>IFERROR(VLOOKUP($C53,'[15]2024 COBs'!$AA:$AK,4,0),"")</f>
        <v>930</v>
      </c>
      <c r="Z53" s="80">
        <f t="shared" si="4"/>
        <v>11931</v>
      </c>
      <c r="AF53" s="76" t="s">
        <v>175</v>
      </c>
      <c r="AG53" s="76" t="s">
        <v>175</v>
      </c>
      <c r="AH53" s="78" t="s">
        <v>472</v>
      </c>
      <c r="AI53" s="78" t="s">
        <v>388</v>
      </c>
      <c r="AJ53" s="78"/>
      <c r="AK53" s="78"/>
      <c r="AL53" s="78">
        <v>3</v>
      </c>
      <c r="AM53" s="77" t="s">
        <v>401</v>
      </c>
      <c r="AN53" s="77" t="s">
        <v>390</v>
      </c>
      <c r="AO53" s="79"/>
      <c r="AP53" s="79"/>
      <c r="AQ53" s="79"/>
      <c r="AR53" s="79"/>
      <c r="AS53" s="79"/>
      <c r="AT53" s="79"/>
      <c r="AU53" s="79"/>
      <c r="AV53" s="79"/>
      <c r="AW53" s="79"/>
      <c r="AX53" s="79"/>
      <c r="AY53" s="79"/>
      <c r="AZ53" s="80">
        <f t="shared" si="3"/>
        <v>0</v>
      </c>
      <c r="BF53" s="65" t="s">
        <v>249</v>
      </c>
      <c r="BG53" s="65" t="s">
        <v>396</v>
      </c>
      <c r="BH53" s="65">
        <v>1</v>
      </c>
      <c r="BK53" s="65" t="s">
        <v>194</v>
      </c>
      <c r="BL53" s="65" t="s">
        <v>411</v>
      </c>
      <c r="BM53" s="65" t="s">
        <v>396</v>
      </c>
      <c r="BN53" s="65">
        <v>1</v>
      </c>
    </row>
    <row r="54" spans="2:66" x14ac:dyDescent="0.25">
      <c r="B54" s="76" t="s">
        <v>197</v>
      </c>
      <c r="C54" s="76" t="s">
        <v>197</v>
      </c>
      <c r="D54" s="77" t="s">
        <v>526</v>
      </c>
      <c r="E54" s="77" t="s">
        <v>400</v>
      </c>
      <c r="F54" s="77"/>
      <c r="G54" s="77"/>
      <c r="H54" s="77">
        <v>3</v>
      </c>
      <c r="I54" s="77" t="s">
        <v>401</v>
      </c>
      <c r="J54" s="77" t="s">
        <v>390</v>
      </c>
      <c r="K54" s="77" t="s">
        <v>17</v>
      </c>
      <c r="L54" s="78" t="str">
        <f t="shared" si="0"/>
        <v/>
      </c>
      <c r="M54" s="77" t="str" cm="1">
        <f t="array" ref="M54">IF(OR(UPPER(TRIM($C54))="BRAZIL",UPPER(TRIM($C54))="INDIA",UPPER(TRIM($C54))="PHILIPPINES"),
   "UNDP OP8 COB - RPA",
   IFERROR(
     VLOOKUP($C54,$BF:$BG,2,0),
     _xlfn.SWITCH(UPPER(TRIM($K54)),
       "N/A","N/A",
       "VACANT","UNDP OP8 COB - Vacant",
       "UNDP","UNDP OP8 COB - UNDP CO",
       "UN COMPOUND","UNDP OP8 COB - UN Compound",
       "UNDP - WFH","UNDP OP8 COB - UNDP WFH",
"UNICEF","UNDP OP8 COB - UNICEF",
       "NHI","n.End of June 2026",
       "PRIVATE LEASE","k.End of Mar 2026",
       ""
     )
   )
)</f>
        <v>UNDP OP8 COB - UNDP CO</v>
      </c>
      <c r="N54" s="77" t="str">
        <f t="shared" si="1"/>
        <v>UNDP Action</v>
      </c>
      <c r="O54" s="79">
        <f>IFERROR(VLOOKUP($C54,'[15]2024 COBs'!$AA:$AK,5,0),"")</f>
        <v>2100</v>
      </c>
      <c r="P54" s="79">
        <f>IFERROR((VLOOKUP($C54,'[15]2024 COBs'!$AA:$AK,8,0)+VLOOKUP($C54,'[15]2024 COBs'!$AA:$AK,9,0)+VLOOKUP($C54,'[15]2024 COBs'!$AA:$AK,10,0)+VLOOKUP($C54,'[15]2024 COBs'!$AA:$AK,11,0))*5%,"")</f>
        <v>138</v>
      </c>
      <c r="Q54" s="79">
        <f>IFERROR((VLOOKUP($C54,'[15]2024 COBs'!$AA:$AK,8,0)+VLOOKUP($C54,'[15]2024 COBs'!$AA:$AK,9,0)+VLOOKUP($C54,'[15]2024 COBs'!$AA:$AK,10,0)+VLOOKUP($C54,'[15]2024 COBs'!$AA:$AK,11,0))*16%,"")</f>
        <v>441.6</v>
      </c>
      <c r="R54" s="79"/>
      <c r="S54" s="79">
        <f>IFERROR(VLOOKUP($C54,'[15]2024 COBs'!$AA:$AK,7,0),"")</f>
        <v>120</v>
      </c>
      <c r="T54" s="79">
        <f>IFERROR((VLOOKUP($C54,'[15]2024 COBs'!$AA:$AK,8,0)+VLOOKUP($C54,'[15]2024 COBs'!$AA:$AK,9,0)+VLOOKUP($C54,'[15]2024 COBs'!$AA:$AK,10,0)+VLOOKUP($C54,'[15]2024 COBs'!$AA:$AK,11,0))*20%,"")</f>
        <v>552</v>
      </c>
      <c r="U54" s="79">
        <f>IFERROR(VLOOKUP($C54,'[15]2024 COBs'!$AA:$AK,6,0),"")</f>
        <v>4800</v>
      </c>
      <c r="V54" s="79">
        <f>IFERROR((VLOOKUP($C54,'[15]2024 COBs'!$AA:$AK,8,0)+VLOOKUP($C54,'[15]2024 COBs'!$AA:$AK,9,0)+VLOOKUP($C54,'[15]2024 COBs'!$AA:$AK,10,0)+VLOOKUP($C54,'[15]2024 COBs'!$AA:$AK,11,0))*18%,"")</f>
        <v>496.79999999999995</v>
      </c>
      <c r="W54" s="79">
        <f>IFERROR((VLOOKUP($C54,'[15]2024 COBs'!$AA:$AK,8,0)+VLOOKUP($C54,'[15]2024 COBs'!$AA:$AK,9,0)+VLOOKUP($C54,'[15]2024 COBs'!$AA:$AK,10,0)+VLOOKUP($C54,'[15]2024 COBs'!$AA:$AK,11,0))*27%,"")</f>
        <v>745.2</v>
      </c>
      <c r="X54" s="79">
        <f>IFERROR((VLOOKUP($C54,'[15]2024 COBs'!$AA:$AK,8,0)+VLOOKUP($C54,'[15]2024 COBs'!$AA:$AK,9,0)+VLOOKUP($C54,'[15]2024 COBs'!$AA:$AK,10,0)+VLOOKUP($C54,'[15]2024 COBs'!$AA:$AK,11,0))*14%,"")</f>
        <v>386.40000000000003</v>
      </c>
      <c r="Y54" s="79">
        <f>IFERROR(VLOOKUP($C54,'[15]2024 COBs'!$AA:$AK,4,0),"")</f>
        <v>3000</v>
      </c>
      <c r="Z54" s="80">
        <f t="shared" si="4"/>
        <v>12780</v>
      </c>
      <c r="AF54" s="76" t="s">
        <v>428</v>
      </c>
      <c r="AG54" s="76" t="s">
        <v>428</v>
      </c>
      <c r="AH54" s="78" t="s">
        <v>485</v>
      </c>
      <c r="AI54" s="78" t="s">
        <v>388</v>
      </c>
      <c r="AJ54" s="78"/>
      <c r="AK54" s="78"/>
      <c r="AL54" s="78">
        <v>1</v>
      </c>
      <c r="AM54" s="77" t="s">
        <v>389</v>
      </c>
      <c r="AN54" s="77" t="s">
        <v>390</v>
      </c>
      <c r="AO54" s="79"/>
      <c r="AP54" s="79"/>
      <c r="AQ54" s="79"/>
      <c r="AR54" s="79"/>
      <c r="AS54" s="79"/>
      <c r="AT54" s="79"/>
      <c r="AU54" s="79"/>
      <c r="AV54" s="79"/>
      <c r="AW54" s="79"/>
      <c r="AX54" s="79"/>
      <c r="AY54" s="79"/>
      <c r="AZ54" s="80">
        <f t="shared" si="3"/>
        <v>0</v>
      </c>
      <c r="BF54" s="65" t="s">
        <v>527</v>
      </c>
      <c r="BG54" s="65" t="s">
        <v>396</v>
      </c>
      <c r="BH54" s="65">
        <v>1</v>
      </c>
      <c r="BK54" s="65" t="s">
        <v>195</v>
      </c>
      <c r="BL54" s="65" t="s">
        <v>411</v>
      </c>
      <c r="BM54" s="65" t="s">
        <v>415</v>
      </c>
      <c r="BN54" s="65">
        <v>1</v>
      </c>
    </row>
    <row r="55" spans="2:66" x14ac:dyDescent="0.25">
      <c r="B55" s="76" t="s">
        <v>198</v>
      </c>
      <c r="C55" s="81" t="s">
        <v>198</v>
      </c>
      <c r="D55" s="77" t="s">
        <v>466</v>
      </c>
      <c r="E55" s="77" t="s">
        <v>394</v>
      </c>
      <c r="F55" s="77"/>
      <c r="G55" s="77"/>
      <c r="H55" s="77">
        <v>3</v>
      </c>
      <c r="I55" s="77" t="s">
        <v>401</v>
      </c>
      <c r="J55" s="77" t="s">
        <v>395</v>
      </c>
      <c r="K55" s="77" t="s">
        <v>17</v>
      </c>
      <c r="L55" s="78" t="str">
        <f t="shared" si="0"/>
        <v/>
      </c>
      <c r="M55" s="77" t="str" cm="1">
        <f t="array" ref="M55">IF(OR(UPPER(TRIM($C55))="BRAZIL",UPPER(TRIM($C55))="INDIA",UPPER(TRIM($C55))="PHILIPPINES"),
   "UNDP OP8 COB - RPA",
   IFERROR(
     VLOOKUP($C55,$BF:$BG,2,0),
     _xlfn.SWITCH(UPPER(TRIM($K55)),
       "N/A","N/A",
       "VACANT","UNDP OP8 COB - Vacant",
       "UNDP","UNDP OP8 COB - UNDP CO",
       "UN COMPOUND","UNDP OP8 COB - UN Compound",
       "UNDP - WFH","UNDP OP8 COB - UNDP WFH",
"UNICEF","UNDP OP8 COB - UNICEF",
       "NHI","n.End of June 2026",
       "PRIVATE LEASE","k.End of Mar 2026",
       ""
     )
   )
)</f>
        <v>UNDP OP8 COB - UNDP CO</v>
      </c>
      <c r="N55" s="77" t="str">
        <f t="shared" si="1"/>
        <v>UNDP Action</v>
      </c>
      <c r="O55" s="79">
        <f>IFERROR(VLOOKUP($C55,'[15]2024 COBs'!$AA:$AK,5,0),"")</f>
        <v>9300</v>
      </c>
      <c r="P55" s="79">
        <v>2500</v>
      </c>
      <c r="Q55" s="79">
        <f>IFERROR((VLOOKUP($C55,'[15]2024 COBs'!$AA:$AK,8,0)+VLOOKUP($C55,'[15]2024 COBs'!$AA:$AK,9,0)+VLOOKUP($C55,'[15]2024 COBs'!$AA:$AK,10,0)+VLOOKUP($C55,'[15]2024 COBs'!$AA:$AK,11,0))*16%,"")</f>
        <v>628.80000000000007</v>
      </c>
      <c r="R55" s="79"/>
      <c r="S55" s="79">
        <f>IFERROR(VLOOKUP($C55,'[15]2024 COBs'!$AA:$AK,7,0),"")</f>
        <v>300</v>
      </c>
      <c r="T55" s="79">
        <f>IFERROR((VLOOKUP($C55,'[15]2024 COBs'!$AA:$AK,8,0)+VLOOKUP($C55,'[15]2024 COBs'!$AA:$AK,9,0)+VLOOKUP($C55,'[15]2024 COBs'!$AA:$AK,10,0)+VLOOKUP($C55,'[15]2024 COBs'!$AA:$AK,11,0))*20%,"")</f>
        <v>786.00000000000011</v>
      </c>
      <c r="U55" s="79">
        <v>9500</v>
      </c>
      <c r="V55" s="79">
        <v>1500</v>
      </c>
      <c r="W55" s="79">
        <f>IFERROR((VLOOKUP($C55,'[15]2024 COBs'!$AA:$AK,8,0)+VLOOKUP($C55,'[15]2024 COBs'!$AA:$AK,9,0)+VLOOKUP($C55,'[15]2024 COBs'!$AA:$AK,10,0)+VLOOKUP($C55,'[15]2024 COBs'!$AA:$AK,11,0))*27%,"")</f>
        <v>1061.1000000000001</v>
      </c>
      <c r="X55" s="79">
        <f>IFERROR((VLOOKUP($C55,'[15]2024 COBs'!$AA:$AK,8,0)+VLOOKUP($C55,'[15]2024 COBs'!$AA:$AK,9,0)+VLOOKUP($C55,'[15]2024 COBs'!$AA:$AK,10,0)+VLOOKUP($C55,'[15]2024 COBs'!$AA:$AK,11,0))*14%,"")</f>
        <v>550.20000000000016</v>
      </c>
      <c r="Y55" s="79">
        <f>IFERROR(VLOOKUP($C55,'[15]2024 COBs'!$AA:$AK,4,0),"")</f>
        <v>1560</v>
      </c>
      <c r="Z55" s="80">
        <f t="shared" si="4"/>
        <v>27686.1</v>
      </c>
      <c r="AF55" s="76" t="s">
        <v>436</v>
      </c>
      <c r="AG55" s="76" t="s">
        <v>436</v>
      </c>
      <c r="AH55" s="78" t="s">
        <v>495</v>
      </c>
      <c r="AI55" s="78" t="s">
        <v>388</v>
      </c>
      <c r="AJ55" s="78" t="s">
        <v>409</v>
      </c>
      <c r="AK55" s="78" t="s">
        <v>463</v>
      </c>
      <c r="AL55" s="78">
        <v>5</v>
      </c>
      <c r="AM55" s="77" t="s">
        <v>421</v>
      </c>
      <c r="AN55" s="77" t="s">
        <v>439</v>
      </c>
      <c r="AO55" s="79"/>
      <c r="AP55" s="79"/>
      <c r="AQ55" s="79"/>
      <c r="AR55" s="79"/>
      <c r="AS55" s="79"/>
      <c r="AT55" s="79"/>
      <c r="AU55" s="79"/>
      <c r="AV55" s="79"/>
      <c r="AW55" s="79"/>
      <c r="AX55" s="79"/>
      <c r="AY55" s="79"/>
      <c r="AZ55" s="80">
        <f t="shared" si="3"/>
        <v>0</v>
      </c>
      <c r="BF55" s="65" t="s">
        <v>250</v>
      </c>
      <c r="BG55" s="65" t="s">
        <v>396</v>
      </c>
      <c r="BH55" s="65">
        <v>1</v>
      </c>
      <c r="BK55" s="65" t="s">
        <v>196</v>
      </c>
      <c r="BL55" s="65" t="s">
        <v>411</v>
      </c>
      <c r="BM55" s="65" t="s">
        <v>396</v>
      </c>
      <c r="BN55" s="65">
        <v>1</v>
      </c>
    </row>
    <row r="56" spans="2:66" x14ac:dyDescent="0.25">
      <c r="B56" s="76" t="s">
        <v>199</v>
      </c>
      <c r="C56" s="76" t="s">
        <v>199</v>
      </c>
      <c r="D56" s="77" t="s">
        <v>528</v>
      </c>
      <c r="E56" s="77" t="s">
        <v>408</v>
      </c>
      <c r="F56" s="77" t="s">
        <v>409</v>
      </c>
      <c r="G56" s="77"/>
      <c r="H56" s="77">
        <v>2</v>
      </c>
      <c r="I56" s="77" t="s">
        <v>401</v>
      </c>
      <c r="J56" s="77" t="s">
        <v>390</v>
      </c>
      <c r="K56" s="77" t="s">
        <v>425</v>
      </c>
      <c r="L56" s="78" t="str">
        <f t="shared" si="0"/>
        <v/>
      </c>
      <c r="M56" s="77" t="str" cm="1">
        <f t="array" ref="M56">IF(OR(UPPER(TRIM($C56))="BRAZIL",UPPER(TRIM($C56))="INDIA",UPPER(TRIM($C56))="PHILIPPINES"),
   "UNDP OP8 COB - RPA",
   IFERROR(
     VLOOKUP($C56,$BF:$BG,2,0),
     _xlfn.SWITCH(UPPER(TRIM($K56)),
       "N/A","N/A",
       "VACANT","UNDP OP8 COB - Vacant",
       "UNDP","UNDP OP8 COB - UNDP CO",
       "UN COMPOUND","UNDP OP8 COB - UN Compound",
       "UNDP - WFH","UNDP OP8 COB - UNDP WFH",
"UNICEF","UNDP OP8 COB - UNICEF",
       "NHI","n.End of June 2026",
       "PRIVATE LEASE","k.End of Mar 2026",
       ""
     )
   )
)</f>
        <v>k.End of Mar 2026</v>
      </c>
      <c r="N56" s="77" t="str">
        <f t="shared" si="1"/>
        <v>UNOPS Action</v>
      </c>
      <c r="O56" s="79">
        <f>IFERROR(VLOOKUP($C56,'[15]2024 COBs'!$AA:$AK,5,0),"")</f>
        <v>385.15707597039722</v>
      </c>
      <c r="P56" s="79">
        <f>IFERROR((VLOOKUP($C56,'[15]2024 COBs'!$AA:$AK,8,0)+VLOOKUP($C56,'[15]2024 COBs'!$AA:$AK,9,0)+VLOOKUP($C56,'[15]2024 COBs'!$AA:$AK,10,0)+VLOOKUP($C56,'[15]2024 COBs'!$AA:$AK,11,0))*5%,"")</f>
        <v>221.50383439057543</v>
      </c>
      <c r="Q56" s="79">
        <f>IFERROR((VLOOKUP($C56,'[15]2024 COBs'!$AA:$AK,8,0)+VLOOKUP($C56,'[15]2024 COBs'!$AA:$AK,9,0)+VLOOKUP($C56,'[15]2024 COBs'!$AA:$AK,10,0)+VLOOKUP($C56,'[15]2024 COBs'!$AA:$AK,11,0))*16%,"")</f>
        <v>708.81227004984135</v>
      </c>
      <c r="R56" s="79"/>
      <c r="S56" s="79">
        <f>IFERROR(VLOOKUP($C56,'[15]2024 COBs'!$AA:$AK,7,0),"")</f>
        <v>0</v>
      </c>
      <c r="T56" s="79">
        <f>IFERROR((VLOOKUP($C56,'[15]2024 COBs'!$AA:$AK,8,0)+VLOOKUP($C56,'[15]2024 COBs'!$AA:$AK,9,0)+VLOOKUP($C56,'[15]2024 COBs'!$AA:$AK,10,0)+VLOOKUP($C56,'[15]2024 COBs'!$AA:$AK,11,0))*20%,"")</f>
        <v>886.01533756230174</v>
      </c>
      <c r="U56" s="79">
        <f>IFERROR(VLOOKUP($C56,'[15]2024 COBs'!$AA:$AK,6,0),"")</f>
        <v>11092.523787947439</v>
      </c>
      <c r="V56" s="79">
        <f>IFERROR((VLOOKUP($C56,'[15]2024 COBs'!$AA:$AK,8,0)+VLOOKUP($C56,'[15]2024 COBs'!$AA:$AK,9,0)+VLOOKUP($C56,'[15]2024 COBs'!$AA:$AK,10,0)+VLOOKUP($C56,'[15]2024 COBs'!$AA:$AK,11,0))*18%,"")</f>
        <v>797.41380380607143</v>
      </c>
      <c r="W56" s="79">
        <f>IFERROR((VLOOKUP($C56,'[15]2024 COBs'!$AA:$AK,8,0)+VLOOKUP($C56,'[15]2024 COBs'!$AA:$AK,9,0)+VLOOKUP($C56,'[15]2024 COBs'!$AA:$AK,10,0)+VLOOKUP($C56,'[15]2024 COBs'!$AA:$AK,11,0))*27%,"")</f>
        <v>1196.1207057091074</v>
      </c>
      <c r="X56" s="79">
        <f>IFERROR((VLOOKUP($C56,'[15]2024 COBs'!$AA:$AK,8,0)+VLOOKUP($C56,'[15]2024 COBs'!$AA:$AK,9,0)+VLOOKUP($C56,'[15]2024 COBs'!$AA:$AK,10,0)+VLOOKUP($C56,'[15]2024 COBs'!$AA:$AK,11,0))*14%,"")</f>
        <v>620.21073629361126</v>
      </c>
      <c r="Y56" s="79">
        <f>IFERROR(VLOOKUP($C56,'[15]2024 COBs'!$AA:$AK,4,0),"")</f>
        <v>4493.2424482706538</v>
      </c>
      <c r="Z56" s="80">
        <f t="shared" si="4"/>
        <v>20401</v>
      </c>
      <c r="AF56" s="76" t="s">
        <v>529</v>
      </c>
      <c r="AG56" s="76" t="s">
        <v>193</v>
      </c>
      <c r="AH56" s="78" t="s">
        <v>524</v>
      </c>
      <c r="AI56" s="78" t="s">
        <v>388</v>
      </c>
      <c r="AJ56" s="78" t="s">
        <v>409</v>
      </c>
      <c r="AK56" s="78"/>
      <c r="AL56" s="78">
        <v>3</v>
      </c>
      <c r="AM56" s="77" t="s">
        <v>401</v>
      </c>
      <c r="AN56" s="77" t="s">
        <v>390</v>
      </c>
      <c r="AO56" s="79"/>
      <c r="AP56" s="79"/>
      <c r="AQ56" s="79"/>
      <c r="AR56" s="79"/>
      <c r="AS56" s="79"/>
      <c r="AT56" s="79"/>
      <c r="AU56" s="79"/>
      <c r="AV56" s="79"/>
      <c r="AW56" s="79"/>
      <c r="AX56" s="79"/>
      <c r="AY56" s="79"/>
      <c r="AZ56" s="80">
        <f t="shared" si="3"/>
        <v>0</v>
      </c>
      <c r="BF56" s="65" t="s">
        <v>530</v>
      </c>
      <c r="BG56" s="65" t="s">
        <v>396</v>
      </c>
      <c r="BH56" s="65">
        <v>1</v>
      </c>
      <c r="BK56" s="65" t="s">
        <v>197</v>
      </c>
      <c r="BL56" s="65" t="s">
        <v>397</v>
      </c>
      <c r="BM56" s="65" t="s">
        <v>398</v>
      </c>
      <c r="BN56" s="65">
        <v>1</v>
      </c>
    </row>
    <row r="57" spans="2:66" x14ac:dyDescent="0.25">
      <c r="B57" s="76" t="s">
        <v>200</v>
      </c>
      <c r="C57" s="76" t="s">
        <v>200</v>
      </c>
      <c r="D57" s="77" t="s">
        <v>531</v>
      </c>
      <c r="E57" s="77" t="s">
        <v>408</v>
      </c>
      <c r="F57" s="77"/>
      <c r="G57" s="77"/>
      <c r="H57" s="77">
        <v>3</v>
      </c>
      <c r="I57" s="77" t="s">
        <v>401</v>
      </c>
      <c r="J57" s="77" t="s">
        <v>395</v>
      </c>
      <c r="K57" s="77" t="s">
        <v>17</v>
      </c>
      <c r="L57" s="78" t="str">
        <f t="shared" si="0"/>
        <v/>
      </c>
      <c r="M57" s="77" t="str" cm="1">
        <f t="array" ref="M57">IF(OR(UPPER(TRIM($C57))="BRAZIL",UPPER(TRIM($C57))="INDIA",UPPER(TRIM($C57))="PHILIPPINES"),
   "UNDP OP8 COB - RPA",
   IFERROR(
     VLOOKUP($C57,$BF:$BG,2,0),
     _xlfn.SWITCH(UPPER(TRIM($K57)),
       "N/A","N/A",
       "VACANT","UNDP OP8 COB - Vacant",
       "UNDP","UNDP OP8 COB - UNDP CO",
       "UN COMPOUND","UNDP OP8 COB - UN Compound",
       "UNDP - WFH","UNDP OP8 COB - UNDP WFH",
"UNICEF","UNDP OP8 COB - UNICEF",
       "NHI","n.End of June 2026",
       "PRIVATE LEASE","k.End of Mar 2026",
       ""
     )
   )
)</f>
        <v>UNDP OP8 COB - UNDP CO</v>
      </c>
      <c r="N57" s="77" t="str">
        <f t="shared" si="1"/>
        <v>UNDP Action</v>
      </c>
      <c r="O57" s="79">
        <f>IFERROR(VLOOKUP($C57,'[15]2024 COBs'!$AA:$AK,5,0),"")</f>
        <v>3300</v>
      </c>
      <c r="P57" s="79">
        <f>IFERROR((VLOOKUP($C57,'[15]2024 COBs'!$AA:$AK,8,0)+VLOOKUP($C57,'[15]2024 COBs'!$AA:$AK,9,0)+VLOOKUP($C57,'[15]2024 COBs'!$AA:$AK,10,0)+VLOOKUP($C57,'[15]2024 COBs'!$AA:$AK,11,0))*5%,"")</f>
        <v>945</v>
      </c>
      <c r="Q57" s="79">
        <f>IFERROR((VLOOKUP($C57,'[15]2024 COBs'!$AA:$AK,8,0)+VLOOKUP($C57,'[15]2024 COBs'!$AA:$AK,9,0)+VLOOKUP($C57,'[15]2024 COBs'!$AA:$AK,10,0)+VLOOKUP($C57,'[15]2024 COBs'!$AA:$AK,11,0))*16%,"")</f>
        <v>3024</v>
      </c>
      <c r="R57" s="79"/>
      <c r="S57" s="79">
        <f>IFERROR(VLOOKUP($C57,'[15]2024 COBs'!$AA:$AK,7,0),"")</f>
        <v>0</v>
      </c>
      <c r="T57" s="79">
        <f>IFERROR((VLOOKUP($C57,'[15]2024 COBs'!$AA:$AK,8,0)+VLOOKUP($C57,'[15]2024 COBs'!$AA:$AK,9,0)+VLOOKUP($C57,'[15]2024 COBs'!$AA:$AK,10,0)+VLOOKUP($C57,'[15]2024 COBs'!$AA:$AK,11,0))*20%,"")</f>
        <v>3780</v>
      </c>
      <c r="U57" s="79">
        <f>IFERROR(VLOOKUP($C57,'[15]2024 COBs'!$AA:$AK,6,0),"")</f>
        <v>12300</v>
      </c>
      <c r="V57" s="79">
        <f>IFERROR((VLOOKUP($C57,'[15]2024 COBs'!$AA:$AK,8,0)+VLOOKUP($C57,'[15]2024 COBs'!$AA:$AK,9,0)+VLOOKUP($C57,'[15]2024 COBs'!$AA:$AK,10,0)+VLOOKUP($C57,'[15]2024 COBs'!$AA:$AK,11,0))*18%,"")</f>
        <v>3402</v>
      </c>
      <c r="W57" s="79">
        <f>IFERROR((VLOOKUP($C57,'[15]2024 COBs'!$AA:$AK,8,0)+VLOOKUP($C57,'[15]2024 COBs'!$AA:$AK,9,0)+VLOOKUP($C57,'[15]2024 COBs'!$AA:$AK,10,0)+VLOOKUP($C57,'[15]2024 COBs'!$AA:$AK,11,0))*27%,"")</f>
        <v>5103</v>
      </c>
      <c r="X57" s="79">
        <f>IFERROR((VLOOKUP($C57,'[15]2024 COBs'!$AA:$AK,8,0)+VLOOKUP($C57,'[15]2024 COBs'!$AA:$AK,9,0)+VLOOKUP($C57,'[15]2024 COBs'!$AA:$AK,10,0)+VLOOKUP($C57,'[15]2024 COBs'!$AA:$AK,11,0))*14%,"")</f>
        <v>2646.0000000000005</v>
      </c>
      <c r="Y57" s="79">
        <f>IFERROR(VLOOKUP($C57,'[15]2024 COBs'!$AA:$AK,4,0),"")</f>
        <v>900.00000000000011</v>
      </c>
      <c r="Z57" s="80">
        <f t="shared" si="4"/>
        <v>35400</v>
      </c>
      <c r="AF57" s="76" t="s">
        <v>194</v>
      </c>
      <c r="AG57" s="76" t="s">
        <v>194</v>
      </c>
      <c r="AH57" s="78" t="s">
        <v>525</v>
      </c>
      <c r="AI57" s="78" t="s">
        <v>388</v>
      </c>
      <c r="AJ57" s="78" t="s">
        <v>432</v>
      </c>
      <c r="AK57" s="78"/>
      <c r="AL57" s="78">
        <v>1</v>
      </c>
      <c r="AM57" s="77" t="s">
        <v>401</v>
      </c>
      <c r="AN57" s="77" t="s">
        <v>390</v>
      </c>
      <c r="AO57" s="79"/>
      <c r="AP57" s="79"/>
      <c r="AQ57" s="79"/>
      <c r="AR57" s="79"/>
      <c r="AS57" s="79"/>
      <c r="AT57" s="79"/>
      <c r="AU57" s="79"/>
      <c r="AV57" s="79"/>
      <c r="AW57" s="79"/>
      <c r="AX57" s="79"/>
      <c r="AY57" s="79"/>
      <c r="AZ57" s="80">
        <f t="shared" si="3"/>
        <v>0</v>
      </c>
      <c r="BF57" s="65" t="s">
        <v>254</v>
      </c>
      <c r="BG57" s="65" t="s">
        <v>396</v>
      </c>
      <c r="BH57" s="65">
        <v>1</v>
      </c>
      <c r="BK57" s="65" t="s">
        <v>199</v>
      </c>
      <c r="BL57" s="65" t="s">
        <v>397</v>
      </c>
      <c r="BM57" s="65" t="s">
        <v>398</v>
      </c>
      <c r="BN57" s="65">
        <v>2</v>
      </c>
    </row>
    <row r="58" spans="2:66" x14ac:dyDescent="0.25">
      <c r="B58" s="76" t="s">
        <v>201</v>
      </c>
      <c r="C58" s="76" t="s">
        <v>201</v>
      </c>
      <c r="D58" s="77" t="s">
        <v>467</v>
      </c>
      <c r="E58" s="77" t="s">
        <v>394</v>
      </c>
      <c r="F58" s="77"/>
      <c r="G58" s="77"/>
      <c r="H58" s="77">
        <v>3</v>
      </c>
      <c r="I58" s="77" t="s">
        <v>401</v>
      </c>
      <c r="J58" s="77" t="s">
        <v>390</v>
      </c>
      <c r="K58" s="77" t="s">
        <v>425</v>
      </c>
      <c r="L58" s="78" t="str">
        <f t="shared" si="0"/>
        <v/>
      </c>
      <c r="M58" s="77" t="str" cm="1">
        <f t="array" ref="M58">IF(OR(UPPER(TRIM($C58))="BRAZIL",UPPER(TRIM($C58))="INDIA",UPPER(TRIM($C58))="PHILIPPINES"),
   "UNDP OP8 COB - RPA",
   IFERROR(
     VLOOKUP($C58,$BF:$BG,2,0),
     _xlfn.SWITCH(UPPER(TRIM($K58)),
       "N/A","N/A",
       "VACANT","UNDP OP8 COB - Vacant",
       "UNDP","UNDP OP8 COB - UNDP CO",
       "UN COMPOUND","UNDP OP8 COB - UN Compound",
       "UNDP - WFH","UNDP OP8 COB - UNDP WFH",
"UNICEF","UNDP OP8 COB - UNICEF",
       "NHI","n.End of June 2026",
       "PRIVATE LEASE","k.End of Mar 2026",
       ""
     )
   )
)</f>
        <v>k.End of Mar 2026</v>
      </c>
      <c r="N58" s="77" t="str">
        <f t="shared" si="1"/>
        <v>UNOPS Action</v>
      </c>
      <c r="O58" s="79">
        <f>IFERROR(VLOOKUP($C58,'[15]2024 COBs'!$AA:$AK,5,0),"")</f>
        <v>2625</v>
      </c>
      <c r="P58" s="79">
        <f>IFERROR((VLOOKUP($C58,'[15]2024 COBs'!$AA:$AK,8,0)+VLOOKUP($C58,'[15]2024 COBs'!$AA:$AK,9,0)+VLOOKUP($C58,'[15]2024 COBs'!$AA:$AK,10,0)+VLOOKUP($C58,'[15]2024 COBs'!$AA:$AK,11,0))*5%,"")</f>
        <v>162.375</v>
      </c>
      <c r="Q58" s="79">
        <f>IFERROR((VLOOKUP($C58,'[15]2024 COBs'!$AA:$AK,8,0)+VLOOKUP($C58,'[15]2024 COBs'!$AA:$AK,9,0)+VLOOKUP($C58,'[15]2024 COBs'!$AA:$AK,10,0)+VLOOKUP($C58,'[15]2024 COBs'!$AA:$AK,11,0))*16%,"")</f>
        <v>519.6</v>
      </c>
      <c r="R58" s="79"/>
      <c r="S58" s="79">
        <f>IFERROR(VLOOKUP($C58,'[15]2024 COBs'!$AA:$AK,7,0),"")</f>
        <v>577.5</v>
      </c>
      <c r="T58" s="79">
        <f>IFERROR((VLOOKUP($C58,'[15]2024 COBs'!$AA:$AK,8,0)+VLOOKUP($C58,'[15]2024 COBs'!$AA:$AK,9,0)+VLOOKUP($C58,'[15]2024 COBs'!$AA:$AK,10,0)+VLOOKUP($C58,'[15]2024 COBs'!$AA:$AK,11,0))*20%,"")</f>
        <v>649.5</v>
      </c>
      <c r="U58" s="79">
        <f>IFERROR(VLOOKUP($C58,'[15]2024 COBs'!$AA:$AK,6,0),"")</f>
        <v>20625</v>
      </c>
      <c r="V58" s="79">
        <f>IFERROR((VLOOKUP($C58,'[15]2024 COBs'!$AA:$AK,8,0)+VLOOKUP($C58,'[15]2024 COBs'!$AA:$AK,9,0)+VLOOKUP($C58,'[15]2024 COBs'!$AA:$AK,10,0)+VLOOKUP($C58,'[15]2024 COBs'!$AA:$AK,11,0))*18%,"")</f>
        <v>584.54999999999995</v>
      </c>
      <c r="W58" s="79">
        <f>IFERROR((VLOOKUP($C58,'[15]2024 COBs'!$AA:$AK,8,0)+VLOOKUP($C58,'[15]2024 COBs'!$AA:$AK,9,0)+VLOOKUP($C58,'[15]2024 COBs'!$AA:$AK,10,0)+VLOOKUP($C58,'[15]2024 COBs'!$AA:$AK,11,0))*27%,"")</f>
        <v>876.82500000000005</v>
      </c>
      <c r="X58" s="79">
        <f>IFERROR((VLOOKUP($C58,'[15]2024 COBs'!$AA:$AK,8,0)+VLOOKUP($C58,'[15]2024 COBs'!$AA:$AK,9,0)+VLOOKUP($C58,'[15]2024 COBs'!$AA:$AK,10,0)+VLOOKUP($C58,'[15]2024 COBs'!$AA:$AK,11,0))*14%,"")</f>
        <v>454.65000000000003</v>
      </c>
      <c r="Y58" s="79">
        <f>IFERROR(VLOOKUP($C58,'[15]2024 COBs'!$AA:$AK,4,0),"")</f>
        <v>300</v>
      </c>
      <c r="Z58" s="80">
        <f t="shared" si="4"/>
        <v>27375</v>
      </c>
      <c r="AF58" s="76" t="s">
        <v>132</v>
      </c>
      <c r="AG58" s="76" t="s">
        <v>132</v>
      </c>
      <c r="AH58" s="78" t="s">
        <v>532</v>
      </c>
      <c r="AI58" s="78" t="s">
        <v>388</v>
      </c>
      <c r="AJ58" s="78"/>
      <c r="AK58" s="78" t="s">
        <v>463</v>
      </c>
      <c r="AL58" s="78">
        <v>4</v>
      </c>
      <c r="AM58" s="77" t="s">
        <v>401</v>
      </c>
      <c r="AN58" s="77" t="s">
        <v>390</v>
      </c>
      <c r="AO58" s="79"/>
      <c r="AP58" s="79"/>
      <c r="AQ58" s="79"/>
      <c r="AR58" s="79"/>
      <c r="AS58" s="79"/>
      <c r="AT58" s="79"/>
      <c r="AU58" s="79"/>
      <c r="AV58" s="79"/>
      <c r="AW58" s="79"/>
      <c r="AX58" s="79"/>
      <c r="AY58" s="79"/>
      <c r="AZ58" s="80" t="s">
        <v>464</v>
      </c>
      <c r="BF58" s="65" t="s">
        <v>533</v>
      </c>
      <c r="BG58" s="65" t="s">
        <v>415</v>
      </c>
      <c r="BH58" s="65">
        <v>1</v>
      </c>
      <c r="BK58" s="65" t="s">
        <v>200</v>
      </c>
      <c r="BL58" s="65" t="s">
        <v>397</v>
      </c>
      <c r="BM58" s="65" t="s">
        <v>398</v>
      </c>
      <c r="BN58" s="65">
        <v>1</v>
      </c>
    </row>
    <row r="59" spans="2:66" x14ac:dyDescent="0.25">
      <c r="B59" s="76" t="s">
        <v>202</v>
      </c>
      <c r="C59" s="76" t="s">
        <v>470</v>
      </c>
      <c r="D59" s="77" t="s">
        <v>471</v>
      </c>
      <c r="E59" s="77" t="s">
        <v>394</v>
      </c>
      <c r="F59" s="77"/>
      <c r="G59" s="77"/>
      <c r="H59" s="77">
        <v>2</v>
      </c>
      <c r="I59" s="77" t="s">
        <v>401</v>
      </c>
      <c r="J59" s="77" t="s">
        <v>390</v>
      </c>
      <c r="K59" s="77" t="s">
        <v>17</v>
      </c>
      <c r="L59" s="78" t="str">
        <f t="shared" si="0"/>
        <v/>
      </c>
      <c r="M59" s="77" t="str" cm="1">
        <f t="array" ref="M59">IF(OR(UPPER(TRIM($C59))="BRAZIL",UPPER(TRIM($C59))="INDIA",UPPER(TRIM($C59))="PHILIPPINES"),
   "UNDP OP8 COB - RPA",
   IFERROR(
     VLOOKUP($C59,$BF:$BG,2,0),
     _xlfn.SWITCH(UPPER(TRIM($K59)),
       "N/A","N/A",
       "VACANT","UNDP OP8 COB - Vacant",
       "UNDP","UNDP OP8 COB - UNDP CO",
       "UN COMPOUND","UNDP OP8 COB - UN Compound",
       "UNDP - WFH","UNDP OP8 COB - UNDP WFH",
"UNICEF","UNDP OP8 COB - UNICEF",
       "NHI","n.End of June 2026",
       "PRIVATE LEASE","k.End of Mar 2026",
       ""
     )
   )
)</f>
        <v>UNDP OP8 COB - UNDP CO</v>
      </c>
      <c r="N59" s="77" t="str">
        <f t="shared" si="1"/>
        <v>UNDP Action</v>
      </c>
      <c r="O59" s="79">
        <f>IFERROR(VLOOKUP($C59,'[15]2024 COBs'!$AA:$AK,5,0),"")</f>
        <v>0</v>
      </c>
      <c r="P59" s="79">
        <f>IFERROR((VLOOKUP($C59,'[15]2024 COBs'!$AA:$AK,8,0)+VLOOKUP($C59,'[15]2024 COBs'!$AA:$AK,9,0)+VLOOKUP($C59,'[15]2024 COBs'!$AA:$AK,10,0)+VLOOKUP($C59,'[15]2024 COBs'!$AA:$AK,11,0))*5%,"")</f>
        <v>250</v>
      </c>
      <c r="Q59" s="79">
        <f>IFERROR((VLOOKUP($C59,'[15]2024 COBs'!$AA:$AK,8,0)+VLOOKUP($C59,'[15]2024 COBs'!$AA:$AK,9,0)+VLOOKUP($C59,'[15]2024 COBs'!$AA:$AK,10,0)+VLOOKUP($C59,'[15]2024 COBs'!$AA:$AK,11,0))*16%,"")</f>
        <v>800</v>
      </c>
      <c r="R59" s="79"/>
      <c r="S59" s="79">
        <f>IFERROR(VLOOKUP($C59,'[15]2024 COBs'!$AA:$AK,7,0),"")</f>
        <v>0</v>
      </c>
      <c r="T59" s="79">
        <f>IFERROR((VLOOKUP($C59,'[15]2024 COBs'!$AA:$AK,8,0)+VLOOKUP($C59,'[15]2024 COBs'!$AA:$AK,9,0)+VLOOKUP($C59,'[15]2024 COBs'!$AA:$AK,10,0)+VLOOKUP($C59,'[15]2024 COBs'!$AA:$AK,11,0))*20%,"")</f>
        <v>1000</v>
      </c>
      <c r="U59" s="79">
        <f>IFERROR(VLOOKUP($C59,'[15]2024 COBs'!$AA:$AK,6,0),"")</f>
        <v>15125</v>
      </c>
      <c r="V59" s="79">
        <f>IFERROR((VLOOKUP($C59,'[15]2024 COBs'!$AA:$AK,8,0)+VLOOKUP($C59,'[15]2024 COBs'!$AA:$AK,9,0)+VLOOKUP($C59,'[15]2024 COBs'!$AA:$AK,10,0)+VLOOKUP($C59,'[15]2024 COBs'!$AA:$AK,11,0))*18%,"")</f>
        <v>900</v>
      </c>
      <c r="W59" s="79">
        <f>IFERROR((VLOOKUP($C59,'[15]2024 COBs'!$AA:$AK,8,0)+VLOOKUP($C59,'[15]2024 COBs'!$AA:$AK,9,0)+VLOOKUP($C59,'[15]2024 COBs'!$AA:$AK,10,0)+VLOOKUP($C59,'[15]2024 COBs'!$AA:$AK,11,0))*27%,"")</f>
        <v>1350</v>
      </c>
      <c r="X59" s="79">
        <f>IFERROR((VLOOKUP($C59,'[15]2024 COBs'!$AA:$AK,8,0)+VLOOKUP($C59,'[15]2024 COBs'!$AA:$AK,9,0)+VLOOKUP($C59,'[15]2024 COBs'!$AA:$AK,10,0)+VLOOKUP($C59,'[15]2024 COBs'!$AA:$AK,11,0))*14%,"")</f>
        <v>700.00000000000011</v>
      </c>
      <c r="Y59" s="79">
        <f>IFERROR(VLOOKUP($C59,'[15]2024 COBs'!$AA:$AK,4,0),"")</f>
        <v>0</v>
      </c>
      <c r="Z59" s="80">
        <f t="shared" si="4"/>
        <v>20125</v>
      </c>
      <c r="AF59" s="76" t="s">
        <v>534</v>
      </c>
      <c r="AG59" s="76" t="s">
        <v>534</v>
      </c>
      <c r="AH59" s="78" t="s">
        <v>535</v>
      </c>
      <c r="AI59" s="78" t="s">
        <v>388</v>
      </c>
      <c r="AJ59" s="78"/>
      <c r="AK59" s="78" t="s">
        <v>463</v>
      </c>
      <c r="AL59" s="78">
        <v>5</v>
      </c>
      <c r="AM59" s="77" t="s">
        <v>421</v>
      </c>
      <c r="AN59" s="77" t="s">
        <v>439</v>
      </c>
      <c r="AO59" s="79"/>
      <c r="AP59" s="79"/>
      <c r="AQ59" s="79"/>
      <c r="AR59" s="79"/>
      <c r="AS59" s="79"/>
      <c r="AT59" s="79"/>
      <c r="AU59" s="79"/>
      <c r="AV59" s="79"/>
      <c r="AW59" s="79"/>
      <c r="AX59" s="79"/>
      <c r="AY59" s="79"/>
      <c r="AZ59" s="80">
        <f t="shared" ref="AZ59:AZ72" si="5">SUM(AO59:AY59)</f>
        <v>0</v>
      </c>
      <c r="BF59" s="65" t="s">
        <v>533</v>
      </c>
      <c r="BG59" s="65" t="s">
        <v>396</v>
      </c>
      <c r="BH59" s="65">
        <v>1</v>
      </c>
      <c r="BK59" s="65" t="s">
        <v>201</v>
      </c>
      <c r="BL59" s="65" t="s">
        <v>397</v>
      </c>
      <c r="BM59" s="65" t="s">
        <v>416</v>
      </c>
      <c r="BN59" s="65">
        <v>1</v>
      </c>
    </row>
    <row r="60" spans="2:66" x14ac:dyDescent="0.25">
      <c r="B60" s="76" t="s">
        <v>468</v>
      </c>
      <c r="C60" s="76" t="s">
        <v>468</v>
      </c>
      <c r="D60" s="77" t="s">
        <v>536</v>
      </c>
      <c r="E60" s="77" t="s">
        <v>408</v>
      </c>
      <c r="F60" s="77"/>
      <c r="G60" s="77"/>
      <c r="H60" s="77">
        <v>5</v>
      </c>
      <c r="I60" s="77" t="s">
        <v>421</v>
      </c>
      <c r="J60" s="77" t="s">
        <v>439</v>
      </c>
      <c r="K60" s="77" t="s">
        <v>17</v>
      </c>
      <c r="L60" s="78" t="str">
        <f t="shared" si="0"/>
        <v>Yes</v>
      </c>
      <c r="M60" s="77" t="str" cm="1">
        <f t="array" ref="M60">IF(OR(UPPER(TRIM($C60))="BRAZIL",UPPER(TRIM($C60))="INDIA",UPPER(TRIM($C60))="PHILIPPINES"),
   "UNDP OP8 COB - RPA",
   IFERROR(
     VLOOKUP($C60,$BF:$BG,2,0),
     _xlfn.SWITCH(UPPER(TRIM($K60)),
       "N/A","N/A",
       "VACANT","UNDP OP8 COB - Vacant",
       "UNDP","UNDP OP8 COB - UNDP CO",
       "UN COMPOUND","UNDP OP8 COB - UN Compound",
       "UNDP - WFH","UNDP OP8 COB - UNDP WFH",
"UNICEF","UNDP OP8 COB - UNICEF",
       "NHI","n.End of June 2026",
       "PRIVATE LEASE","k.End of Mar 2026",
       ""
     )
   )
)</f>
        <v>t.End of Dec 2026</v>
      </c>
      <c r="N60" s="77" t="str">
        <f t="shared" si="1"/>
        <v>UNOPS Action</v>
      </c>
      <c r="O60" s="79">
        <f>IFERROR(VLOOKUP($C60,'[15]2024 COBs'!$AA:$AK,5,0),"")</f>
        <v>15050.872615609876</v>
      </c>
      <c r="P60" s="79">
        <f>IFERROR((VLOOKUP($C60,'[15]2024 COBs'!$AA:$AK,8,0)+VLOOKUP($C60,'[15]2024 COBs'!$AA:$AK,9,0)+VLOOKUP($C60,'[15]2024 COBs'!$AA:$AK,10,0)+VLOOKUP($C60,'[15]2024 COBs'!$AA:$AK,11,0))*5%,"")</f>
        <v>24.661264082645303</v>
      </c>
      <c r="Q60" s="79">
        <f>IFERROR((VLOOKUP($C60,'[15]2024 COBs'!$AA:$AK,8,0)+VLOOKUP($C60,'[15]2024 COBs'!$AA:$AK,9,0)+VLOOKUP($C60,'[15]2024 COBs'!$AA:$AK,10,0)+VLOOKUP($C60,'[15]2024 COBs'!$AA:$AK,11,0))*16%,"")</f>
        <v>78.916045064464967</v>
      </c>
      <c r="R60" s="79"/>
      <c r="S60" s="79">
        <f>IFERROR(VLOOKUP($C60,'[15]2024 COBs'!$AA:$AK,7,0),"")</f>
        <v>0</v>
      </c>
      <c r="T60" s="79">
        <f>IFERROR((VLOOKUP($C60,'[15]2024 COBs'!$AA:$AK,8,0)+VLOOKUP($C60,'[15]2024 COBs'!$AA:$AK,9,0)+VLOOKUP($C60,'[15]2024 COBs'!$AA:$AK,10,0)+VLOOKUP($C60,'[15]2024 COBs'!$AA:$AK,11,0))*20%,"")</f>
        <v>98.645056330581212</v>
      </c>
      <c r="U60" s="79">
        <f>IFERROR(VLOOKUP($C60,'[15]2024 COBs'!$AA:$AK,6,0),"")</f>
        <v>5762.1090413633219</v>
      </c>
      <c r="V60" s="79">
        <f>IFERROR((VLOOKUP($C60,'[15]2024 COBs'!$AA:$AK,8,0)+VLOOKUP($C60,'[15]2024 COBs'!$AA:$AK,9,0)+VLOOKUP($C60,'[15]2024 COBs'!$AA:$AK,10,0)+VLOOKUP($C60,'[15]2024 COBs'!$AA:$AK,11,0))*18%,"")</f>
        <v>88.780550697523083</v>
      </c>
      <c r="W60" s="79">
        <f>IFERROR((VLOOKUP($C60,'[15]2024 COBs'!$AA:$AK,8,0)+VLOOKUP($C60,'[15]2024 COBs'!$AA:$AK,9,0)+VLOOKUP($C60,'[15]2024 COBs'!$AA:$AK,10,0)+VLOOKUP($C60,'[15]2024 COBs'!$AA:$AK,11,0))*27%,"")</f>
        <v>133.17082604628462</v>
      </c>
      <c r="X60" s="79">
        <f>IFERROR((VLOOKUP($C60,'[15]2024 COBs'!$AA:$AK,8,0)+VLOOKUP($C60,'[15]2024 COBs'!$AA:$AK,9,0)+VLOOKUP($C60,'[15]2024 COBs'!$AA:$AK,10,0)+VLOOKUP($C60,'[15]2024 COBs'!$AA:$AK,11,0))*14%,"")</f>
        <v>69.051539431406852</v>
      </c>
      <c r="Y60" s="79">
        <f>IFERROR(VLOOKUP($C60,'[15]2024 COBs'!$AA:$AK,4,0),"")</f>
        <v>1748.7930613738968</v>
      </c>
      <c r="Z60" s="80">
        <f t="shared" si="4"/>
        <v>23055</v>
      </c>
      <c r="AF60" s="76" t="s">
        <v>537</v>
      </c>
      <c r="AG60" s="76" t="s">
        <v>537</v>
      </c>
      <c r="AH60" s="78" t="s">
        <v>538</v>
      </c>
      <c r="AI60" s="78" t="s">
        <v>388</v>
      </c>
      <c r="AJ60" s="78"/>
      <c r="AK60" s="78"/>
      <c r="AL60" s="78">
        <v>5</v>
      </c>
      <c r="AM60" s="77" t="s">
        <v>421</v>
      </c>
      <c r="AN60" s="77" t="s">
        <v>439</v>
      </c>
      <c r="AO60" s="79"/>
      <c r="AP60" s="79"/>
      <c r="AQ60" s="79"/>
      <c r="AR60" s="79"/>
      <c r="AS60" s="79"/>
      <c r="AT60" s="79"/>
      <c r="AU60" s="79"/>
      <c r="AV60" s="79"/>
      <c r="AW60" s="79"/>
      <c r="AX60" s="79"/>
      <c r="AY60" s="79"/>
      <c r="AZ60" s="80">
        <f t="shared" si="5"/>
        <v>0</v>
      </c>
      <c r="BF60" s="65" t="s">
        <v>539</v>
      </c>
      <c r="BG60" s="65" t="s">
        <v>396</v>
      </c>
      <c r="BH60" s="65">
        <v>1</v>
      </c>
      <c r="BK60" s="65" t="s">
        <v>201</v>
      </c>
      <c r="BL60" s="65" t="s">
        <v>397</v>
      </c>
      <c r="BM60" s="65" t="s">
        <v>398</v>
      </c>
      <c r="BN60" s="65">
        <v>1</v>
      </c>
    </row>
    <row r="61" spans="2:66" x14ac:dyDescent="0.25">
      <c r="B61" s="76" t="s">
        <v>203</v>
      </c>
      <c r="C61" s="76" t="s">
        <v>203</v>
      </c>
      <c r="D61" s="77" t="s">
        <v>540</v>
      </c>
      <c r="E61" s="77" t="s">
        <v>408</v>
      </c>
      <c r="F61" s="77"/>
      <c r="G61" s="77"/>
      <c r="H61" s="77">
        <v>2</v>
      </c>
      <c r="I61" s="77" t="s">
        <v>401</v>
      </c>
      <c r="J61" s="77" t="s">
        <v>390</v>
      </c>
      <c r="K61" s="77" t="s">
        <v>17</v>
      </c>
      <c r="L61" s="78" t="str">
        <f t="shared" si="0"/>
        <v/>
      </c>
      <c r="M61" s="77" t="str" cm="1">
        <f t="array" ref="M61">IF(OR(UPPER(TRIM($C61))="BRAZIL",UPPER(TRIM($C61))="INDIA",UPPER(TRIM($C61))="PHILIPPINES"),
   "UNDP OP8 COB - RPA",
   IFERROR(
     VLOOKUP($C61,$BF:$BG,2,0),
     _xlfn.SWITCH(UPPER(TRIM($K61)),
       "N/A","N/A",
       "VACANT","UNDP OP8 COB - Vacant",
       "UNDP","UNDP OP8 COB - UNDP CO",
       "UN COMPOUND","UNDP OP8 COB - UN Compound",
       "UNDP - WFH","UNDP OP8 COB - UNDP WFH",
"UNICEF","UNDP OP8 COB - UNICEF",
       "NHI","n.End of June 2026",
       "PRIVATE LEASE","k.End of Mar 2026",
       ""
     )
   )
)</f>
        <v>UNDP OP8 COB - UNDP CO</v>
      </c>
      <c r="N61" s="77" t="str">
        <f t="shared" si="1"/>
        <v>UNDP Action</v>
      </c>
      <c r="O61" s="79">
        <f>IFERROR(VLOOKUP($C61,'[15]2024 COBs'!$AA:$AK,5,0),"")</f>
        <v>3600</v>
      </c>
      <c r="P61" s="79">
        <f>IFERROR((VLOOKUP($C61,'[15]2024 COBs'!$AA:$AK,8,0)+VLOOKUP($C61,'[15]2024 COBs'!$AA:$AK,9,0)+VLOOKUP($C61,'[15]2024 COBs'!$AA:$AK,10,0)+VLOOKUP($C61,'[15]2024 COBs'!$AA:$AK,11,0))*5%,"")</f>
        <v>60</v>
      </c>
      <c r="Q61" s="79">
        <f>IFERROR((VLOOKUP($C61,'[15]2024 COBs'!$AA:$AK,8,0)+VLOOKUP($C61,'[15]2024 COBs'!$AA:$AK,9,0)+VLOOKUP($C61,'[15]2024 COBs'!$AA:$AK,10,0)+VLOOKUP($C61,'[15]2024 COBs'!$AA:$AK,11,0))*16%,"")</f>
        <v>192</v>
      </c>
      <c r="R61" s="79"/>
      <c r="S61" s="79">
        <f>IFERROR(VLOOKUP($C61,'[15]2024 COBs'!$AA:$AK,7,0),"")</f>
        <v>480</v>
      </c>
      <c r="T61" s="79">
        <f>IFERROR((VLOOKUP($C61,'[15]2024 COBs'!$AA:$AK,8,0)+VLOOKUP($C61,'[15]2024 COBs'!$AA:$AK,9,0)+VLOOKUP($C61,'[15]2024 COBs'!$AA:$AK,10,0)+VLOOKUP($C61,'[15]2024 COBs'!$AA:$AK,11,0))*20%,"")</f>
        <v>240</v>
      </c>
      <c r="U61" s="79">
        <f>IFERROR(VLOOKUP($C61,'[15]2024 COBs'!$AA:$AK,6,0),"")</f>
        <v>11220</v>
      </c>
      <c r="V61" s="79">
        <f>IFERROR((VLOOKUP($C61,'[15]2024 COBs'!$AA:$AK,8,0)+VLOOKUP($C61,'[15]2024 COBs'!$AA:$AK,9,0)+VLOOKUP($C61,'[15]2024 COBs'!$AA:$AK,10,0)+VLOOKUP($C61,'[15]2024 COBs'!$AA:$AK,11,0))*18%,"")</f>
        <v>216</v>
      </c>
      <c r="W61" s="79">
        <f>IFERROR((VLOOKUP($C61,'[15]2024 COBs'!$AA:$AK,8,0)+VLOOKUP($C61,'[15]2024 COBs'!$AA:$AK,9,0)+VLOOKUP($C61,'[15]2024 COBs'!$AA:$AK,10,0)+VLOOKUP($C61,'[15]2024 COBs'!$AA:$AK,11,0))*27%,"")</f>
        <v>324</v>
      </c>
      <c r="X61" s="79">
        <f>IFERROR((VLOOKUP($C61,'[15]2024 COBs'!$AA:$AK,8,0)+VLOOKUP($C61,'[15]2024 COBs'!$AA:$AK,9,0)+VLOOKUP($C61,'[15]2024 COBs'!$AA:$AK,10,0)+VLOOKUP($C61,'[15]2024 COBs'!$AA:$AK,11,0))*14%,"")</f>
        <v>168.00000000000003</v>
      </c>
      <c r="Y61" s="79">
        <f>IFERROR(VLOOKUP($C61,'[15]2024 COBs'!$AA:$AK,4,0),"")</f>
        <v>600</v>
      </c>
      <c r="Z61" s="80">
        <f t="shared" si="4"/>
        <v>17100</v>
      </c>
      <c r="AF61" s="76" t="s">
        <v>207</v>
      </c>
      <c r="AG61" s="76" t="s">
        <v>207</v>
      </c>
      <c r="AH61" s="78" t="s">
        <v>541</v>
      </c>
      <c r="AI61" s="78" t="s">
        <v>388</v>
      </c>
      <c r="AJ61" s="78" t="s">
        <v>409</v>
      </c>
      <c r="AK61" s="78"/>
      <c r="AL61" s="78">
        <v>3</v>
      </c>
      <c r="AM61" s="77" t="s">
        <v>401</v>
      </c>
      <c r="AN61" s="77" t="s">
        <v>395</v>
      </c>
      <c r="AO61" s="79"/>
      <c r="AP61" s="79"/>
      <c r="AQ61" s="79"/>
      <c r="AR61" s="79"/>
      <c r="AS61" s="79"/>
      <c r="AT61" s="79"/>
      <c r="AU61" s="79"/>
      <c r="AV61" s="79"/>
      <c r="AW61" s="79"/>
      <c r="AX61" s="79"/>
      <c r="AY61" s="79"/>
      <c r="AZ61" s="80">
        <f t="shared" si="5"/>
        <v>0</v>
      </c>
      <c r="BF61" s="65" t="s">
        <v>117</v>
      </c>
      <c r="BH61" s="65">
        <v>62</v>
      </c>
      <c r="BK61" s="65" t="s">
        <v>470</v>
      </c>
      <c r="BL61" s="65" t="s">
        <v>397</v>
      </c>
      <c r="BM61" s="65" t="s">
        <v>398</v>
      </c>
      <c r="BN61" s="65">
        <v>1</v>
      </c>
    </row>
    <row r="62" spans="2:66" x14ac:dyDescent="0.25">
      <c r="B62" s="76" t="s">
        <v>204</v>
      </c>
      <c r="C62" s="76" t="s">
        <v>204</v>
      </c>
      <c r="D62" s="77" t="s">
        <v>542</v>
      </c>
      <c r="E62" s="77" t="s">
        <v>408</v>
      </c>
      <c r="F62" s="77"/>
      <c r="G62" s="77"/>
      <c r="H62" s="77">
        <v>1</v>
      </c>
      <c r="I62" s="77" t="s">
        <v>401</v>
      </c>
      <c r="J62" s="77" t="s">
        <v>390</v>
      </c>
      <c r="K62" s="77" t="s">
        <v>17</v>
      </c>
      <c r="L62" s="78" t="str">
        <f t="shared" si="0"/>
        <v/>
      </c>
      <c r="M62" s="77" t="str" cm="1">
        <f t="array" ref="M62">IF(OR(UPPER(TRIM($C62))="BRAZIL",UPPER(TRIM($C62))="INDIA",UPPER(TRIM($C62))="PHILIPPINES"),
   "UNDP OP8 COB - RPA",
   IFERROR(
     VLOOKUP($C62,$BF:$BG,2,0),
     _xlfn.SWITCH(UPPER(TRIM($K62)),
       "N/A","N/A",
       "VACANT","UNDP OP8 COB - Vacant",
       "UNDP","UNDP OP8 COB - UNDP CO",
       "UN COMPOUND","UNDP OP8 COB - UN Compound",
       "UNDP - WFH","UNDP OP8 COB - UNDP WFH",
"UNICEF","UNDP OP8 COB - UNICEF",
       "NHI","n.End of June 2026",
       "PRIVATE LEASE","k.End of Mar 2026",
       ""
     )
   )
)</f>
        <v>UNDP OP8 COB - UNDP CO</v>
      </c>
      <c r="N62" s="77" t="str">
        <f t="shared" si="1"/>
        <v>UNDP Action</v>
      </c>
      <c r="O62" s="79">
        <f>IFERROR(VLOOKUP($C62,'[15]2024 COBs'!$AA:$AK,5,0),"")</f>
        <v>11289.777777777777</v>
      </c>
      <c r="P62" s="79">
        <f>IFERROR((VLOOKUP($C62,'[15]2024 COBs'!$AA:$AK,8,0)+VLOOKUP($C62,'[15]2024 COBs'!$AA:$AK,9,0)+VLOOKUP($C62,'[15]2024 COBs'!$AA:$AK,10,0)+VLOOKUP($C62,'[15]2024 COBs'!$AA:$AK,11,0))*5%,"")</f>
        <v>177.81399999999999</v>
      </c>
      <c r="Q62" s="79">
        <f>IFERROR((VLOOKUP($C62,'[15]2024 COBs'!$AA:$AK,8,0)+VLOOKUP($C62,'[15]2024 COBs'!$AA:$AK,9,0)+VLOOKUP($C62,'[15]2024 COBs'!$AA:$AK,10,0)+VLOOKUP($C62,'[15]2024 COBs'!$AA:$AK,11,0))*16%,"")</f>
        <v>569.00479999999993</v>
      </c>
      <c r="R62" s="79"/>
      <c r="S62" s="79">
        <f>IFERROR(VLOOKUP($C62,'[15]2024 COBs'!$AA:$AK,7,0),"")</f>
        <v>188.16296296296298</v>
      </c>
      <c r="T62" s="79">
        <f>IFERROR((VLOOKUP($C62,'[15]2024 COBs'!$AA:$AK,8,0)+VLOOKUP($C62,'[15]2024 COBs'!$AA:$AK,9,0)+VLOOKUP($C62,'[15]2024 COBs'!$AA:$AK,10,0)+VLOOKUP($C62,'[15]2024 COBs'!$AA:$AK,11,0))*20%,"")</f>
        <v>711.25599999999997</v>
      </c>
      <c r="U62" s="79">
        <f>IFERROR(VLOOKUP($C62,'[15]2024 COBs'!$AA:$AK,6,0),"")</f>
        <v>5663.7051851851857</v>
      </c>
      <c r="V62" s="79">
        <f>IFERROR((VLOOKUP($C62,'[15]2024 COBs'!$AA:$AK,8,0)+VLOOKUP($C62,'[15]2024 COBs'!$AA:$AK,9,0)+VLOOKUP($C62,'[15]2024 COBs'!$AA:$AK,10,0)+VLOOKUP($C62,'[15]2024 COBs'!$AA:$AK,11,0))*18%,"")</f>
        <v>640.1303999999999</v>
      </c>
      <c r="W62" s="79">
        <f>IFERROR((VLOOKUP($C62,'[15]2024 COBs'!$AA:$AK,8,0)+VLOOKUP($C62,'[15]2024 COBs'!$AA:$AK,9,0)+VLOOKUP($C62,'[15]2024 COBs'!$AA:$AK,10,0)+VLOOKUP($C62,'[15]2024 COBs'!$AA:$AK,11,0))*27%,"")</f>
        <v>960.19560000000001</v>
      </c>
      <c r="X62" s="79">
        <f>IFERROR((VLOOKUP($C62,'[15]2024 COBs'!$AA:$AK,8,0)+VLOOKUP($C62,'[15]2024 COBs'!$AA:$AK,9,0)+VLOOKUP($C62,'[15]2024 COBs'!$AA:$AK,10,0)+VLOOKUP($C62,'[15]2024 COBs'!$AA:$AK,11,0))*14%,"")</f>
        <v>497.87920000000003</v>
      </c>
      <c r="Y62" s="79">
        <f>IFERROR(VLOOKUP($C62,'[15]2024 COBs'!$AA:$AK,4,0),"")</f>
        <v>4704.0740740740739</v>
      </c>
      <c r="Z62" s="80">
        <f t="shared" si="4"/>
        <v>25401.999999999996</v>
      </c>
      <c r="AF62" s="76" t="s">
        <v>543</v>
      </c>
      <c r="AG62" s="76" t="s">
        <v>209</v>
      </c>
      <c r="AH62" s="78" t="s">
        <v>544</v>
      </c>
      <c r="AI62" s="78" t="s">
        <v>388</v>
      </c>
      <c r="AJ62" s="78"/>
      <c r="AK62" s="78"/>
      <c r="AL62" s="78">
        <v>3</v>
      </c>
      <c r="AM62" s="77" t="s">
        <v>401</v>
      </c>
      <c r="AN62" s="77" t="s">
        <v>390</v>
      </c>
      <c r="AO62" s="79"/>
      <c r="AP62" s="79"/>
      <c r="AQ62" s="79"/>
      <c r="AR62" s="79"/>
      <c r="AS62" s="79"/>
      <c r="AT62" s="79"/>
      <c r="AU62" s="79"/>
      <c r="AV62" s="79"/>
      <c r="AW62" s="79"/>
      <c r="AX62" s="79"/>
      <c r="AY62" s="79"/>
      <c r="AZ62" s="80">
        <f t="shared" si="5"/>
        <v>0</v>
      </c>
      <c r="BK62" s="65" t="s">
        <v>468</v>
      </c>
      <c r="BL62" s="65" t="s">
        <v>411</v>
      </c>
      <c r="BM62" s="65" t="s">
        <v>469</v>
      </c>
      <c r="BN62" s="65">
        <v>1</v>
      </c>
    </row>
    <row r="63" spans="2:66" x14ac:dyDescent="0.25">
      <c r="B63" s="76" t="s">
        <v>132</v>
      </c>
      <c r="C63" s="76" t="s">
        <v>132</v>
      </c>
      <c r="D63" s="77" t="s">
        <v>532</v>
      </c>
      <c r="E63" s="77" t="s">
        <v>388</v>
      </c>
      <c r="F63" s="77"/>
      <c r="G63" s="77" t="s">
        <v>463</v>
      </c>
      <c r="H63" s="77">
        <v>4</v>
      </c>
      <c r="I63" s="77" t="s">
        <v>401</v>
      </c>
      <c r="J63" s="77" t="s">
        <v>390</v>
      </c>
      <c r="K63" s="77" t="s">
        <v>463</v>
      </c>
      <c r="L63" s="78" t="str">
        <f t="shared" si="0"/>
        <v/>
      </c>
      <c r="M63" s="77" t="str" cm="1">
        <f t="array" ref="M63">IF(OR(UPPER(TRIM($C63))="BRAZIL",UPPER(TRIM($C63))="INDIA",UPPER(TRIM($C63))="PHILIPPINES"),
   "UNDP OP8 COB - RPA",
   IFERROR(
     VLOOKUP($C63,$BF:$BG,2,0),
     _xlfn.SWITCH(UPPER(TRIM($K63)),
       "N/A","N/A",
       "VACANT","UNDP OP8 COB - Vacant",
       "UNDP","UNDP OP8 COB - UNDP CO",
       "UN COMPOUND","UNDP OP8 COB - UN Compound",
       "UNDP - WFH","UNDP OP8 COB - UNDP WFH",
"UNICEF","UNDP OP8 COB - UNICEF",
       "NHI","n.End of June 2026",
       "PRIVATE LEASE","k.End of Mar 2026",
       ""
     )
   )
)</f>
        <v>UNDP OP8 COB - RPA</v>
      </c>
      <c r="N63" s="77" t="str">
        <f t="shared" si="1"/>
        <v>UNDP Action</v>
      </c>
      <c r="O63" s="79"/>
      <c r="P63" s="79"/>
      <c r="Q63" s="79"/>
      <c r="R63" s="79"/>
      <c r="S63" s="79"/>
      <c r="T63" s="79"/>
      <c r="U63" s="79"/>
      <c r="V63" s="79"/>
      <c r="W63" s="79"/>
      <c r="X63" s="79"/>
      <c r="Y63" s="79"/>
      <c r="Z63" s="80" t="s">
        <v>464</v>
      </c>
      <c r="AF63" s="76" t="s">
        <v>489</v>
      </c>
      <c r="AG63" s="76" t="s">
        <v>489</v>
      </c>
      <c r="AH63" s="78" t="s">
        <v>545</v>
      </c>
      <c r="AI63" s="78" t="s">
        <v>388</v>
      </c>
      <c r="AJ63" s="78"/>
      <c r="AK63" s="78"/>
      <c r="AL63" s="78">
        <v>1</v>
      </c>
      <c r="AM63" s="77" t="s">
        <v>389</v>
      </c>
      <c r="AN63" s="77" t="s">
        <v>390</v>
      </c>
      <c r="AO63" s="79"/>
      <c r="AP63" s="79"/>
      <c r="AQ63" s="79"/>
      <c r="AR63" s="79"/>
      <c r="AS63" s="79"/>
      <c r="AT63" s="79"/>
      <c r="AU63" s="79"/>
      <c r="AV63" s="79"/>
      <c r="AW63" s="79"/>
      <c r="AX63" s="79"/>
      <c r="AY63" s="79"/>
      <c r="AZ63" s="80">
        <f t="shared" si="5"/>
        <v>0</v>
      </c>
      <c r="BK63" s="65" t="s">
        <v>203</v>
      </c>
      <c r="BL63" s="65" t="s">
        <v>397</v>
      </c>
      <c r="BM63" s="65" t="s">
        <v>398</v>
      </c>
      <c r="BN63" s="65">
        <v>1</v>
      </c>
    </row>
    <row r="64" spans="2:66" x14ac:dyDescent="0.25">
      <c r="B64" s="76" t="s">
        <v>534</v>
      </c>
      <c r="C64" s="76" t="s">
        <v>534</v>
      </c>
      <c r="D64" s="77" t="s">
        <v>535</v>
      </c>
      <c r="E64" s="77" t="s">
        <v>388</v>
      </c>
      <c r="F64" s="77"/>
      <c r="G64" s="77" t="s">
        <v>463</v>
      </c>
      <c r="H64" s="77">
        <v>5</v>
      </c>
      <c r="I64" s="77" t="s">
        <v>421</v>
      </c>
      <c r="J64" s="77" t="s">
        <v>439</v>
      </c>
      <c r="K64" s="77" t="s">
        <v>422</v>
      </c>
      <c r="L64" s="78" t="str">
        <f t="shared" si="0"/>
        <v/>
      </c>
      <c r="M64" s="77" t="str" cm="1">
        <f t="array" ref="M64">IF(OR(UPPER(TRIM($C64))="BRAZIL",UPPER(TRIM($C64))="INDIA",UPPER(TRIM($C64))="PHILIPPINES"),
   "UNDP OP8 COB - RPA",
   IFERROR(
     VLOOKUP($C64,$BF:$BG,2,0),
     _xlfn.SWITCH(UPPER(TRIM($K64)),
       "N/A","N/A",
       "VACANT","UNDP OP8 COB - Vacant",
       "UNDP","UNDP OP8 COB - UNDP CO",
       "UN COMPOUND","UNDP OP8 COB - UN Compound",
       "UNDP - WFH","UNDP OP8 COB - UNDP WFH",
"UNICEF","UNDP OP8 COB - UNICEF",
       "NHI","n.End of June 2026",
       "PRIVATE LEASE","k.End of Mar 2026",
       ""
     )
   )
)</f>
        <v>N/A</v>
      </c>
      <c r="N64" s="77" t="str">
        <f t="shared" si="1"/>
        <v>N/A</v>
      </c>
      <c r="O64" s="79" t="str">
        <f>IFERROR(VLOOKUP($C64,'[15]2024 COBs'!$AA:$AK,5,0),"")</f>
        <v/>
      </c>
      <c r="P64" s="79" t="str">
        <f>IFERROR((VLOOKUP($C64,'[15]2024 COBs'!$AA:$AK,8,0)+VLOOKUP($C64,'[15]2024 COBs'!$AA:$AK,9,0)+VLOOKUP($C64,'[15]2024 COBs'!$AA:$AK,10,0)+VLOOKUP($C64,'[15]2024 COBs'!$AA:$AK,11,0))*5%,"")</f>
        <v/>
      </c>
      <c r="Q64" s="79" t="str">
        <f>IFERROR((VLOOKUP($C64,'[15]2024 COBs'!$AA:$AK,8,0)+VLOOKUP($C64,'[15]2024 COBs'!$AA:$AK,9,0)+VLOOKUP($C64,'[15]2024 COBs'!$AA:$AK,10,0)+VLOOKUP($C64,'[15]2024 COBs'!$AA:$AK,11,0))*16%,"")</f>
        <v/>
      </c>
      <c r="R64" s="79"/>
      <c r="S64" s="79" t="str">
        <f>IFERROR(VLOOKUP($C64,'[15]2024 COBs'!$AA:$AK,7,0),"")</f>
        <v/>
      </c>
      <c r="T64" s="79" t="str">
        <f>IFERROR((VLOOKUP($C64,'[15]2024 COBs'!$AA:$AK,8,0)+VLOOKUP($C64,'[15]2024 COBs'!$AA:$AK,9,0)+VLOOKUP($C64,'[15]2024 COBs'!$AA:$AK,10,0)+VLOOKUP($C64,'[15]2024 COBs'!$AA:$AK,11,0))*20%,"")</f>
        <v/>
      </c>
      <c r="U64" s="79" t="str">
        <f>IFERROR(VLOOKUP($C64,'[15]2024 COBs'!$AA:$AK,6,0),"")</f>
        <v/>
      </c>
      <c r="V64" s="79" t="str">
        <f>IFERROR((VLOOKUP($C64,'[15]2024 COBs'!$AA:$AK,8,0)+VLOOKUP($C64,'[15]2024 COBs'!$AA:$AK,9,0)+VLOOKUP($C64,'[15]2024 COBs'!$AA:$AK,10,0)+VLOOKUP($C64,'[15]2024 COBs'!$AA:$AK,11,0))*18%,"")</f>
        <v/>
      </c>
      <c r="W64" s="79" t="str">
        <f>IFERROR((VLOOKUP($C64,'[15]2024 COBs'!$AA:$AK,8,0)+VLOOKUP($C64,'[15]2024 COBs'!$AA:$AK,9,0)+VLOOKUP($C64,'[15]2024 COBs'!$AA:$AK,10,0)+VLOOKUP($C64,'[15]2024 COBs'!$AA:$AK,11,0))*27%,"")</f>
        <v/>
      </c>
      <c r="X64" s="79" t="str">
        <f>IFERROR((VLOOKUP($C64,'[15]2024 COBs'!$AA:$AK,8,0)+VLOOKUP($C64,'[15]2024 COBs'!$AA:$AK,9,0)+VLOOKUP($C64,'[15]2024 COBs'!$AA:$AK,10,0)+VLOOKUP($C64,'[15]2024 COBs'!$AA:$AK,11,0))*14%,"")</f>
        <v/>
      </c>
      <c r="Y64" s="79" t="str">
        <f>IFERROR(VLOOKUP($C64,'[15]2024 COBs'!$AA:$AK,4,0),"")</f>
        <v/>
      </c>
      <c r="Z64" s="80">
        <f t="shared" ref="Z64:Z105" si="6">SUM(O64:Y64)</f>
        <v>0</v>
      </c>
      <c r="AF64" s="76" t="s">
        <v>215</v>
      </c>
      <c r="AG64" s="76" t="s">
        <v>215</v>
      </c>
      <c r="AH64" s="78" t="s">
        <v>546</v>
      </c>
      <c r="AI64" s="78" t="s">
        <v>388</v>
      </c>
      <c r="AJ64" s="78"/>
      <c r="AK64" s="78"/>
      <c r="AL64" s="78">
        <v>3</v>
      </c>
      <c r="AM64" s="77" t="s">
        <v>401</v>
      </c>
      <c r="AN64" s="77" t="s">
        <v>395</v>
      </c>
      <c r="AO64" s="79"/>
      <c r="AP64" s="79"/>
      <c r="AQ64" s="79"/>
      <c r="AR64" s="79"/>
      <c r="AS64" s="79"/>
      <c r="AT64" s="79"/>
      <c r="AU64" s="79"/>
      <c r="AV64" s="79"/>
      <c r="AW64" s="79"/>
      <c r="AX64" s="79"/>
      <c r="AY64" s="79"/>
      <c r="AZ64" s="80">
        <f t="shared" si="5"/>
        <v>0</v>
      </c>
      <c r="BK64" s="65" t="s">
        <v>204</v>
      </c>
      <c r="BL64" s="65" t="s">
        <v>397</v>
      </c>
      <c r="BM64" s="65" t="s">
        <v>398</v>
      </c>
      <c r="BN64" s="65">
        <v>1</v>
      </c>
    </row>
    <row r="65" spans="2:66" x14ac:dyDescent="0.25">
      <c r="B65" s="76" t="s">
        <v>537</v>
      </c>
      <c r="C65" s="76" t="s">
        <v>537</v>
      </c>
      <c r="D65" s="77" t="s">
        <v>538</v>
      </c>
      <c r="E65" s="77" t="s">
        <v>388</v>
      </c>
      <c r="F65" s="77"/>
      <c r="G65" s="77"/>
      <c r="H65" s="77">
        <v>5</v>
      </c>
      <c r="I65" s="77" t="s">
        <v>421</v>
      </c>
      <c r="J65" s="77" t="s">
        <v>439</v>
      </c>
      <c r="K65" s="77" t="s">
        <v>422</v>
      </c>
      <c r="L65" s="78" t="str">
        <f t="shared" si="0"/>
        <v/>
      </c>
      <c r="M65" s="77" t="str" cm="1">
        <f t="array" ref="M65">IF(OR(UPPER(TRIM($C65))="BRAZIL",UPPER(TRIM($C65))="INDIA",UPPER(TRIM($C65))="PHILIPPINES"),
   "UNDP OP8 COB - RPA",
   IFERROR(
     VLOOKUP($C65,$BF:$BG,2,0),
     _xlfn.SWITCH(UPPER(TRIM($K65)),
       "N/A","N/A",
       "VACANT","UNDP OP8 COB - Vacant",
       "UNDP","UNDP OP8 COB - UNDP CO",
       "UN COMPOUND","UNDP OP8 COB - UN Compound",
       "UNDP - WFH","UNDP OP8 COB - UNDP WFH",
"UNICEF","UNDP OP8 COB - UNICEF",
       "NHI","n.End of June 2026",
       "PRIVATE LEASE","k.End of Mar 2026",
       ""
     )
   )
)</f>
        <v>N/A</v>
      </c>
      <c r="N65" s="77" t="str">
        <f t="shared" si="1"/>
        <v>N/A</v>
      </c>
      <c r="O65" s="79">
        <f>IFERROR(VLOOKUP($C65,'[15]2024 COBs'!$AA:$AK,5,0),"")</f>
        <v>8700</v>
      </c>
      <c r="P65" s="79">
        <f>IFERROR((VLOOKUP($C65,'[15]2024 COBs'!$AA:$AK,8,0)+VLOOKUP($C65,'[15]2024 COBs'!$AA:$AK,9,0)+VLOOKUP($C65,'[15]2024 COBs'!$AA:$AK,10,0)+VLOOKUP($C65,'[15]2024 COBs'!$AA:$AK,11,0))*5%,"")</f>
        <v>270</v>
      </c>
      <c r="Q65" s="79">
        <f>IFERROR((VLOOKUP($C65,'[15]2024 COBs'!$AA:$AK,8,0)+VLOOKUP($C65,'[15]2024 COBs'!$AA:$AK,9,0)+VLOOKUP($C65,'[15]2024 COBs'!$AA:$AK,10,0)+VLOOKUP($C65,'[15]2024 COBs'!$AA:$AK,11,0))*16%,"")</f>
        <v>864</v>
      </c>
      <c r="R65" s="79"/>
      <c r="S65" s="79">
        <f>IFERROR(VLOOKUP($C65,'[15]2024 COBs'!$AA:$AK,7,0),"")</f>
        <v>600</v>
      </c>
      <c r="T65" s="79">
        <f>IFERROR((VLOOKUP($C65,'[15]2024 COBs'!$AA:$AK,8,0)+VLOOKUP($C65,'[15]2024 COBs'!$AA:$AK,9,0)+VLOOKUP($C65,'[15]2024 COBs'!$AA:$AK,10,0)+VLOOKUP($C65,'[15]2024 COBs'!$AA:$AK,11,0))*20%,"")</f>
        <v>1080</v>
      </c>
      <c r="U65" s="79">
        <f>IFERROR(VLOOKUP($C65,'[15]2024 COBs'!$AA:$AK,6,0),"")</f>
        <v>11100</v>
      </c>
      <c r="V65" s="79">
        <f>IFERROR((VLOOKUP($C65,'[15]2024 COBs'!$AA:$AK,8,0)+VLOOKUP($C65,'[15]2024 COBs'!$AA:$AK,9,0)+VLOOKUP($C65,'[15]2024 COBs'!$AA:$AK,10,0)+VLOOKUP($C65,'[15]2024 COBs'!$AA:$AK,11,0))*18%,"")</f>
        <v>972</v>
      </c>
      <c r="W65" s="79">
        <f>IFERROR((VLOOKUP($C65,'[15]2024 COBs'!$AA:$AK,8,0)+VLOOKUP($C65,'[15]2024 COBs'!$AA:$AK,9,0)+VLOOKUP($C65,'[15]2024 COBs'!$AA:$AK,10,0)+VLOOKUP($C65,'[15]2024 COBs'!$AA:$AK,11,0))*27%,"")</f>
        <v>1458</v>
      </c>
      <c r="X65" s="79">
        <f>IFERROR((VLOOKUP($C65,'[15]2024 COBs'!$AA:$AK,8,0)+VLOOKUP($C65,'[15]2024 COBs'!$AA:$AK,9,0)+VLOOKUP($C65,'[15]2024 COBs'!$AA:$AK,10,0)+VLOOKUP($C65,'[15]2024 COBs'!$AA:$AK,11,0))*14%,"")</f>
        <v>756.00000000000011</v>
      </c>
      <c r="Y65" s="79">
        <f>IFERROR(VLOOKUP($C65,'[15]2024 COBs'!$AA:$AK,4,0),"")</f>
        <v>3600</v>
      </c>
      <c r="Z65" s="80">
        <f t="shared" si="6"/>
        <v>29400</v>
      </c>
      <c r="AF65" s="76" t="s">
        <v>547</v>
      </c>
      <c r="AG65" s="76" t="s">
        <v>547</v>
      </c>
      <c r="AH65" s="78" t="s">
        <v>548</v>
      </c>
      <c r="AI65" s="78" t="s">
        <v>388</v>
      </c>
      <c r="AJ65" s="78" t="s">
        <v>409</v>
      </c>
      <c r="AK65" s="78"/>
      <c r="AL65" s="78">
        <v>5</v>
      </c>
      <c r="AM65" s="77" t="s">
        <v>421</v>
      </c>
      <c r="AN65" s="77" t="s">
        <v>439</v>
      </c>
      <c r="AO65" s="79"/>
      <c r="AP65" s="79"/>
      <c r="AQ65" s="79"/>
      <c r="AR65" s="79"/>
      <c r="AS65" s="79"/>
      <c r="AT65" s="79"/>
      <c r="AU65" s="79"/>
      <c r="AV65" s="79"/>
      <c r="AW65" s="79"/>
      <c r="AX65" s="79"/>
      <c r="AY65" s="79"/>
      <c r="AZ65" s="80">
        <f t="shared" si="5"/>
        <v>0</v>
      </c>
      <c r="BK65" s="65" t="s">
        <v>537</v>
      </c>
      <c r="BL65" s="65" t="s">
        <v>397</v>
      </c>
      <c r="BM65" s="65" t="s">
        <v>549</v>
      </c>
      <c r="BN65" s="65">
        <v>1</v>
      </c>
    </row>
    <row r="66" spans="2:66" x14ac:dyDescent="0.25">
      <c r="B66" s="76" t="s">
        <v>550</v>
      </c>
      <c r="C66" s="76" t="s">
        <v>550</v>
      </c>
      <c r="D66" s="77" t="s">
        <v>551</v>
      </c>
      <c r="E66" s="77" t="s">
        <v>404</v>
      </c>
      <c r="F66" s="77"/>
      <c r="G66" s="77"/>
      <c r="H66" s="77">
        <v>5</v>
      </c>
      <c r="I66" s="77" t="s">
        <v>421</v>
      </c>
      <c r="J66" s="77" t="s">
        <v>439</v>
      </c>
      <c r="K66" s="77" t="s">
        <v>422</v>
      </c>
      <c r="L66" s="78" t="str">
        <f t="shared" si="0"/>
        <v/>
      </c>
      <c r="M66" s="77" t="str" cm="1">
        <f t="array" ref="M66">IF(OR(UPPER(TRIM($C66))="BRAZIL",UPPER(TRIM($C66))="INDIA",UPPER(TRIM($C66))="PHILIPPINES"),
   "UNDP OP8 COB - RPA",
   IFERROR(
     VLOOKUP($C66,$BF:$BG,2,0),
     _xlfn.SWITCH(UPPER(TRIM($K66)),
       "N/A","N/A",
       "VACANT","UNDP OP8 COB - Vacant",
       "UNDP","UNDP OP8 COB - UNDP CO",
       "UN COMPOUND","UNDP OP8 COB - UN Compound",
       "UNDP - WFH","UNDP OP8 COB - UNDP WFH",
"UNICEF","UNDP OP8 COB - UNICEF",
       "NHI","n.End of June 2026",
       "PRIVATE LEASE","k.End of Mar 2026",
       ""
     )
   )
)</f>
        <v>N/A</v>
      </c>
      <c r="N66" s="77" t="str">
        <f t="shared" si="1"/>
        <v>N/A</v>
      </c>
      <c r="O66" s="79" t="str">
        <f>IFERROR(VLOOKUP($C66,'[15]2024 COBs'!$AA:$AK,5,0),"")</f>
        <v/>
      </c>
      <c r="P66" s="79" t="str">
        <f>IFERROR((VLOOKUP($C66,'[15]2024 COBs'!$AA:$AK,8,0)+VLOOKUP($C66,'[15]2024 COBs'!$AA:$AK,9,0)+VLOOKUP($C66,'[15]2024 COBs'!$AA:$AK,10,0)+VLOOKUP($C66,'[15]2024 COBs'!$AA:$AK,11,0))*5%,"")</f>
        <v/>
      </c>
      <c r="Q66" s="79" t="str">
        <f>IFERROR((VLOOKUP($C66,'[15]2024 COBs'!$AA:$AK,8,0)+VLOOKUP($C66,'[15]2024 COBs'!$AA:$AK,9,0)+VLOOKUP($C66,'[15]2024 COBs'!$AA:$AK,10,0)+VLOOKUP($C66,'[15]2024 COBs'!$AA:$AK,11,0))*16%,"")</f>
        <v/>
      </c>
      <c r="R66" s="79"/>
      <c r="S66" s="79" t="str">
        <f>IFERROR(VLOOKUP($C66,'[15]2024 COBs'!$AA:$AK,7,0),"")</f>
        <v/>
      </c>
      <c r="T66" s="79" t="str">
        <f>IFERROR((VLOOKUP($C66,'[15]2024 COBs'!$AA:$AK,8,0)+VLOOKUP($C66,'[15]2024 COBs'!$AA:$AK,9,0)+VLOOKUP($C66,'[15]2024 COBs'!$AA:$AK,10,0)+VLOOKUP($C66,'[15]2024 COBs'!$AA:$AK,11,0))*20%,"")</f>
        <v/>
      </c>
      <c r="U66" s="79" t="str">
        <f>IFERROR(VLOOKUP($C66,'[15]2024 COBs'!$AA:$AK,6,0),"")</f>
        <v/>
      </c>
      <c r="V66" s="79" t="str">
        <f>IFERROR((VLOOKUP($C66,'[15]2024 COBs'!$AA:$AK,8,0)+VLOOKUP($C66,'[15]2024 COBs'!$AA:$AK,9,0)+VLOOKUP($C66,'[15]2024 COBs'!$AA:$AK,10,0)+VLOOKUP($C66,'[15]2024 COBs'!$AA:$AK,11,0))*18%,"")</f>
        <v/>
      </c>
      <c r="W66" s="79" t="str">
        <f>IFERROR((VLOOKUP($C66,'[15]2024 COBs'!$AA:$AK,8,0)+VLOOKUP($C66,'[15]2024 COBs'!$AA:$AK,9,0)+VLOOKUP($C66,'[15]2024 COBs'!$AA:$AK,10,0)+VLOOKUP($C66,'[15]2024 COBs'!$AA:$AK,11,0))*27%,"")</f>
        <v/>
      </c>
      <c r="X66" s="79" t="str">
        <f>IFERROR((VLOOKUP($C66,'[15]2024 COBs'!$AA:$AK,8,0)+VLOOKUP($C66,'[15]2024 COBs'!$AA:$AK,9,0)+VLOOKUP($C66,'[15]2024 COBs'!$AA:$AK,10,0)+VLOOKUP($C66,'[15]2024 COBs'!$AA:$AK,11,0))*14%,"")</f>
        <v/>
      </c>
      <c r="Y66" s="79" t="str">
        <f>IFERROR(VLOOKUP($C66,'[15]2024 COBs'!$AA:$AK,4,0),"")</f>
        <v/>
      </c>
      <c r="Z66" s="80">
        <f t="shared" si="6"/>
        <v>0</v>
      </c>
      <c r="AF66" s="82" t="s">
        <v>220</v>
      </c>
      <c r="AG66" s="82" t="s">
        <v>220</v>
      </c>
      <c r="AH66" s="83" t="s">
        <v>552</v>
      </c>
      <c r="AI66" s="83" t="s">
        <v>388</v>
      </c>
      <c r="AJ66" s="83"/>
      <c r="AK66" s="83"/>
      <c r="AL66" s="83">
        <v>3</v>
      </c>
      <c r="AM66" s="84" t="s">
        <v>401</v>
      </c>
      <c r="AN66" s="84" t="s">
        <v>390</v>
      </c>
      <c r="AO66" s="85"/>
      <c r="AP66" s="85"/>
      <c r="AQ66" s="85"/>
      <c r="AR66" s="85"/>
      <c r="AS66" s="85"/>
      <c r="AT66" s="85"/>
      <c r="AU66" s="85"/>
      <c r="AV66" s="85"/>
      <c r="AW66" s="85"/>
      <c r="AX66" s="85"/>
      <c r="AY66" s="85">
        <v>1500</v>
      </c>
      <c r="AZ66" s="86">
        <f t="shared" si="5"/>
        <v>1500</v>
      </c>
      <c r="BK66" s="65" t="s">
        <v>205</v>
      </c>
      <c r="BL66" s="65" t="s">
        <v>397</v>
      </c>
      <c r="BM66" s="65" t="s">
        <v>398</v>
      </c>
      <c r="BN66" s="65">
        <v>1</v>
      </c>
    </row>
    <row r="67" spans="2:66" x14ac:dyDescent="0.25">
      <c r="B67" s="76" t="s">
        <v>205</v>
      </c>
      <c r="C67" s="76" t="s">
        <v>205</v>
      </c>
      <c r="D67" s="77" t="s">
        <v>553</v>
      </c>
      <c r="E67" s="77" t="s">
        <v>408</v>
      </c>
      <c r="F67" s="77" t="s">
        <v>432</v>
      </c>
      <c r="G67" s="77"/>
      <c r="H67" s="77">
        <v>2</v>
      </c>
      <c r="I67" s="77" t="s">
        <v>435</v>
      </c>
      <c r="J67" s="77" t="s">
        <v>390</v>
      </c>
      <c r="K67" s="77" t="s">
        <v>17</v>
      </c>
      <c r="L67" s="78" t="str">
        <f t="shared" si="0"/>
        <v>Yes</v>
      </c>
      <c r="M67" s="77" t="str" cm="1">
        <f t="array" ref="M67">IF(OR(UPPER(TRIM($C67))="BRAZIL",UPPER(TRIM($C67))="INDIA",UPPER(TRIM($C67))="PHILIPPINES"),
   "UNDP OP8 COB - RPA",
   IFERROR(
     VLOOKUP($C67,$BF:$BG,2,0),
     _xlfn.SWITCH(UPPER(TRIM($K67)),
       "N/A","N/A",
       "VACANT","UNDP OP8 COB - Vacant",
       "UNDP","UNDP OP8 COB - UNDP CO",
       "UN COMPOUND","UNDP OP8 COB - UN Compound",
       "UNDP - WFH","UNDP OP8 COB - UNDP WFH",
"UNICEF","UNDP OP8 COB - UNICEF",
       "NHI","n.End of June 2026",
       "PRIVATE LEASE","k.End of Mar 2026",
       ""
     )
   )
)</f>
        <v>n.End of June 2026</v>
      </c>
      <c r="N67" s="77" t="str">
        <f t="shared" si="1"/>
        <v>UNOPS Action</v>
      </c>
      <c r="O67" s="79">
        <f>IFERROR(VLOOKUP($C67,'[15]2024 COBs'!$AA:$AK,5,0),"")</f>
        <v>3450</v>
      </c>
      <c r="P67" s="79">
        <f>IFERROR((VLOOKUP($C67,'[15]2024 COBs'!$AA:$AK,8,0)+VLOOKUP($C67,'[15]2024 COBs'!$AA:$AK,9,0)+VLOOKUP($C67,'[15]2024 COBs'!$AA:$AK,10,0)+VLOOKUP($C67,'[15]2024 COBs'!$AA:$AK,11,0))*5%,"")</f>
        <v>248.58750000000001</v>
      </c>
      <c r="Q67" s="79">
        <f>IFERROR((VLOOKUP($C67,'[15]2024 COBs'!$AA:$AK,8,0)+VLOOKUP($C67,'[15]2024 COBs'!$AA:$AK,9,0)+VLOOKUP($C67,'[15]2024 COBs'!$AA:$AK,10,0)+VLOOKUP($C67,'[15]2024 COBs'!$AA:$AK,11,0))*16%,"")</f>
        <v>795.48</v>
      </c>
      <c r="R67" s="79"/>
      <c r="S67" s="79">
        <f>IFERROR(VLOOKUP($C67,'[15]2024 COBs'!$AA:$AK,7,0),"")</f>
        <v>0</v>
      </c>
      <c r="T67" s="79">
        <f>IFERROR((VLOOKUP($C67,'[15]2024 COBs'!$AA:$AK,8,0)+VLOOKUP($C67,'[15]2024 COBs'!$AA:$AK,9,0)+VLOOKUP($C67,'[15]2024 COBs'!$AA:$AK,10,0)+VLOOKUP($C67,'[15]2024 COBs'!$AA:$AK,11,0))*20%,"")</f>
        <v>994.35</v>
      </c>
      <c r="U67" s="79">
        <f>IFERROR(VLOOKUP($C67,'[15]2024 COBs'!$AA:$AK,6,0),"")</f>
        <v>4875</v>
      </c>
      <c r="V67" s="79">
        <f>IFERROR((VLOOKUP($C67,'[15]2024 COBs'!$AA:$AK,8,0)+VLOOKUP($C67,'[15]2024 COBs'!$AA:$AK,9,0)+VLOOKUP($C67,'[15]2024 COBs'!$AA:$AK,10,0)+VLOOKUP($C67,'[15]2024 COBs'!$AA:$AK,11,0))*18%,"")</f>
        <v>894.91499999999996</v>
      </c>
      <c r="W67" s="79">
        <f>IFERROR((VLOOKUP($C67,'[15]2024 COBs'!$AA:$AK,8,0)+VLOOKUP($C67,'[15]2024 COBs'!$AA:$AK,9,0)+VLOOKUP($C67,'[15]2024 COBs'!$AA:$AK,10,0)+VLOOKUP($C67,'[15]2024 COBs'!$AA:$AK,11,0))*27%,"")</f>
        <v>1342.3725000000002</v>
      </c>
      <c r="X67" s="79">
        <f>IFERROR((VLOOKUP($C67,'[15]2024 COBs'!$AA:$AK,8,0)+VLOOKUP($C67,'[15]2024 COBs'!$AA:$AK,9,0)+VLOOKUP($C67,'[15]2024 COBs'!$AA:$AK,10,0)+VLOOKUP($C67,'[15]2024 COBs'!$AA:$AK,11,0))*14%,"")</f>
        <v>696.04500000000007</v>
      </c>
      <c r="Y67" s="79">
        <f>IFERROR(VLOOKUP($C67,'[15]2024 COBs'!$AA:$AK,4,0),"")</f>
        <v>375</v>
      </c>
      <c r="Z67" s="80">
        <f t="shared" si="6"/>
        <v>13671.75</v>
      </c>
      <c r="AF67" s="82" t="s">
        <v>224</v>
      </c>
      <c r="AG67" s="82" t="s">
        <v>224</v>
      </c>
      <c r="AH67" s="83" t="s">
        <v>554</v>
      </c>
      <c r="AI67" s="83" t="s">
        <v>388</v>
      </c>
      <c r="AJ67" s="83" t="s">
        <v>409</v>
      </c>
      <c r="AK67" s="83" t="s">
        <v>463</v>
      </c>
      <c r="AL67" s="83">
        <v>4</v>
      </c>
      <c r="AM67" s="84" t="s">
        <v>401</v>
      </c>
      <c r="AN67" s="84" t="s">
        <v>390</v>
      </c>
      <c r="AO67" s="85"/>
      <c r="AP67" s="85"/>
      <c r="AQ67" s="85"/>
      <c r="AR67" s="85">
        <v>4000</v>
      </c>
      <c r="AS67" s="85"/>
      <c r="AT67" s="85"/>
      <c r="AU67" s="85"/>
      <c r="AV67" s="85"/>
      <c r="AW67" s="85"/>
      <c r="AX67" s="85"/>
      <c r="AY67" s="85"/>
      <c r="AZ67" s="86">
        <f t="shared" si="5"/>
        <v>4000</v>
      </c>
      <c r="BK67" s="65" t="s">
        <v>205</v>
      </c>
      <c r="BL67" s="65" t="s">
        <v>411</v>
      </c>
      <c r="BM67" s="65" t="s">
        <v>396</v>
      </c>
      <c r="BN67" s="65">
        <v>1</v>
      </c>
    </row>
    <row r="68" spans="2:66" x14ac:dyDescent="0.25">
      <c r="B68" s="76" t="s">
        <v>206</v>
      </c>
      <c r="C68" s="81" t="s">
        <v>206</v>
      </c>
      <c r="D68" s="77" t="s">
        <v>555</v>
      </c>
      <c r="E68" s="77" t="s">
        <v>404</v>
      </c>
      <c r="F68" s="77"/>
      <c r="G68" s="77" t="s">
        <v>463</v>
      </c>
      <c r="H68" s="77">
        <v>2</v>
      </c>
      <c r="I68" s="77" t="s">
        <v>401</v>
      </c>
      <c r="J68" s="77" t="s">
        <v>390</v>
      </c>
      <c r="K68" s="77" t="s">
        <v>463</v>
      </c>
      <c r="L68" s="78" t="str">
        <f t="shared" ref="L68:L131" si="7">IF(COUNTIF($BF:$BF,TRIM($C68))&gt;0,"Yes","")</f>
        <v/>
      </c>
      <c r="M68" s="77" t="str" cm="1">
        <f t="array" ref="M68">IF(OR(UPPER(TRIM($C68))="BRAZIL",UPPER(TRIM($C68))="INDIA",UPPER(TRIM($C68))="PHILIPPINES"),
   "UNDP OP8 COB - RPA",
   IFERROR(
     VLOOKUP($C68,$BF:$BG,2,0),
     _xlfn.SWITCH(UPPER(TRIM($K68)),
       "N/A","N/A",
       "VACANT","UNDP OP8 COB - Vacant",
       "UNDP","UNDP OP8 COB - UNDP CO",
       "UN COMPOUND","UNDP OP8 COB - UN Compound",
       "UNDP - WFH","UNDP OP8 COB - UNDP WFH",
"UNICEF","UNDP OP8 COB - UNICEF",
       "NHI","n.End of June 2026",
       "PRIVATE LEASE","k.End of Mar 2026",
       ""
     )
   )
)</f>
        <v>n.End of June 2026</v>
      </c>
      <c r="N68" s="77" t="str">
        <f t="shared" ref="N68:N131" si="8">IF(M68="N/A","N/A",IF(ISNUMBER(SEARCH("UNDP OP8 COB", M68)), "UNDP Action","UNOPS Action"))</f>
        <v>UNOPS Action</v>
      </c>
      <c r="O68" s="79">
        <v>2000</v>
      </c>
      <c r="P68" s="79">
        <f>IFERROR((VLOOKUP($C68,'[15]2024 COBs'!$AA:$AK,8,0)+VLOOKUP($C68,'[15]2024 COBs'!$AA:$AK,9,0)+VLOOKUP($C68,'[15]2024 COBs'!$AA:$AK,10,0)+VLOOKUP($C68,'[15]2024 COBs'!$AA:$AK,11,0))*5%,"")</f>
        <v>225</v>
      </c>
      <c r="Q68" s="79">
        <f>IFERROR((VLOOKUP($C68,'[15]2024 COBs'!$AA:$AK,8,0)+VLOOKUP($C68,'[15]2024 COBs'!$AA:$AK,9,0)+VLOOKUP($C68,'[15]2024 COBs'!$AA:$AK,10,0)+VLOOKUP($C68,'[15]2024 COBs'!$AA:$AK,11,0))*16%,"")</f>
        <v>720</v>
      </c>
      <c r="R68" s="79"/>
      <c r="S68" s="79">
        <f>IFERROR(VLOOKUP($C68,'[15]2024 COBs'!$AA:$AK,7,0),"")</f>
        <v>0</v>
      </c>
      <c r="T68" s="79">
        <v>1900</v>
      </c>
      <c r="U68" s="79">
        <v>15422</v>
      </c>
      <c r="V68" s="79">
        <f>IFERROR((VLOOKUP($C68,'[15]2024 COBs'!$AA:$AK,8,0)+VLOOKUP($C68,'[15]2024 COBs'!$AA:$AK,9,0)+VLOOKUP($C68,'[15]2024 COBs'!$AA:$AK,10,0)+VLOOKUP($C68,'[15]2024 COBs'!$AA:$AK,11,0))*18%,"")</f>
        <v>810</v>
      </c>
      <c r="W68" s="79">
        <v>215</v>
      </c>
      <c r="X68" s="79">
        <f>IFERROR((VLOOKUP($C68,'[15]2024 COBs'!$AA:$AK,8,0)+VLOOKUP($C68,'[15]2024 COBs'!$AA:$AK,9,0)+VLOOKUP($C68,'[15]2024 COBs'!$AA:$AK,10,0)+VLOOKUP($C68,'[15]2024 COBs'!$AA:$AK,11,0))*14%,"")</f>
        <v>630.00000000000011</v>
      </c>
      <c r="Y68" s="79">
        <v>580</v>
      </c>
      <c r="Z68" s="80">
        <f t="shared" si="6"/>
        <v>22502</v>
      </c>
      <c r="AF68" s="76" t="s">
        <v>225</v>
      </c>
      <c r="AG68" s="76" t="s">
        <v>225</v>
      </c>
      <c r="AH68" s="78" t="s">
        <v>556</v>
      </c>
      <c r="AI68" s="78" t="s">
        <v>388</v>
      </c>
      <c r="AJ68" s="78"/>
      <c r="AK68" s="78"/>
      <c r="AL68" s="78">
        <v>3</v>
      </c>
      <c r="AM68" s="77" t="s">
        <v>401</v>
      </c>
      <c r="AN68" s="77" t="s">
        <v>390</v>
      </c>
      <c r="AO68" s="79"/>
      <c r="AP68" s="79"/>
      <c r="AQ68" s="79"/>
      <c r="AR68" s="79"/>
      <c r="AS68" s="79"/>
      <c r="AT68" s="79"/>
      <c r="AU68" s="79"/>
      <c r="AV68" s="79"/>
      <c r="AW68" s="79"/>
      <c r="AX68" s="79"/>
      <c r="AY68" s="79"/>
      <c r="AZ68" s="80">
        <f t="shared" si="5"/>
        <v>0</v>
      </c>
      <c r="BK68" s="65" t="s">
        <v>206</v>
      </c>
      <c r="BL68" s="65" t="s">
        <v>397</v>
      </c>
      <c r="BM68" s="65" t="s">
        <v>398</v>
      </c>
      <c r="BN68" s="65">
        <v>2</v>
      </c>
    </row>
    <row r="69" spans="2:66" x14ac:dyDescent="0.25">
      <c r="B69" s="76" t="s">
        <v>476</v>
      </c>
      <c r="C69" s="76" t="s">
        <v>476</v>
      </c>
      <c r="D69" s="77" t="s">
        <v>557</v>
      </c>
      <c r="E69" s="77" t="s">
        <v>400</v>
      </c>
      <c r="F69" s="77"/>
      <c r="G69" s="77"/>
      <c r="H69" s="77">
        <v>3</v>
      </c>
      <c r="I69" s="77" t="s">
        <v>389</v>
      </c>
      <c r="J69" s="77" t="s">
        <v>390</v>
      </c>
      <c r="K69" s="77" t="s">
        <v>17</v>
      </c>
      <c r="L69" s="78" t="str">
        <f t="shared" si="7"/>
        <v>Yes</v>
      </c>
      <c r="M69" s="77" t="str" cm="1">
        <f t="array" ref="M69">IF(OR(UPPER(TRIM($C69))="BRAZIL",UPPER(TRIM($C69))="INDIA",UPPER(TRIM($C69))="PHILIPPINES"),
   "UNDP OP8 COB - RPA",
   IFERROR(
     VLOOKUP($C69,$BF:$BG,2,0),
     _xlfn.SWITCH(UPPER(TRIM($K69)),
       "N/A","N/A",
       "VACANT","UNDP OP8 COB - Vacant",
       "UNDP","UNDP OP8 COB - UNDP CO",
       "UN COMPOUND","UNDP OP8 COB - UN Compound",
       "UNDP - WFH","UNDP OP8 COB - UNDP WFH",
"UNICEF","UNDP OP8 COB - UNICEF",
       "NHI","n.End of June 2026",
       "PRIVATE LEASE","k.End of Mar 2026",
       ""
     )
   )
)</f>
        <v>o.End of July 2026</v>
      </c>
      <c r="N69" s="77" t="str">
        <f t="shared" si="8"/>
        <v>UNOPS Action</v>
      </c>
      <c r="O69" s="79">
        <f>IFERROR(VLOOKUP($C69,'[15]2024 COBs'!$AA:$AK,5,0),"")</f>
        <v>8604.9880036294471</v>
      </c>
      <c r="P69" s="79">
        <f>IFERROR((VLOOKUP($C69,'[15]2024 COBs'!$AA:$AK,8,0)+VLOOKUP($C69,'[15]2024 COBs'!$AA:$AK,9,0)+VLOOKUP($C69,'[15]2024 COBs'!$AA:$AK,10,0)+VLOOKUP($C69,'[15]2024 COBs'!$AA:$AK,11,0))*5%,"")</f>
        <v>275.52134280621465</v>
      </c>
      <c r="Q69" s="79">
        <f>IFERROR((VLOOKUP($C69,'[15]2024 COBs'!$AA:$AK,8,0)+VLOOKUP($C69,'[15]2024 COBs'!$AA:$AK,9,0)+VLOOKUP($C69,'[15]2024 COBs'!$AA:$AK,10,0)+VLOOKUP($C69,'[15]2024 COBs'!$AA:$AK,11,0))*16%,"")</f>
        <v>881.6682969798868</v>
      </c>
      <c r="R69" s="79"/>
      <c r="S69" s="79">
        <f>IFERROR(VLOOKUP($C69,'[15]2024 COBs'!$AA:$AK,7,0),"")</f>
        <v>455.77703546194442</v>
      </c>
      <c r="T69" s="79">
        <f>IFERROR((VLOOKUP($C69,'[15]2024 COBs'!$AA:$AK,8,0)+VLOOKUP($C69,'[15]2024 COBs'!$AA:$AK,9,0)+VLOOKUP($C69,'[15]2024 COBs'!$AA:$AK,10,0)+VLOOKUP($C69,'[15]2024 COBs'!$AA:$AK,11,0))*20%,"")</f>
        <v>1102.0853712248586</v>
      </c>
      <c r="U69" s="79">
        <f>IFERROR(VLOOKUP($C69,'[15]2024 COBs'!$AA:$AK,6,0),"")</f>
        <v>11234.887044752235</v>
      </c>
      <c r="V69" s="79">
        <f>IFERROR((VLOOKUP($C69,'[15]2024 COBs'!$AA:$AK,8,0)+VLOOKUP($C69,'[15]2024 COBs'!$AA:$AK,9,0)+VLOOKUP($C69,'[15]2024 COBs'!$AA:$AK,10,0)+VLOOKUP($C69,'[15]2024 COBs'!$AA:$AK,11,0))*18%,"")</f>
        <v>991.87683410237264</v>
      </c>
      <c r="W69" s="79">
        <f>IFERROR((VLOOKUP($C69,'[15]2024 COBs'!$AA:$AK,8,0)+VLOOKUP($C69,'[15]2024 COBs'!$AA:$AK,9,0)+VLOOKUP($C69,'[15]2024 COBs'!$AA:$AK,10,0)+VLOOKUP($C69,'[15]2024 COBs'!$AA:$AK,11,0))*27%,"")</f>
        <v>1487.8152511535591</v>
      </c>
      <c r="X69" s="79">
        <f>IFERROR((VLOOKUP($C69,'[15]2024 COBs'!$AA:$AK,8,0)+VLOOKUP($C69,'[15]2024 COBs'!$AA:$AK,9,0)+VLOOKUP($C69,'[15]2024 COBs'!$AA:$AK,10,0)+VLOOKUP($C69,'[15]2024 COBs'!$AA:$AK,11,0))*14%,"")</f>
        <v>771.45975985740097</v>
      </c>
      <c r="Y69" s="79">
        <f>IFERROR(VLOOKUP($C69,'[15]2024 COBs'!$AA:$AK,4,0),"")</f>
        <v>3665.7119680711562</v>
      </c>
      <c r="Z69" s="80">
        <f t="shared" si="6"/>
        <v>29471.790908039075</v>
      </c>
      <c r="AF69" s="76" t="s">
        <v>558</v>
      </c>
      <c r="AG69" s="76" t="s">
        <v>558</v>
      </c>
      <c r="AH69" s="78" t="s">
        <v>559</v>
      </c>
      <c r="AI69" s="78" t="s">
        <v>388</v>
      </c>
      <c r="AJ69" s="78" t="s">
        <v>409</v>
      </c>
      <c r="AK69" s="78"/>
      <c r="AL69" s="78">
        <v>3</v>
      </c>
      <c r="AM69" s="77" t="s">
        <v>389</v>
      </c>
      <c r="AN69" s="77" t="s">
        <v>395</v>
      </c>
      <c r="AO69" s="79"/>
      <c r="AP69" s="79"/>
      <c r="AQ69" s="79"/>
      <c r="AR69" s="79"/>
      <c r="AS69" s="79"/>
      <c r="AT69" s="79"/>
      <c r="AU69" s="79"/>
      <c r="AV69" s="79"/>
      <c r="AW69" s="79"/>
      <c r="AX69" s="79"/>
      <c r="AY69" s="79"/>
      <c r="AZ69" s="80">
        <f t="shared" si="5"/>
        <v>0</v>
      </c>
      <c r="BK69" s="65" t="s">
        <v>476</v>
      </c>
      <c r="BL69" s="65" t="s">
        <v>411</v>
      </c>
      <c r="BM69" s="65" t="s">
        <v>477</v>
      </c>
      <c r="BN69" s="65">
        <v>2</v>
      </c>
    </row>
    <row r="70" spans="2:66" x14ac:dyDescent="0.25">
      <c r="B70" s="76" t="s">
        <v>474</v>
      </c>
      <c r="C70" s="76" t="s">
        <v>474</v>
      </c>
      <c r="D70" s="77" t="s">
        <v>475</v>
      </c>
      <c r="E70" s="77" t="s">
        <v>394</v>
      </c>
      <c r="F70" s="77"/>
      <c r="G70" s="77"/>
      <c r="H70" s="77">
        <v>5</v>
      </c>
      <c r="I70" s="77" t="s">
        <v>421</v>
      </c>
      <c r="J70" s="77" t="s">
        <v>439</v>
      </c>
      <c r="K70" s="77" t="s">
        <v>17</v>
      </c>
      <c r="L70" s="78" t="str">
        <f t="shared" si="7"/>
        <v>Yes</v>
      </c>
      <c r="M70" s="77" t="str" cm="1">
        <f t="array" ref="M70">IF(OR(UPPER(TRIM($C70))="BRAZIL",UPPER(TRIM($C70))="INDIA",UPPER(TRIM($C70))="PHILIPPINES"),
   "UNDP OP8 COB - RPA",
   IFERROR(
     VLOOKUP($C70,$BF:$BG,2,0),
     _xlfn.SWITCH(UPPER(TRIM($K70)),
       "N/A","N/A",
       "VACANT","UNDP OP8 COB - Vacant",
       "UNDP","UNDP OP8 COB - UNDP CO",
       "UN COMPOUND","UNDP OP8 COB - UN Compound",
       "UNDP - WFH","UNDP OP8 COB - UNDP WFH",
"UNICEF","UNDP OP8 COB - UNICEF",
       "NHI","n.End of June 2026",
       "PRIVATE LEASE","k.End of Mar 2026",
       ""
     )
   )
)</f>
        <v>t.End of Dec 2026</v>
      </c>
      <c r="N70" s="77" t="str">
        <f t="shared" si="8"/>
        <v>UNOPS Action</v>
      </c>
      <c r="O70" s="79" t="str">
        <f>IFERROR(VLOOKUP($C70,'[15]2024 COBs'!$AA:$AK,5,0),"")</f>
        <v/>
      </c>
      <c r="P70" s="79" t="str">
        <f>IFERROR((VLOOKUP($C70,'[15]2024 COBs'!$AA:$AK,8,0)+VLOOKUP($C70,'[15]2024 COBs'!$AA:$AK,9,0)+VLOOKUP($C70,'[15]2024 COBs'!$AA:$AK,10,0)+VLOOKUP($C70,'[15]2024 COBs'!$AA:$AK,11,0))*5%,"")</f>
        <v/>
      </c>
      <c r="Q70" s="79" t="str">
        <f>IFERROR((VLOOKUP($C70,'[15]2024 COBs'!$AA:$AK,8,0)+VLOOKUP($C70,'[15]2024 COBs'!$AA:$AK,9,0)+VLOOKUP($C70,'[15]2024 COBs'!$AA:$AK,10,0)+VLOOKUP($C70,'[15]2024 COBs'!$AA:$AK,11,0))*16%,"")</f>
        <v/>
      </c>
      <c r="R70" s="79"/>
      <c r="S70" s="79" t="str">
        <f>IFERROR(VLOOKUP($C70,'[15]2024 COBs'!$AA:$AK,7,0),"")</f>
        <v/>
      </c>
      <c r="T70" s="79" t="str">
        <f>IFERROR((VLOOKUP($C70,'[15]2024 COBs'!$AA:$AK,8,0)+VLOOKUP($C70,'[15]2024 COBs'!$AA:$AK,9,0)+VLOOKUP($C70,'[15]2024 COBs'!$AA:$AK,10,0)+VLOOKUP($C70,'[15]2024 COBs'!$AA:$AK,11,0))*20%,"")</f>
        <v/>
      </c>
      <c r="U70" s="79" t="str">
        <f>IFERROR(VLOOKUP($C70,'[15]2024 COBs'!$AA:$AK,6,0),"")</f>
        <v/>
      </c>
      <c r="V70" s="79" t="str">
        <f>IFERROR((VLOOKUP($C70,'[15]2024 COBs'!$AA:$AK,8,0)+VLOOKUP($C70,'[15]2024 COBs'!$AA:$AK,9,0)+VLOOKUP($C70,'[15]2024 COBs'!$AA:$AK,10,0)+VLOOKUP($C70,'[15]2024 COBs'!$AA:$AK,11,0))*18%,"")</f>
        <v/>
      </c>
      <c r="W70" s="79" t="str">
        <f>IFERROR((VLOOKUP($C70,'[15]2024 COBs'!$AA:$AK,8,0)+VLOOKUP($C70,'[15]2024 COBs'!$AA:$AK,9,0)+VLOOKUP($C70,'[15]2024 COBs'!$AA:$AK,10,0)+VLOOKUP($C70,'[15]2024 COBs'!$AA:$AK,11,0))*27%,"")</f>
        <v/>
      </c>
      <c r="X70" s="79" t="str">
        <f>IFERROR((VLOOKUP($C70,'[15]2024 COBs'!$AA:$AK,8,0)+VLOOKUP($C70,'[15]2024 COBs'!$AA:$AK,9,0)+VLOOKUP($C70,'[15]2024 COBs'!$AA:$AK,10,0)+VLOOKUP($C70,'[15]2024 COBs'!$AA:$AK,11,0))*14%,"")</f>
        <v/>
      </c>
      <c r="Y70" s="79" t="str">
        <f>IFERROR(VLOOKUP($C70,'[15]2024 COBs'!$AA:$AK,4,0),"")</f>
        <v/>
      </c>
      <c r="Z70" s="80">
        <f t="shared" si="6"/>
        <v>0</v>
      </c>
      <c r="AF70" s="76" t="s">
        <v>560</v>
      </c>
      <c r="AG70" s="76" t="s">
        <v>560</v>
      </c>
      <c r="AH70" s="78" t="s">
        <v>561</v>
      </c>
      <c r="AI70" s="78" t="s">
        <v>388</v>
      </c>
      <c r="AJ70" s="78"/>
      <c r="AK70" s="78"/>
      <c r="AL70" s="78">
        <v>3</v>
      </c>
      <c r="AM70" s="77" t="s">
        <v>389</v>
      </c>
      <c r="AN70" s="77" t="s">
        <v>395</v>
      </c>
      <c r="AO70" s="79"/>
      <c r="AP70" s="79"/>
      <c r="AQ70" s="79"/>
      <c r="AR70" s="79"/>
      <c r="AS70" s="79"/>
      <c r="AT70" s="79"/>
      <c r="AU70" s="79"/>
      <c r="AV70" s="79"/>
      <c r="AW70" s="79"/>
      <c r="AX70" s="79"/>
      <c r="AY70" s="79"/>
      <c r="AZ70" s="80">
        <f t="shared" si="5"/>
        <v>0</v>
      </c>
      <c r="BK70" s="65" t="s">
        <v>474</v>
      </c>
      <c r="BL70" s="65" t="s">
        <v>411</v>
      </c>
      <c r="BM70" s="65" t="s">
        <v>469</v>
      </c>
      <c r="BN70" s="65">
        <v>2</v>
      </c>
    </row>
    <row r="71" spans="2:66" x14ac:dyDescent="0.25">
      <c r="B71" s="76" t="s">
        <v>207</v>
      </c>
      <c r="C71" s="76" t="s">
        <v>207</v>
      </c>
      <c r="D71" s="77" t="s">
        <v>541</v>
      </c>
      <c r="E71" s="77" t="s">
        <v>388</v>
      </c>
      <c r="F71" s="77" t="s">
        <v>409</v>
      </c>
      <c r="G71" s="77"/>
      <c r="H71" s="77">
        <v>3</v>
      </c>
      <c r="I71" s="77" t="s">
        <v>401</v>
      </c>
      <c r="J71" s="77" t="s">
        <v>395</v>
      </c>
      <c r="K71" s="77" t="s">
        <v>562</v>
      </c>
      <c r="L71" s="78" t="str">
        <f t="shared" si="7"/>
        <v>Yes</v>
      </c>
      <c r="M71" s="77" t="str" cm="1">
        <f t="array" ref="M71">IF(OR(UPPER(TRIM($C71))="BRAZIL",UPPER(TRIM($C71))="INDIA",UPPER(TRIM($C71))="PHILIPPINES"),
   "UNDP OP8 COB - RPA",
   IFERROR(
     VLOOKUP($C71,$BF:$BG,2,0),
     _xlfn.SWITCH(UPPER(TRIM($K71)),
       "N/A","N/A",
       "VACANT","UNDP OP8 COB - Vacant",
       "UNDP","UNDP OP8 COB - UNDP CO",
       "UN COMPOUND","UNDP OP8 COB - UN Compound",
       "UNDP - WFH","UNDP OP8 COB - UNDP WFH",
"UNICEF","UNDP OP8 COB - UNICEF",
       "NHI","n.End of June 2026",
       "PRIVATE LEASE","k.End of Mar 2026",
       ""
     )
   )
)</f>
        <v>n.End of June 2026</v>
      </c>
      <c r="N71" s="77" t="str">
        <f t="shared" si="8"/>
        <v>UNOPS Action</v>
      </c>
      <c r="O71" s="79">
        <f>IFERROR(VLOOKUP($C71,'[15]2024 COBs'!$AA:$AK,5,0),"")</f>
        <v>10117.552790346908</v>
      </c>
      <c r="P71" s="79">
        <f>IFERROR((VLOOKUP($C71,'[15]2024 COBs'!$AA:$AK,8,0)+VLOOKUP($C71,'[15]2024 COBs'!$AA:$AK,9,0)+VLOOKUP($C71,'[15]2024 COBs'!$AA:$AK,10,0)+VLOOKUP($C71,'[15]2024 COBs'!$AA:$AK,11,0))*5%,"")</f>
        <v>722.02535822021127</v>
      </c>
      <c r="Q71" s="79">
        <f>IFERROR((VLOOKUP($C71,'[15]2024 COBs'!$AA:$AK,8,0)+VLOOKUP($C71,'[15]2024 COBs'!$AA:$AK,9,0)+VLOOKUP($C71,'[15]2024 COBs'!$AA:$AK,10,0)+VLOOKUP($C71,'[15]2024 COBs'!$AA:$AK,11,0))*16%,"")</f>
        <v>2310.4811463046758</v>
      </c>
      <c r="R71" s="79"/>
      <c r="S71" s="79">
        <f>IFERROR(VLOOKUP($C71,'[15]2024 COBs'!$AA:$AK,7,0),"")</f>
        <v>735.82202111613867</v>
      </c>
      <c r="T71" s="79">
        <f>IFERROR((VLOOKUP($C71,'[15]2024 COBs'!$AA:$AK,8,0)+VLOOKUP($C71,'[15]2024 COBs'!$AA:$AK,9,0)+VLOOKUP($C71,'[15]2024 COBs'!$AA:$AK,10,0)+VLOOKUP($C71,'[15]2024 COBs'!$AA:$AK,11,0))*20%,"")</f>
        <v>2888.1014328808451</v>
      </c>
      <c r="U71" s="79">
        <f>IFERROR(VLOOKUP($C71,'[15]2024 COBs'!$AA:$AK,6,0),"")</f>
        <v>9135.2303921568637</v>
      </c>
      <c r="V71" s="79">
        <f>IFERROR((VLOOKUP($C71,'[15]2024 COBs'!$AA:$AK,8,0)+VLOOKUP($C71,'[15]2024 COBs'!$AA:$AK,9,0)+VLOOKUP($C71,'[15]2024 COBs'!$AA:$AK,10,0)+VLOOKUP($C71,'[15]2024 COBs'!$AA:$AK,11,0))*18%,"")</f>
        <v>2599.2912895927602</v>
      </c>
      <c r="W71" s="79">
        <f>IFERROR((VLOOKUP($C71,'[15]2024 COBs'!$AA:$AK,8,0)+VLOOKUP($C71,'[15]2024 COBs'!$AA:$AK,9,0)+VLOOKUP($C71,'[15]2024 COBs'!$AA:$AK,10,0)+VLOOKUP($C71,'[15]2024 COBs'!$AA:$AK,11,0))*27%,"")</f>
        <v>3898.9369343891408</v>
      </c>
      <c r="X71" s="79">
        <f>IFERROR((VLOOKUP($C71,'[15]2024 COBs'!$AA:$AK,8,0)+VLOOKUP($C71,'[15]2024 COBs'!$AA:$AK,9,0)+VLOOKUP($C71,'[15]2024 COBs'!$AA:$AK,10,0)+VLOOKUP($C71,'[15]2024 COBs'!$AA:$AK,11,0))*14%,"")</f>
        <v>2021.6710030165916</v>
      </c>
      <c r="Y71" s="79">
        <f>IFERROR(VLOOKUP($C71,'[15]2024 COBs'!$AA:$AK,4,0),"")</f>
        <v>4598.8876319758674</v>
      </c>
      <c r="Z71" s="80">
        <f t="shared" si="6"/>
        <v>39028</v>
      </c>
      <c r="AF71" s="76" t="s">
        <v>229</v>
      </c>
      <c r="AG71" s="76" t="s">
        <v>229</v>
      </c>
      <c r="AH71" s="78" t="s">
        <v>563</v>
      </c>
      <c r="AI71" s="78" t="s">
        <v>388</v>
      </c>
      <c r="AJ71" s="78" t="s">
        <v>409</v>
      </c>
      <c r="AK71" s="78"/>
      <c r="AL71" s="78">
        <v>3</v>
      </c>
      <c r="AM71" s="77" t="s">
        <v>401</v>
      </c>
      <c r="AN71" s="77" t="s">
        <v>390</v>
      </c>
      <c r="AO71" s="79"/>
      <c r="AP71" s="79"/>
      <c r="AQ71" s="79"/>
      <c r="AR71" s="79"/>
      <c r="AS71" s="79"/>
      <c r="AT71" s="79"/>
      <c r="AU71" s="79"/>
      <c r="AV71" s="79"/>
      <c r="AW71" s="79"/>
      <c r="AX71" s="79"/>
      <c r="AY71" s="79"/>
      <c r="AZ71" s="80">
        <f t="shared" si="5"/>
        <v>0</v>
      </c>
      <c r="BK71" s="65" t="s">
        <v>207</v>
      </c>
      <c r="BL71" s="65" t="s">
        <v>411</v>
      </c>
      <c r="BM71" s="65" t="s">
        <v>396</v>
      </c>
      <c r="BN71" s="65">
        <v>1</v>
      </c>
    </row>
    <row r="72" spans="2:66" x14ac:dyDescent="0.25">
      <c r="B72" s="76" t="s">
        <v>208</v>
      </c>
      <c r="C72" s="76" t="s">
        <v>208</v>
      </c>
      <c r="D72" s="77" t="s">
        <v>564</v>
      </c>
      <c r="E72" s="77" t="s">
        <v>400</v>
      </c>
      <c r="F72" s="77"/>
      <c r="G72" s="77"/>
      <c r="H72" s="77">
        <v>2</v>
      </c>
      <c r="I72" s="77" t="s">
        <v>401</v>
      </c>
      <c r="J72" s="77" t="s">
        <v>390</v>
      </c>
      <c r="K72" s="77" t="s">
        <v>17</v>
      </c>
      <c r="L72" s="78" t="str">
        <f t="shared" si="7"/>
        <v>Yes</v>
      </c>
      <c r="M72" s="77" t="str" cm="1">
        <f t="array" ref="M72">IF(OR(UPPER(TRIM($C72))="BRAZIL",UPPER(TRIM($C72))="INDIA",UPPER(TRIM($C72))="PHILIPPINES"),
   "UNDP OP8 COB - RPA",
   IFERROR(
     VLOOKUP($C72,$BF:$BG,2,0),
     _xlfn.SWITCH(UPPER(TRIM($K72)),
       "N/A","N/A",
       "VACANT","UNDP OP8 COB - Vacant",
       "UNDP","UNDP OP8 COB - UNDP CO",
       "UN COMPOUND","UNDP OP8 COB - UN Compound",
       "UNDP - WFH","UNDP OP8 COB - UNDP WFH",
"UNICEF","UNDP OP8 COB - UNICEF",
       "NHI","n.End of June 2026",
       "PRIVATE LEASE","k.End of Mar 2026",
       ""
     )
   )
)</f>
        <v>n.End of June 2026</v>
      </c>
      <c r="N72" s="77" t="str">
        <f t="shared" si="8"/>
        <v>UNOPS Action</v>
      </c>
      <c r="O72" s="79">
        <f>IFERROR(VLOOKUP($C72,'[15]2024 COBs'!$AA:$AK,5,0),"")</f>
        <v>3503.9999999999995</v>
      </c>
      <c r="P72" s="79">
        <f>IFERROR((VLOOKUP($C72,'[15]2024 COBs'!$AA:$AK,8,0)+VLOOKUP($C72,'[15]2024 COBs'!$AA:$AK,9,0)+VLOOKUP($C72,'[15]2024 COBs'!$AA:$AK,10,0)+VLOOKUP($C72,'[15]2024 COBs'!$AA:$AK,11,0))*5%,"")</f>
        <v>51</v>
      </c>
      <c r="Q72" s="79">
        <f>IFERROR((VLOOKUP($C72,'[15]2024 COBs'!$AA:$AK,8,0)+VLOOKUP($C72,'[15]2024 COBs'!$AA:$AK,9,0)+VLOOKUP($C72,'[15]2024 COBs'!$AA:$AK,10,0)+VLOOKUP($C72,'[15]2024 COBs'!$AA:$AK,11,0))*16%,"")</f>
        <v>163.20000000000002</v>
      </c>
      <c r="R72" s="79"/>
      <c r="S72" s="79">
        <f>IFERROR(VLOOKUP($C72,'[15]2024 COBs'!$AA:$AK,7,0),"")</f>
        <v>0</v>
      </c>
      <c r="T72" s="79">
        <f>IFERROR((VLOOKUP($C72,'[15]2024 COBs'!$AA:$AK,8,0)+VLOOKUP($C72,'[15]2024 COBs'!$AA:$AK,9,0)+VLOOKUP($C72,'[15]2024 COBs'!$AA:$AK,10,0)+VLOOKUP($C72,'[15]2024 COBs'!$AA:$AK,11,0))*20%,"")</f>
        <v>204</v>
      </c>
      <c r="U72" s="79">
        <f>IFERROR(VLOOKUP($C72,'[15]2024 COBs'!$AA:$AK,6,0),"")</f>
        <v>4439.9999999999991</v>
      </c>
      <c r="V72" s="79">
        <f>IFERROR((VLOOKUP($C72,'[15]2024 COBs'!$AA:$AK,8,0)+VLOOKUP($C72,'[15]2024 COBs'!$AA:$AK,9,0)+VLOOKUP($C72,'[15]2024 COBs'!$AA:$AK,10,0)+VLOOKUP($C72,'[15]2024 COBs'!$AA:$AK,11,0))*18%,"")</f>
        <v>183.6</v>
      </c>
      <c r="W72" s="79">
        <f>IFERROR((VLOOKUP($C72,'[15]2024 COBs'!$AA:$AK,8,0)+VLOOKUP($C72,'[15]2024 COBs'!$AA:$AK,9,0)+VLOOKUP($C72,'[15]2024 COBs'!$AA:$AK,10,0)+VLOOKUP($C72,'[15]2024 COBs'!$AA:$AK,11,0))*27%,"")</f>
        <v>275.40000000000003</v>
      </c>
      <c r="X72" s="79">
        <f>IFERROR((VLOOKUP($C72,'[15]2024 COBs'!$AA:$AK,8,0)+VLOOKUP($C72,'[15]2024 COBs'!$AA:$AK,9,0)+VLOOKUP($C72,'[15]2024 COBs'!$AA:$AK,10,0)+VLOOKUP($C72,'[15]2024 COBs'!$AA:$AK,11,0))*14%,"")</f>
        <v>142.80000000000001</v>
      </c>
      <c r="Y72" s="79">
        <f>IFERROR(VLOOKUP($C72,'[15]2024 COBs'!$AA:$AK,4,0),"")</f>
        <v>4423.2</v>
      </c>
      <c r="Z72" s="80">
        <f t="shared" si="6"/>
        <v>13387.199999999997</v>
      </c>
      <c r="AF72" s="76" t="s">
        <v>565</v>
      </c>
      <c r="AG72" s="76" t="s">
        <v>565</v>
      </c>
      <c r="AH72" s="78" t="s">
        <v>566</v>
      </c>
      <c r="AI72" s="78" t="s">
        <v>388</v>
      </c>
      <c r="AJ72" s="78"/>
      <c r="AK72" s="78"/>
      <c r="AL72" s="78">
        <v>1</v>
      </c>
      <c r="AM72" s="77" t="s">
        <v>389</v>
      </c>
      <c r="AN72" s="77" t="s">
        <v>390</v>
      </c>
      <c r="AO72" s="79"/>
      <c r="AP72" s="79"/>
      <c r="AQ72" s="79"/>
      <c r="AR72" s="79"/>
      <c r="AS72" s="79"/>
      <c r="AT72" s="79"/>
      <c r="AU72" s="79"/>
      <c r="AV72" s="79"/>
      <c r="AW72" s="79"/>
      <c r="AX72" s="79"/>
      <c r="AY72" s="79"/>
      <c r="AZ72" s="80">
        <f t="shared" si="5"/>
        <v>0</v>
      </c>
      <c r="BK72" s="65" t="s">
        <v>208</v>
      </c>
      <c r="BL72" s="65" t="s">
        <v>411</v>
      </c>
      <c r="BM72" s="65" t="s">
        <v>396</v>
      </c>
      <c r="BN72" s="65">
        <v>1</v>
      </c>
    </row>
    <row r="73" spans="2:66" x14ac:dyDescent="0.25">
      <c r="B73" s="76" t="s">
        <v>209</v>
      </c>
      <c r="C73" s="76" t="s">
        <v>209</v>
      </c>
      <c r="D73" s="77" t="s">
        <v>544</v>
      </c>
      <c r="E73" s="77" t="s">
        <v>388</v>
      </c>
      <c r="F73" s="77"/>
      <c r="G73" s="77"/>
      <c r="H73" s="77">
        <v>3</v>
      </c>
      <c r="I73" s="77" t="s">
        <v>401</v>
      </c>
      <c r="J73" s="77" t="s">
        <v>390</v>
      </c>
      <c r="K73" s="77" t="s">
        <v>17</v>
      </c>
      <c r="L73" s="78" t="str">
        <f t="shared" si="7"/>
        <v>Yes</v>
      </c>
      <c r="M73" s="77" t="str" cm="1">
        <f t="array" ref="M73">IF(OR(UPPER(TRIM($C73))="BRAZIL",UPPER(TRIM($C73))="INDIA",UPPER(TRIM($C73))="PHILIPPINES"),
   "UNDP OP8 COB - RPA",
   IFERROR(
     VLOOKUP($C73,$BF:$BG,2,0),
     _xlfn.SWITCH(UPPER(TRIM($K73)),
       "N/A","N/A",
       "VACANT","UNDP OP8 COB - Vacant",
       "UNDP","UNDP OP8 COB - UNDP CO",
       "UN COMPOUND","UNDP OP8 COB - UN Compound",
       "UNDP - WFH","UNDP OP8 COB - UNDP WFH",
"UNICEF","UNDP OP8 COB - UNICEF",
       "NHI","n.End of June 2026",
       "PRIVATE LEASE","k.End of Mar 2026",
       ""
     )
   )
)</f>
        <v>k.End of Mar 2026</v>
      </c>
      <c r="N73" s="77" t="str">
        <f t="shared" si="8"/>
        <v>UNOPS Action</v>
      </c>
      <c r="O73" s="79">
        <f>IFERROR(VLOOKUP($C73,'[15]2024 COBs'!$AA:$AK,5,0),"")</f>
        <v>9449.2558139534885</v>
      </c>
      <c r="P73" s="79">
        <f>IFERROR((VLOOKUP($C73,'[15]2024 COBs'!$AA:$AK,8,0)+VLOOKUP($C73,'[15]2024 COBs'!$AA:$AK,9,0)+VLOOKUP($C73,'[15]2024 COBs'!$AA:$AK,10,0)+VLOOKUP($C73,'[15]2024 COBs'!$AA:$AK,11,0))*5%,"")</f>
        <v>252.66488372093028</v>
      </c>
      <c r="Q73" s="79">
        <f>IFERROR((VLOOKUP($C73,'[15]2024 COBs'!$AA:$AK,8,0)+VLOOKUP($C73,'[15]2024 COBs'!$AA:$AK,9,0)+VLOOKUP($C73,'[15]2024 COBs'!$AA:$AK,10,0)+VLOOKUP($C73,'[15]2024 COBs'!$AA:$AK,11,0))*16%,"")</f>
        <v>808.52762790697682</v>
      </c>
      <c r="R73" s="79"/>
      <c r="S73" s="79">
        <f>IFERROR(VLOOKUP($C73,'[15]2024 COBs'!$AA:$AK,7,0),"")</f>
        <v>410.83720930232556</v>
      </c>
      <c r="T73" s="79">
        <f>IFERROR((VLOOKUP($C73,'[15]2024 COBs'!$AA:$AK,8,0)+VLOOKUP($C73,'[15]2024 COBs'!$AA:$AK,9,0)+VLOOKUP($C73,'[15]2024 COBs'!$AA:$AK,10,0)+VLOOKUP($C73,'[15]2024 COBs'!$AA:$AK,11,0))*20%,"")</f>
        <v>1010.6595348837211</v>
      </c>
      <c r="U73" s="79">
        <f>IFERROR(VLOOKUP($C73,'[15]2024 COBs'!$AA:$AK,6,0),"")</f>
        <v>8627.5813953488378</v>
      </c>
      <c r="V73" s="79">
        <f>IFERROR((VLOOKUP($C73,'[15]2024 COBs'!$AA:$AK,8,0)+VLOOKUP($C73,'[15]2024 COBs'!$AA:$AK,9,0)+VLOOKUP($C73,'[15]2024 COBs'!$AA:$AK,10,0)+VLOOKUP($C73,'[15]2024 COBs'!$AA:$AK,11,0))*18%,"")</f>
        <v>909.59358139534891</v>
      </c>
      <c r="W73" s="79">
        <f>IFERROR((VLOOKUP($C73,'[15]2024 COBs'!$AA:$AK,8,0)+VLOOKUP($C73,'[15]2024 COBs'!$AA:$AK,9,0)+VLOOKUP($C73,'[15]2024 COBs'!$AA:$AK,10,0)+VLOOKUP($C73,'[15]2024 COBs'!$AA:$AK,11,0))*27%,"")</f>
        <v>1364.3903720930234</v>
      </c>
      <c r="X73" s="79">
        <f>IFERROR((VLOOKUP($C73,'[15]2024 COBs'!$AA:$AK,8,0)+VLOOKUP($C73,'[15]2024 COBs'!$AA:$AK,9,0)+VLOOKUP($C73,'[15]2024 COBs'!$AA:$AK,10,0)+VLOOKUP($C73,'[15]2024 COBs'!$AA:$AK,11,0))*14%,"")</f>
        <v>707.46167441860484</v>
      </c>
      <c r="Y73" s="79">
        <f>IFERROR(VLOOKUP($C73,'[15]2024 COBs'!$AA:$AK,4,0),"")</f>
        <v>2958.0279069767444</v>
      </c>
      <c r="Z73" s="80">
        <f t="shared" si="6"/>
        <v>26499.000000000004</v>
      </c>
      <c r="AF73" s="76" t="s">
        <v>134</v>
      </c>
      <c r="AG73" s="76" t="s">
        <v>134</v>
      </c>
      <c r="AH73" s="78" t="s">
        <v>567</v>
      </c>
      <c r="AI73" s="78" t="s">
        <v>388</v>
      </c>
      <c r="AJ73" s="78"/>
      <c r="AK73" s="78" t="s">
        <v>463</v>
      </c>
      <c r="AL73" s="78">
        <v>4</v>
      </c>
      <c r="AM73" s="77" t="s">
        <v>401</v>
      </c>
      <c r="AN73" s="77" t="s">
        <v>390</v>
      </c>
      <c r="AO73" s="79"/>
      <c r="AP73" s="79"/>
      <c r="AQ73" s="79"/>
      <c r="AR73" s="79"/>
      <c r="AS73" s="79"/>
      <c r="AT73" s="79"/>
      <c r="AU73" s="79"/>
      <c r="AV73" s="79"/>
      <c r="AW73" s="79"/>
      <c r="AX73" s="79"/>
      <c r="AY73" s="79"/>
      <c r="AZ73" s="80" t="s">
        <v>464</v>
      </c>
      <c r="BK73" s="65" t="s">
        <v>209</v>
      </c>
      <c r="BL73" s="65" t="s">
        <v>397</v>
      </c>
      <c r="BM73" s="65" t="s">
        <v>398</v>
      </c>
      <c r="BN73" s="65">
        <v>1</v>
      </c>
    </row>
    <row r="74" spans="2:66" x14ac:dyDescent="0.25">
      <c r="B74" s="76" t="s">
        <v>210</v>
      </c>
      <c r="C74" s="76" t="s">
        <v>210</v>
      </c>
      <c r="D74" s="77" t="s">
        <v>568</v>
      </c>
      <c r="E74" s="77" t="s">
        <v>404</v>
      </c>
      <c r="F74" s="77"/>
      <c r="G74" s="77"/>
      <c r="H74" s="77">
        <v>2</v>
      </c>
      <c r="I74" s="77" t="s">
        <v>401</v>
      </c>
      <c r="J74" s="77" t="s">
        <v>390</v>
      </c>
      <c r="K74" s="77" t="s">
        <v>425</v>
      </c>
      <c r="L74" s="78" t="str">
        <f t="shared" si="7"/>
        <v/>
      </c>
      <c r="M74" s="77" t="str" cm="1">
        <f t="array" ref="M74">IF(OR(UPPER(TRIM($C74))="BRAZIL",UPPER(TRIM($C74))="INDIA",UPPER(TRIM($C74))="PHILIPPINES"),
   "UNDP OP8 COB - RPA",
   IFERROR(
     VLOOKUP($C74,$BF:$BG,2,0),
     _xlfn.SWITCH(UPPER(TRIM($K74)),
       "N/A","N/A",
       "VACANT","UNDP OP8 COB - Vacant",
       "UNDP","UNDP OP8 COB - UNDP CO",
       "UN COMPOUND","UNDP OP8 COB - UN Compound",
       "UNDP - WFH","UNDP OP8 COB - UNDP WFH",
"UNICEF","UNDP OP8 COB - UNICEF",
       "NHI","n.End of June 2026",
       "PRIVATE LEASE","k.End of Mar 2026",
       ""
     )
   )
)</f>
        <v>k.End of Mar 2026</v>
      </c>
      <c r="N74" s="77" t="str">
        <f t="shared" si="8"/>
        <v>UNOPS Action</v>
      </c>
      <c r="O74" s="79">
        <f>IFERROR(VLOOKUP($C74,'[15]2024 COBs'!$AA:$AK,5,0),"")</f>
        <v>2000</v>
      </c>
      <c r="P74" s="79">
        <f>IFERROR((VLOOKUP($C74,'[15]2024 COBs'!$AA:$AK,8,0)+VLOOKUP($C74,'[15]2024 COBs'!$AA:$AK,9,0)+VLOOKUP($C74,'[15]2024 COBs'!$AA:$AK,10,0)+VLOOKUP($C74,'[15]2024 COBs'!$AA:$AK,11,0))*5%,"")</f>
        <v>0</v>
      </c>
      <c r="Q74" s="79">
        <f>IFERROR((VLOOKUP($C74,'[15]2024 COBs'!$AA:$AK,8,0)+VLOOKUP($C74,'[15]2024 COBs'!$AA:$AK,9,0)+VLOOKUP($C74,'[15]2024 COBs'!$AA:$AK,10,0)+VLOOKUP($C74,'[15]2024 COBs'!$AA:$AK,11,0))*16%,"")</f>
        <v>0</v>
      </c>
      <c r="R74" s="79"/>
      <c r="S74" s="79">
        <f>IFERROR(VLOOKUP($C74,'[15]2024 COBs'!$AA:$AK,7,0),"")</f>
        <v>0</v>
      </c>
      <c r="T74" s="79">
        <f>IFERROR((VLOOKUP($C74,'[15]2024 COBs'!$AA:$AK,8,0)+VLOOKUP($C74,'[15]2024 COBs'!$AA:$AK,9,0)+VLOOKUP($C74,'[15]2024 COBs'!$AA:$AK,10,0)+VLOOKUP($C74,'[15]2024 COBs'!$AA:$AK,11,0))*20%,"")</f>
        <v>0</v>
      </c>
      <c r="U74" s="79">
        <f>IFERROR(VLOOKUP($C74,'[15]2024 COBs'!$AA:$AK,6,0),"")</f>
        <v>0</v>
      </c>
      <c r="V74" s="79">
        <f>IFERROR((VLOOKUP($C74,'[15]2024 COBs'!$AA:$AK,8,0)+VLOOKUP($C74,'[15]2024 COBs'!$AA:$AK,9,0)+VLOOKUP($C74,'[15]2024 COBs'!$AA:$AK,10,0)+VLOOKUP($C74,'[15]2024 COBs'!$AA:$AK,11,0))*18%,"")</f>
        <v>0</v>
      </c>
      <c r="W74" s="79">
        <f>IFERROR((VLOOKUP($C74,'[15]2024 COBs'!$AA:$AK,8,0)+VLOOKUP($C74,'[15]2024 COBs'!$AA:$AK,9,0)+VLOOKUP($C74,'[15]2024 COBs'!$AA:$AK,10,0)+VLOOKUP($C74,'[15]2024 COBs'!$AA:$AK,11,0))*27%,"")</f>
        <v>0</v>
      </c>
      <c r="X74" s="79">
        <f>IFERROR((VLOOKUP($C74,'[15]2024 COBs'!$AA:$AK,8,0)+VLOOKUP($C74,'[15]2024 COBs'!$AA:$AK,9,0)+VLOOKUP($C74,'[15]2024 COBs'!$AA:$AK,10,0)+VLOOKUP($C74,'[15]2024 COBs'!$AA:$AK,11,0))*14%,"")</f>
        <v>0</v>
      </c>
      <c r="Y74" s="79">
        <f>IFERROR(VLOOKUP($C74,'[15]2024 COBs'!$AA:$AK,4,0),"")</f>
        <v>300</v>
      </c>
      <c r="Z74" s="80">
        <f t="shared" si="6"/>
        <v>2300</v>
      </c>
      <c r="AF74" s="76" t="s">
        <v>234</v>
      </c>
      <c r="AG74" s="76" t="s">
        <v>234</v>
      </c>
      <c r="AH74" s="78" t="s">
        <v>569</v>
      </c>
      <c r="AI74" s="78" t="s">
        <v>388</v>
      </c>
      <c r="AJ74" s="78" t="s">
        <v>432</v>
      </c>
      <c r="AK74" s="78"/>
      <c r="AL74" s="78">
        <v>1</v>
      </c>
      <c r="AM74" s="77" t="s">
        <v>401</v>
      </c>
      <c r="AN74" s="77" t="s">
        <v>390</v>
      </c>
      <c r="AO74" s="79"/>
      <c r="AP74" s="79"/>
      <c r="AQ74" s="79"/>
      <c r="AR74" s="79"/>
      <c r="AS74" s="79"/>
      <c r="AT74" s="79"/>
      <c r="AU74" s="79"/>
      <c r="AV74" s="79"/>
      <c r="AW74" s="79"/>
      <c r="AX74" s="79"/>
      <c r="AY74" s="79"/>
      <c r="AZ74" s="80">
        <f t="shared" ref="AZ74:AZ119" si="9">SUM(AO74:AY74)</f>
        <v>0</v>
      </c>
      <c r="BK74" s="65" t="s">
        <v>209</v>
      </c>
      <c r="BL74" s="65" t="s">
        <v>411</v>
      </c>
      <c r="BM74" s="65" t="s">
        <v>415</v>
      </c>
      <c r="BN74" s="65">
        <v>1</v>
      </c>
    </row>
    <row r="75" spans="2:66" x14ac:dyDescent="0.25">
      <c r="B75" s="76" t="s">
        <v>211</v>
      </c>
      <c r="C75" s="76" t="s">
        <v>211</v>
      </c>
      <c r="D75" s="77" t="s">
        <v>478</v>
      </c>
      <c r="E75" s="77" t="s">
        <v>394</v>
      </c>
      <c r="F75" s="77"/>
      <c r="G75" s="77"/>
      <c r="H75" s="77">
        <v>2</v>
      </c>
      <c r="I75" s="77" t="s">
        <v>401</v>
      </c>
      <c r="J75" s="77" t="s">
        <v>390</v>
      </c>
      <c r="K75" s="77" t="s">
        <v>17</v>
      </c>
      <c r="L75" s="78" t="str">
        <f t="shared" si="7"/>
        <v>Yes</v>
      </c>
      <c r="M75" s="77" t="str" cm="1">
        <f t="array" ref="M75">IF(OR(UPPER(TRIM($C75))="BRAZIL",UPPER(TRIM($C75))="INDIA",UPPER(TRIM($C75))="PHILIPPINES"),
   "UNDP OP8 COB - RPA",
   IFERROR(
     VLOOKUP($C75,$BF:$BG,2,0),
     _xlfn.SWITCH(UPPER(TRIM($K75)),
       "N/A","N/A",
       "VACANT","UNDP OP8 COB - Vacant",
       "UNDP","UNDP OP8 COB - UNDP CO",
       "UN COMPOUND","UNDP OP8 COB - UN Compound",
       "UNDP - WFH","UNDP OP8 COB - UNDP WFH",
"UNICEF","UNDP OP8 COB - UNICEF",
       "NHI","n.End of June 2026",
       "PRIVATE LEASE","k.End of Mar 2026",
       ""
     )
   )
)</f>
        <v>k.End of Mar 2026</v>
      </c>
      <c r="N75" s="77" t="str">
        <f t="shared" si="8"/>
        <v>UNOPS Action</v>
      </c>
      <c r="O75" s="79">
        <f>IFERROR(VLOOKUP($C75,'[15]2024 COBs'!$AA:$AK,5,0),"")</f>
        <v>3877.1999999999994</v>
      </c>
      <c r="P75" s="79">
        <f>IFERROR((VLOOKUP($C75,'[15]2024 COBs'!$AA:$AK,8,0)+VLOOKUP($C75,'[15]2024 COBs'!$AA:$AK,9,0)+VLOOKUP($C75,'[15]2024 COBs'!$AA:$AK,10,0)+VLOOKUP($C75,'[15]2024 COBs'!$AA:$AK,11,0))*5%,"")</f>
        <v>197.39999999999998</v>
      </c>
      <c r="Q75" s="79">
        <f>IFERROR((VLOOKUP($C75,'[15]2024 COBs'!$AA:$AK,8,0)+VLOOKUP($C75,'[15]2024 COBs'!$AA:$AK,9,0)+VLOOKUP($C75,'[15]2024 COBs'!$AA:$AK,10,0)+VLOOKUP($C75,'[15]2024 COBs'!$AA:$AK,11,0))*16%,"")</f>
        <v>631.67999999999995</v>
      </c>
      <c r="R75" s="79"/>
      <c r="S75" s="79">
        <f>IFERROR(VLOOKUP($C75,'[15]2024 COBs'!$AA:$AK,7,0),"")</f>
        <v>96.59999999999998</v>
      </c>
      <c r="T75" s="79">
        <f>IFERROR((VLOOKUP($C75,'[15]2024 COBs'!$AA:$AK,8,0)+VLOOKUP($C75,'[15]2024 COBs'!$AA:$AK,9,0)+VLOOKUP($C75,'[15]2024 COBs'!$AA:$AK,10,0)+VLOOKUP($C75,'[15]2024 COBs'!$AA:$AK,11,0))*20%,"")</f>
        <v>789.59999999999991</v>
      </c>
      <c r="U75" s="79">
        <f>IFERROR(VLOOKUP($C75,'[15]2024 COBs'!$AA:$AK,6,0),"")</f>
        <v>3373.7999999999997</v>
      </c>
      <c r="V75" s="79">
        <f>IFERROR((VLOOKUP($C75,'[15]2024 COBs'!$AA:$AK,8,0)+VLOOKUP($C75,'[15]2024 COBs'!$AA:$AK,9,0)+VLOOKUP($C75,'[15]2024 COBs'!$AA:$AK,10,0)+VLOOKUP($C75,'[15]2024 COBs'!$AA:$AK,11,0))*18%,"")</f>
        <v>710.63999999999987</v>
      </c>
      <c r="W75" s="79">
        <f>IFERROR((VLOOKUP($C75,'[15]2024 COBs'!$AA:$AK,8,0)+VLOOKUP($C75,'[15]2024 COBs'!$AA:$AK,9,0)+VLOOKUP($C75,'[15]2024 COBs'!$AA:$AK,10,0)+VLOOKUP($C75,'[15]2024 COBs'!$AA:$AK,11,0))*27%,"")</f>
        <v>1065.96</v>
      </c>
      <c r="X75" s="79">
        <f>IFERROR((VLOOKUP($C75,'[15]2024 COBs'!$AA:$AK,8,0)+VLOOKUP($C75,'[15]2024 COBs'!$AA:$AK,9,0)+VLOOKUP($C75,'[15]2024 COBs'!$AA:$AK,10,0)+VLOOKUP($C75,'[15]2024 COBs'!$AA:$AK,11,0))*14%,"")</f>
        <v>552.72</v>
      </c>
      <c r="Y75" s="79">
        <f>IFERROR(VLOOKUP($C75,'[15]2024 COBs'!$AA:$AK,4,0),"")</f>
        <v>4164.5999999999995</v>
      </c>
      <c r="Z75" s="80">
        <f t="shared" si="6"/>
        <v>15460.199999999997</v>
      </c>
      <c r="AF75" s="76" t="s">
        <v>238</v>
      </c>
      <c r="AG75" s="76" t="s">
        <v>238</v>
      </c>
      <c r="AH75" s="78" t="s">
        <v>570</v>
      </c>
      <c r="AI75" s="78" t="s">
        <v>388</v>
      </c>
      <c r="AJ75" s="78" t="s">
        <v>409</v>
      </c>
      <c r="AK75" s="78"/>
      <c r="AL75" s="78">
        <v>2</v>
      </c>
      <c r="AM75" s="77" t="s">
        <v>401</v>
      </c>
      <c r="AN75" s="77" t="s">
        <v>390</v>
      </c>
      <c r="AO75" s="79"/>
      <c r="AP75" s="79"/>
      <c r="AQ75" s="79"/>
      <c r="AR75" s="79"/>
      <c r="AS75" s="79"/>
      <c r="AT75" s="79"/>
      <c r="AU75" s="79"/>
      <c r="AV75" s="79"/>
      <c r="AW75" s="79"/>
      <c r="AX75" s="79"/>
      <c r="AY75" s="79"/>
      <c r="AZ75" s="80">
        <f t="shared" si="9"/>
        <v>0</v>
      </c>
      <c r="BK75" s="65" t="s">
        <v>210</v>
      </c>
      <c r="BL75" s="65" t="s">
        <v>397</v>
      </c>
      <c r="BM75" s="65" t="s">
        <v>398</v>
      </c>
      <c r="BN75" s="65">
        <v>2</v>
      </c>
    </row>
    <row r="76" spans="2:66" x14ac:dyDescent="0.25">
      <c r="B76" s="76" t="s">
        <v>212</v>
      </c>
      <c r="C76" s="76" t="s">
        <v>212</v>
      </c>
      <c r="D76" s="77" t="s">
        <v>479</v>
      </c>
      <c r="E76" s="77" t="s">
        <v>394</v>
      </c>
      <c r="F76" s="77"/>
      <c r="G76" s="77"/>
      <c r="H76" s="77">
        <v>2</v>
      </c>
      <c r="I76" s="77" t="s">
        <v>401</v>
      </c>
      <c r="J76" s="77" t="s">
        <v>390</v>
      </c>
      <c r="K76" s="77" t="s">
        <v>17</v>
      </c>
      <c r="L76" s="78" t="str">
        <f t="shared" si="7"/>
        <v/>
      </c>
      <c r="M76" s="77" t="str" cm="1">
        <f t="array" ref="M76">IF(OR(UPPER(TRIM($C76))="BRAZIL",UPPER(TRIM($C76))="INDIA",UPPER(TRIM($C76))="PHILIPPINES"),
   "UNDP OP8 COB - RPA",
   IFERROR(
     VLOOKUP($C76,$BF:$BG,2,0),
     _xlfn.SWITCH(UPPER(TRIM($K76)),
       "N/A","N/A",
       "VACANT","UNDP OP8 COB - Vacant",
       "UNDP","UNDP OP8 COB - UNDP CO",
       "UN COMPOUND","UNDP OP8 COB - UN Compound",
       "UNDP - WFH","UNDP OP8 COB - UNDP WFH",
"UNICEF","UNDP OP8 COB - UNICEF",
       "NHI","n.End of June 2026",
       "PRIVATE LEASE","k.End of Mar 2026",
       ""
     )
   )
)</f>
        <v>UNDP OP8 COB - UNDP CO</v>
      </c>
      <c r="N76" s="77" t="str">
        <f t="shared" si="8"/>
        <v>UNDP Action</v>
      </c>
      <c r="O76" s="79">
        <f>IFERROR(VLOOKUP($C76,'[15]2024 COBs'!$AA:$AK,5,0),"")</f>
        <v>11626.8</v>
      </c>
      <c r="P76" s="79">
        <f>IFERROR((VLOOKUP($C76,'[15]2024 COBs'!$AA:$AK,8,0)+VLOOKUP($C76,'[15]2024 COBs'!$AA:$AK,9,0)+VLOOKUP($C76,'[15]2024 COBs'!$AA:$AK,10,0)+VLOOKUP($C76,'[15]2024 COBs'!$AA:$AK,11,0))*5%,"")</f>
        <v>142.65</v>
      </c>
      <c r="Q76" s="79">
        <f>IFERROR((VLOOKUP($C76,'[15]2024 COBs'!$AA:$AK,8,0)+VLOOKUP($C76,'[15]2024 COBs'!$AA:$AK,9,0)+VLOOKUP($C76,'[15]2024 COBs'!$AA:$AK,10,0)+VLOOKUP($C76,'[15]2024 COBs'!$AA:$AK,11,0))*16%,"")</f>
        <v>456.48</v>
      </c>
      <c r="R76" s="79"/>
      <c r="S76" s="79">
        <f>IFERROR(VLOOKUP($C76,'[15]2024 COBs'!$AA:$AK,7,0),"")</f>
        <v>2459.9999999999995</v>
      </c>
      <c r="T76" s="79">
        <f>IFERROR((VLOOKUP($C76,'[15]2024 COBs'!$AA:$AK,8,0)+VLOOKUP($C76,'[15]2024 COBs'!$AA:$AK,9,0)+VLOOKUP($C76,'[15]2024 COBs'!$AA:$AK,10,0)+VLOOKUP($C76,'[15]2024 COBs'!$AA:$AK,11,0))*20%,"")</f>
        <v>570.6</v>
      </c>
      <c r="U76" s="79">
        <f>IFERROR(VLOOKUP($C76,'[15]2024 COBs'!$AA:$AK,6,0),"")</f>
        <v>4836.5999999999995</v>
      </c>
      <c r="V76" s="79">
        <f>IFERROR((VLOOKUP($C76,'[15]2024 COBs'!$AA:$AK,8,0)+VLOOKUP($C76,'[15]2024 COBs'!$AA:$AK,9,0)+VLOOKUP($C76,'[15]2024 COBs'!$AA:$AK,10,0)+VLOOKUP($C76,'[15]2024 COBs'!$AA:$AK,11,0))*18%,"")</f>
        <v>513.54</v>
      </c>
      <c r="W76" s="79">
        <f>IFERROR((VLOOKUP($C76,'[15]2024 COBs'!$AA:$AK,8,0)+VLOOKUP($C76,'[15]2024 COBs'!$AA:$AK,9,0)+VLOOKUP($C76,'[15]2024 COBs'!$AA:$AK,10,0)+VLOOKUP($C76,'[15]2024 COBs'!$AA:$AK,11,0))*27%,"")</f>
        <v>770.31000000000006</v>
      </c>
      <c r="X76" s="79">
        <f>IFERROR((VLOOKUP($C76,'[15]2024 COBs'!$AA:$AK,8,0)+VLOOKUP($C76,'[15]2024 COBs'!$AA:$AK,9,0)+VLOOKUP($C76,'[15]2024 COBs'!$AA:$AK,10,0)+VLOOKUP($C76,'[15]2024 COBs'!$AA:$AK,11,0))*14%,"")</f>
        <v>399.42</v>
      </c>
      <c r="Y76" s="79">
        <f>IFERROR(VLOOKUP($C76,'[15]2024 COBs'!$AA:$AK,4,0),"")</f>
        <v>0</v>
      </c>
      <c r="Z76" s="80">
        <f t="shared" si="6"/>
        <v>21776.399999999998</v>
      </c>
      <c r="AF76" s="76" t="s">
        <v>520</v>
      </c>
      <c r="AG76" s="76" t="s">
        <v>520</v>
      </c>
      <c r="AH76" s="78" t="s">
        <v>571</v>
      </c>
      <c r="AI76" s="78" t="s">
        <v>388</v>
      </c>
      <c r="AJ76" s="78"/>
      <c r="AK76" s="78"/>
      <c r="AL76" s="78">
        <v>2</v>
      </c>
      <c r="AM76" s="77" t="s">
        <v>389</v>
      </c>
      <c r="AN76" s="77" t="s">
        <v>390</v>
      </c>
      <c r="AO76" s="79"/>
      <c r="AP76" s="79"/>
      <c r="AQ76" s="79"/>
      <c r="AR76" s="79"/>
      <c r="AS76" s="79"/>
      <c r="AT76" s="79"/>
      <c r="AU76" s="79"/>
      <c r="AV76" s="79"/>
      <c r="AW76" s="79"/>
      <c r="AX76" s="79"/>
      <c r="AY76" s="79"/>
      <c r="AZ76" s="80">
        <f t="shared" si="9"/>
        <v>0</v>
      </c>
      <c r="BK76" s="65" t="s">
        <v>211</v>
      </c>
      <c r="BL76" s="65" t="s">
        <v>397</v>
      </c>
      <c r="BM76" s="65" t="s">
        <v>398</v>
      </c>
      <c r="BN76" s="65">
        <v>1</v>
      </c>
    </row>
    <row r="77" spans="2:66" x14ac:dyDescent="0.25">
      <c r="B77" s="76" t="s">
        <v>572</v>
      </c>
      <c r="C77" s="76" t="s">
        <v>572</v>
      </c>
      <c r="D77" s="77" t="s">
        <v>573</v>
      </c>
      <c r="E77" s="77" t="s">
        <v>404</v>
      </c>
      <c r="F77" s="77"/>
      <c r="G77" s="77"/>
      <c r="H77" s="77">
        <v>5</v>
      </c>
      <c r="I77" s="77" t="s">
        <v>421</v>
      </c>
      <c r="J77" s="77" t="s">
        <v>439</v>
      </c>
      <c r="K77" s="77" t="s">
        <v>422</v>
      </c>
      <c r="L77" s="78" t="str">
        <f t="shared" si="7"/>
        <v/>
      </c>
      <c r="M77" s="77" t="str" cm="1">
        <f t="array" ref="M77">IF(OR(UPPER(TRIM($C77))="BRAZIL",UPPER(TRIM($C77))="INDIA",UPPER(TRIM($C77))="PHILIPPINES"),
   "UNDP OP8 COB - RPA",
   IFERROR(
     VLOOKUP($C77,$BF:$BG,2,0),
     _xlfn.SWITCH(UPPER(TRIM($K77)),
       "N/A","N/A",
       "VACANT","UNDP OP8 COB - Vacant",
       "UNDP","UNDP OP8 COB - UNDP CO",
       "UN COMPOUND","UNDP OP8 COB - UN Compound",
       "UNDP - WFH","UNDP OP8 COB - UNDP WFH",
"UNICEF","UNDP OP8 COB - UNICEF",
       "NHI","n.End of June 2026",
       "PRIVATE LEASE","k.End of Mar 2026",
       ""
     )
   )
)</f>
        <v>N/A</v>
      </c>
      <c r="N77" s="77" t="str">
        <f t="shared" si="8"/>
        <v>N/A</v>
      </c>
      <c r="O77" s="79" t="str">
        <f>IFERROR(VLOOKUP($C77,'[15]2024 COBs'!$AA:$AK,5,0),"")</f>
        <v/>
      </c>
      <c r="P77" s="79" t="str">
        <f>IFERROR((VLOOKUP($C77,'[15]2024 COBs'!$AA:$AK,8,0)+VLOOKUP($C77,'[15]2024 COBs'!$AA:$AK,9,0)+VLOOKUP($C77,'[15]2024 COBs'!$AA:$AK,10,0)+VLOOKUP($C77,'[15]2024 COBs'!$AA:$AK,11,0))*5%,"")</f>
        <v/>
      </c>
      <c r="Q77" s="79" t="str">
        <f>IFERROR((VLOOKUP($C77,'[15]2024 COBs'!$AA:$AK,8,0)+VLOOKUP($C77,'[15]2024 COBs'!$AA:$AK,9,0)+VLOOKUP($C77,'[15]2024 COBs'!$AA:$AK,10,0)+VLOOKUP($C77,'[15]2024 COBs'!$AA:$AK,11,0))*16%,"")</f>
        <v/>
      </c>
      <c r="R77" s="79"/>
      <c r="S77" s="79" t="str">
        <f>IFERROR(VLOOKUP($C77,'[15]2024 COBs'!$AA:$AK,7,0),"")</f>
        <v/>
      </c>
      <c r="T77" s="79" t="str">
        <f>IFERROR((VLOOKUP($C77,'[15]2024 COBs'!$AA:$AK,8,0)+VLOOKUP($C77,'[15]2024 COBs'!$AA:$AK,9,0)+VLOOKUP($C77,'[15]2024 COBs'!$AA:$AK,10,0)+VLOOKUP($C77,'[15]2024 COBs'!$AA:$AK,11,0))*20%,"")</f>
        <v/>
      </c>
      <c r="U77" s="79" t="str">
        <f>IFERROR(VLOOKUP($C77,'[15]2024 COBs'!$AA:$AK,6,0),"")</f>
        <v/>
      </c>
      <c r="V77" s="79" t="str">
        <f>IFERROR((VLOOKUP($C77,'[15]2024 COBs'!$AA:$AK,8,0)+VLOOKUP($C77,'[15]2024 COBs'!$AA:$AK,9,0)+VLOOKUP($C77,'[15]2024 COBs'!$AA:$AK,10,0)+VLOOKUP($C77,'[15]2024 COBs'!$AA:$AK,11,0))*18%,"")</f>
        <v/>
      </c>
      <c r="W77" s="79" t="str">
        <f>IFERROR((VLOOKUP($C77,'[15]2024 COBs'!$AA:$AK,8,0)+VLOOKUP($C77,'[15]2024 COBs'!$AA:$AK,9,0)+VLOOKUP($C77,'[15]2024 COBs'!$AA:$AK,10,0)+VLOOKUP($C77,'[15]2024 COBs'!$AA:$AK,11,0))*27%,"")</f>
        <v/>
      </c>
      <c r="X77" s="79" t="str">
        <f>IFERROR((VLOOKUP($C77,'[15]2024 COBs'!$AA:$AK,8,0)+VLOOKUP($C77,'[15]2024 COBs'!$AA:$AK,9,0)+VLOOKUP($C77,'[15]2024 COBs'!$AA:$AK,10,0)+VLOOKUP($C77,'[15]2024 COBs'!$AA:$AK,11,0))*14%,"")</f>
        <v/>
      </c>
      <c r="Y77" s="79" t="str">
        <f>IFERROR(VLOOKUP($C77,'[15]2024 COBs'!$AA:$AK,4,0),"")</f>
        <v/>
      </c>
      <c r="Z77" s="80">
        <f t="shared" si="6"/>
        <v>0</v>
      </c>
      <c r="AF77" s="82" t="s">
        <v>574</v>
      </c>
      <c r="AG77" s="82" t="s">
        <v>574</v>
      </c>
      <c r="AH77" s="83" t="s">
        <v>575</v>
      </c>
      <c r="AI77" s="83" t="s">
        <v>388</v>
      </c>
      <c r="AJ77" s="83"/>
      <c r="AK77" s="83"/>
      <c r="AL77" s="83">
        <v>3</v>
      </c>
      <c r="AM77" s="84" t="s">
        <v>401</v>
      </c>
      <c r="AN77" s="84" t="s">
        <v>395</v>
      </c>
      <c r="AO77" s="85">
        <v>1000</v>
      </c>
      <c r="AP77" s="85"/>
      <c r="AQ77" s="85"/>
      <c r="AR77" s="85"/>
      <c r="AS77" s="85"/>
      <c r="AT77" s="85"/>
      <c r="AU77" s="85"/>
      <c r="AV77" s="85"/>
      <c r="AW77" s="85"/>
      <c r="AX77" s="85">
        <v>300</v>
      </c>
      <c r="AY77" s="85">
        <f>935+1150+1200</f>
        <v>3285</v>
      </c>
      <c r="AZ77" s="86">
        <f t="shared" si="9"/>
        <v>4585</v>
      </c>
      <c r="BK77" s="65" t="s">
        <v>211</v>
      </c>
      <c r="BL77" s="65" t="s">
        <v>411</v>
      </c>
      <c r="BM77" s="65" t="s">
        <v>415</v>
      </c>
      <c r="BN77" s="65">
        <v>1</v>
      </c>
    </row>
    <row r="78" spans="2:66" x14ac:dyDescent="0.25">
      <c r="B78" s="76" t="s">
        <v>228</v>
      </c>
      <c r="C78" s="76" t="s">
        <v>576</v>
      </c>
      <c r="D78" s="77" t="s">
        <v>577</v>
      </c>
      <c r="E78" s="77" t="s">
        <v>400</v>
      </c>
      <c r="F78" s="77"/>
      <c r="G78" s="77"/>
      <c r="H78" s="77">
        <v>3</v>
      </c>
      <c r="I78" s="77" t="s">
        <v>401</v>
      </c>
      <c r="J78" s="77" t="s">
        <v>395</v>
      </c>
      <c r="K78" s="77" t="s">
        <v>425</v>
      </c>
      <c r="L78" s="78" t="str">
        <f t="shared" si="7"/>
        <v/>
      </c>
      <c r="M78" s="77" t="str" cm="1">
        <f t="array" ref="M78">IF(OR(UPPER(TRIM($C78))="BRAZIL",UPPER(TRIM($C78))="INDIA",UPPER(TRIM($C78))="PHILIPPINES"),
   "UNDP OP8 COB - RPA",
   IFERROR(
     VLOOKUP($C78,$BF:$BG,2,0),
     _xlfn.SWITCH(UPPER(TRIM($K78)),
       "N/A","N/A",
       "VACANT","UNDP OP8 COB - Vacant",
       "UNDP","UNDP OP8 COB - UNDP CO",
       "UN COMPOUND","UNDP OP8 COB - UN Compound",
       "UNDP - WFH","UNDP OP8 COB - UNDP WFH",
"UNICEF","UNDP OP8 COB - UNICEF",
       "NHI","n.End of June 2026",
       "PRIVATE LEASE","k.End of Mar 2026",
       ""
     )
   )
)</f>
        <v>k.End of Mar 2026</v>
      </c>
      <c r="N78" s="77" t="str">
        <f t="shared" si="8"/>
        <v>UNOPS Action</v>
      </c>
      <c r="O78" s="79">
        <f>IFERROR(VLOOKUP($C78,'[15]2024 COBs'!$AA:$AK,5,0),"")</f>
        <v>4275</v>
      </c>
      <c r="P78" s="79">
        <f>IFERROR((VLOOKUP($C78,'[15]2024 COBs'!$AA:$AK,8,0)+VLOOKUP($C78,'[15]2024 COBs'!$AA:$AK,9,0)+VLOOKUP($C78,'[15]2024 COBs'!$AA:$AK,10,0)+VLOOKUP($C78,'[15]2024 COBs'!$AA:$AK,11,0))*5%,"")</f>
        <v>126.75</v>
      </c>
      <c r="Q78" s="79">
        <f>IFERROR((VLOOKUP($C78,'[15]2024 COBs'!$AA:$AK,8,0)+VLOOKUP($C78,'[15]2024 COBs'!$AA:$AK,9,0)+VLOOKUP($C78,'[15]2024 COBs'!$AA:$AK,10,0)+VLOOKUP($C78,'[15]2024 COBs'!$AA:$AK,11,0))*16%,"")</f>
        <v>405.6</v>
      </c>
      <c r="R78" s="79"/>
      <c r="S78" s="79">
        <f>IFERROR(VLOOKUP($C78,'[15]2024 COBs'!$AA:$AK,7,0),"")</f>
        <v>720</v>
      </c>
      <c r="T78" s="79">
        <f>IFERROR((VLOOKUP($C78,'[15]2024 COBs'!$AA:$AK,8,0)+VLOOKUP($C78,'[15]2024 COBs'!$AA:$AK,9,0)+VLOOKUP($C78,'[15]2024 COBs'!$AA:$AK,10,0)+VLOOKUP($C78,'[15]2024 COBs'!$AA:$AK,11,0))*20%,"")</f>
        <v>507</v>
      </c>
      <c r="U78" s="79">
        <f>IFERROR(VLOOKUP($C78,'[15]2024 COBs'!$AA:$AK,6,0),"")</f>
        <v>9135</v>
      </c>
      <c r="V78" s="79">
        <f>IFERROR((VLOOKUP($C78,'[15]2024 COBs'!$AA:$AK,8,0)+VLOOKUP($C78,'[15]2024 COBs'!$AA:$AK,9,0)+VLOOKUP($C78,'[15]2024 COBs'!$AA:$AK,10,0)+VLOOKUP($C78,'[15]2024 COBs'!$AA:$AK,11,0))*18%,"")</f>
        <v>456.3</v>
      </c>
      <c r="W78" s="79">
        <f>IFERROR((VLOOKUP($C78,'[15]2024 COBs'!$AA:$AK,8,0)+VLOOKUP($C78,'[15]2024 COBs'!$AA:$AK,9,0)+VLOOKUP($C78,'[15]2024 COBs'!$AA:$AK,10,0)+VLOOKUP($C78,'[15]2024 COBs'!$AA:$AK,11,0))*27%,"")</f>
        <v>684.45</v>
      </c>
      <c r="X78" s="79">
        <f>IFERROR((VLOOKUP($C78,'[15]2024 COBs'!$AA:$AK,8,0)+VLOOKUP($C78,'[15]2024 COBs'!$AA:$AK,9,0)+VLOOKUP($C78,'[15]2024 COBs'!$AA:$AK,10,0)+VLOOKUP($C78,'[15]2024 COBs'!$AA:$AK,11,0))*14%,"")</f>
        <v>354.90000000000003</v>
      </c>
      <c r="Y78" s="79">
        <f>IFERROR(VLOOKUP($C78,'[15]2024 COBs'!$AA:$AK,4,0),"")</f>
        <v>585</v>
      </c>
      <c r="Z78" s="80">
        <f t="shared" si="6"/>
        <v>17250</v>
      </c>
      <c r="AF78" s="76" t="s">
        <v>244</v>
      </c>
      <c r="AG78" s="76" t="s">
        <v>244</v>
      </c>
      <c r="AH78" s="78" t="s">
        <v>578</v>
      </c>
      <c r="AI78" s="78" t="s">
        <v>388</v>
      </c>
      <c r="AJ78" s="78"/>
      <c r="AK78" s="78"/>
      <c r="AL78" s="78">
        <v>2</v>
      </c>
      <c r="AM78" s="77" t="s">
        <v>401</v>
      </c>
      <c r="AN78" s="77" t="s">
        <v>390</v>
      </c>
      <c r="AO78" s="79"/>
      <c r="AP78" s="79"/>
      <c r="AQ78" s="79"/>
      <c r="AR78" s="79"/>
      <c r="AS78" s="79"/>
      <c r="AT78" s="79"/>
      <c r="AU78" s="79"/>
      <c r="AV78" s="79"/>
      <c r="AW78" s="79"/>
      <c r="AX78" s="79"/>
      <c r="AY78" s="79"/>
      <c r="AZ78" s="80">
        <f t="shared" si="9"/>
        <v>0</v>
      </c>
      <c r="BK78" s="65" t="s">
        <v>212</v>
      </c>
      <c r="BL78" s="65" t="s">
        <v>397</v>
      </c>
      <c r="BM78" s="65" t="s">
        <v>456</v>
      </c>
      <c r="BN78" s="65">
        <v>2</v>
      </c>
    </row>
    <row r="79" spans="2:66" x14ac:dyDescent="0.25">
      <c r="B79" s="76" t="s">
        <v>213</v>
      </c>
      <c r="C79" s="76" t="s">
        <v>213</v>
      </c>
      <c r="D79" s="77" t="s">
        <v>480</v>
      </c>
      <c r="E79" s="77" t="s">
        <v>394</v>
      </c>
      <c r="F79" s="77"/>
      <c r="G79" s="77"/>
      <c r="H79" s="77">
        <v>1</v>
      </c>
      <c r="I79" s="77" t="s">
        <v>401</v>
      </c>
      <c r="J79" s="77" t="s">
        <v>390</v>
      </c>
      <c r="K79" s="77" t="s">
        <v>17</v>
      </c>
      <c r="L79" s="78" t="str">
        <f t="shared" si="7"/>
        <v/>
      </c>
      <c r="M79" s="77" t="str" cm="1">
        <f t="array" ref="M79">IF(OR(UPPER(TRIM($C79))="BRAZIL",UPPER(TRIM($C79))="INDIA",UPPER(TRIM($C79))="PHILIPPINES"),
   "UNDP OP8 COB - RPA",
   IFERROR(
     VLOOKUP($C79,$BF:$BG,2,0),
     _xlfn.SWITCH(UPPER(TRIM($K79)),
       "N/A","N/A",
       "VACANT","UNDP OP8 COB - Vacant",
       "UNDP","UNDP OP8 COB - UNDP CO",
       "UN COMPOUND","UNDP OP8 COB - UN Compound",
       "UNDP - WFH","UNDP OP8 COB - UNDP WFH",
"UNICEF","UNDP OP8 COB - UNICEF",
       "NHI","n.End of June 2026",
       "PRIVATE LEASE","k.End of Mar 2026",
       ""
     )
   )
)</f>
        <v>UNDP OP8 COB - UNDP CO</v>
      </c>
      <c r="N79" s="77" t="str">
        <f t="shared" si="8"/>
        <v>UNDP Action</v>
      </c>
      <c r="O79" s="79">
        <f>IFERROR(VLOOKUP($C79,'[15]2024 COBs'!$AA:$AK,5,0),"")</f>
        <v>19456.292272727274</v>
      </c>
      <c r="P79" s="79">
        <f>IFERROR((VLOOKUP($C79,'[15]2024 COBs'!$AA:$AK,8,0)+VLOOKUP($C79,'[15]2024 COBs'!$AA:$AK,9,0)+VLOOKUP($C79,'[15]2024 COBs'!$AA:$AK,10,0)+VLOOKUP($C79,'[15]2024 COBs'!$AA:$AK,11,0))*5%,"")</f>
        <v>186.6704431818182</v>
      </c>
      <c r="Q79" s="79">
        <f>IFERROR((VLOOKUP($C79,'[15]2024 COBs'!$AA:$AK,8,0)+VLOOKUP($C79,'[15]2024 COBs'!$AA:$AK,9,0)+VLOOKUP($C79,'[15]2024 COBs'!$AA:$AK,10,0)+VLOOKUP($C79,'[15]2024 COBs'!$AA:$AK,11,0))*16%,"")</f>
        <v>597.34541818181822</v>
      </c>
      <c r="R79" s="79"/>
      <c r="S79" s="79">
        <f>IFERROR(VLOOKUP($C79,'[15]2024 COBs'!$AA:$AK,7,0),"")</f>
        <v>0</v>
      </c>
      <c r="T79" s="79">
        <f>IFERROR((VLOOKUP($C79,'[15]2024 COBs'!$AA:$AK,8,0)+VLOOKUP($C79,'[15]2024 COBs'!$AA:$AK,9,0)+VLOOKUP($C79,'[15]2024 COBs'!$AA:$AK,10,0)+VLOOKUP($C79,'[15]2024 COBs'!$AA:$AK,11,0))*20%,"")</f>
        <v>746.6817727272728</v>
      </c>
      <c r="U79" s="79">
        <f>IFERROR(VLOOKUP($C79,'[15]2024 COBs'!$AA:$AK,6,0),"")</f>
        <v>11838.719318181818</v>
      </c>
      <c r="V79" s="79">
        <f>IFERROR((VLOOKUP($C79,'[15]2024 COBs'!$AA:$AK,8,0)+VLOOKUP($C79,'[15]2024 COBs'!$AA:$AK,9,0)+VLOOKUP($C79,'[15]2024 COBs'!$AA:$AK,10,0)+VLOOKUP($C79,'[15]2024 COBs'!$AA:$AK,11,0))*18%,"")</f>
        <v>672.01359545454545</v>
      </c>
      <c r="W79" s="79">
        <f>IFERROR((VLOOKUP($C79,'[15]2024 COBs'!$AA:$AK,8,0)+VLOOKUP($C79,'[15]2024 COBs'!$AA:$AK,9,0)+VLOOKUP($C79,'[15]2024 COBs'!$AA:$AK,10,0)+VLOOKUP($C79,'[15]2024 COBs'!$AA:$AK,11,0))*27%,"")</f>
        <v>1008.0203931818182</v>
      </c>
      <c r="X79" s="79">
        <f>IFERROR((VLOOKUP($C79,'[15]2024 COBs'!$AA:$AK,8,0)+VLOOKUP($C79,'[15]2024 COBs'!$AA:$AK,9,0)+VLOOKUP($C79,'[15]2024 COBs'!$AA:$AK,10,0)+VLOOKUP($C79,'[15]2024 COBs'!$AA:$AK,11,0))*14%,"")</f>
        <v>522.67724090909098</v>
      </c>
      <c r="Y79" s="79">
        <f>IFERROR(VLOOKUP($C79,'[15]2024 COBs'!$AA:$AK,4,0),"")</f>
        <v>3990.5795454545455</v>
      </c>
      <c r="Z79" s="80">
        <f t="shared" si="6"/>
        <v>39019</v>
      </c>
      <c r="AF79" s="76" t="s">
        <v>579</v>
      </c>
      <c r="AG79" s="76" t="s">
        <v>579</v>
      </c>
      <c r="AH79" s="78" t="s">
        <v>580</v>
      </c>
      <c r="AI79" s="78" t="s">
        <v>388</v>
      </c>
      <c r="AJ79" s="78" t="s">
        <v>409</v>
      </c>
      <c r="AK79" s="78"/>
      <c r="AL79" s="78">
        <v>5</v>
      </c>
      <c r="AM79" s="77" t="s">
        <v>421</v>
      </c>
      <c r="AN79" s="77" t="s">
        <v>439</v>
      </c>
      <c r="AO79" s="79"/>
      <c r="AP79" s="79"/>
      <c r="AQ79" s="79"/>
      <c r="AR79" s="79"/>
      <c r="AS79" s="79"/>
      <c r="AT79" s="79"/>
      <c r="AU79" s="79"/>
      <c r="AV79" s="79"/>
      <c r="AW79" s="79"/>
      <c r="AX79" s="79"/>
      <c r="AY79" s="79"/>
      <c r="AZ79" s="80">
        <f t="shared" si="9"/>
        <v>0</v>
      </c>
      <c r="BK79" s="65" t="s">
        <v>576</v>
      </c>
      <c r="BL79" s="65" t="s">
        <v>397</v>
      </c>
      <c r="BM79" s="65" t="s">
        <v>398</v>
      </c>
      <c r="BN79" s="65">
        <v>2</v>
      </c>
    </row>
    <row r="80" spans="2:66" x14ac:dyDescent="0.25">
      <c r="B80" s="76" t="s">
        <v>483</v>
      </c>
      <c r="C80" s="76" t="s">
        <v>483</v>
      </c>
      <c r="D80" s="77" t="s">
        <v>484</v>
      </c>
      <c r="E80" s="77" t="s">
        <v>394</v>
      </c>
      <c r="F80" s="77"/>
      <c r="G80" s="77"/>
      <c r="H80" s="77">
        <v>3</v>
      </c>
      <c r="I80" s="77" t="s">
        <v>389</v>
      </c>
      <c r="J80" s="77" t="s">
        <v>395</v>
      </c>
      <c r="K80" s="77" t="s">
        <v>17</v>
      </c>
      <c r="L80" s="78" t="str">
        <f t="shared" si="7"/>
        <v/>
      </c>
      <c r="M80" s="77" t="str" cm="1">
        <f t="array" ref="M80">IF(OR(UPPER(TRIM($C80))="BRAZIL",UPPER(TRIM($C80))="INDIA",UPPER(TRIM($C80))="PHILIPPINES"),
   "UNDP OP8 COB - RPA",
   IFERROR(
     VLOOKUP($C80,$BF:$BG,2,0),
     _xlfn.SWITCH(UPPER(TRIM($K80)),
       "N/A","N/A",
       "VACANT","UNDP OP8 COB - Vacant",
       "UNDP","UNDP OP8 COB - UNDP CO",
       "UN COMPOUND","UNDP OP8 COB - UN Compound",
       "UNDP - WFH","UNDP OP8 COB - UNDP WFH",
"UNICEF","UNDP OP8 COB - UNICEF",
       "NHI","n.End of June 2026",
       "PRIVATE LEASE","k.End of Mar 2026",
       ""
     )
   )
)</f>
        <v>UNDP OP8 COB - UNDP CO</v>
      </c>
      <c r="N80" s="77" t="str">
        <f t="shared" si="8"/>
        <v>UNDP Action</v>
      </c>
      <c r="O80" s="79">
        <f>IFERROR(VLOOKUP($C80,'[15]2024 COBs'!$AA:$AK,5,0),"")</f>
        <v>5376</v>
      </c>
      <c r="P80" s="79">
        <f>IFERROR((VLOOKUP($C80,'[15]2024 COBs'!$AA:$AK,8,0)+VLOOKUP($C80,'[15]2024 COBs'!$AA:$AK,9,0)+VLOOKUP($C80,'[15]2024 COBs'!$AA:$AK,10,0)+VLOOKUP($C80,'[15]2024 COBs'!$AA:$AK,11,0))*5%,"")</f>
        <v>11.625</v>
      </c>
      <c r="Q80" s="79">
        <f>IFERROR((VLOOKUP($C80,'[15]2024 COBs'!$AA:$AK,8,0)+VLOOKUP($C80,'[15]2024 COBs'!$AA:$AK,9,0)+VLOOKUP($C80,'[15]2024 COBs'!$AA:$AK,10,0)+VLOOKUP($C80,'[15]2024 COBs'!$AA:$AK,11,0))*16%,"")</f>
        <v>37.200000000000003</v>
      </c>
      <c r="R80" s="79"/>
      <c r="S80" s="79">
        <f>IFERROR(VLOOKUP($C80,'[15]2024 COBs'!$AA:$AK,7,0),"")</f>
        <v>300</v>
      </c>
      <c r="T80" s="79">
        <f>IFERROR((VLOOKUP($C80,'[15]2024 COBs'!$AA:$AK,8,0)+VLOOKUP($C80,'[15]2024 COBs'!$AA:$AK,9,0)+VLOOKUP($C80,'[15]2024 COBs'!$AA:$AK,10,0)+VLOOKUP($C80,'[15]2024 COBs'!$AA:$AK,11,0))*20%,"")</f>
        <v>46.5</v>
      </c>
      <c r="U80" s="79">
        <f>IFERROR(VLOOKUP($C80,'[15]2024 COBs'!$AA:$AK,6,0),"")</f>
        <v>3000</v>
      </c>
      <c r="V80" s="79">
        <f>IFERROR((VLOOKUP($C80,'[15]2024 COBs'!$AA:$AK,8,0)+VLOOKUP($C80,'[15]2024 COBs'!$AA:$AK,9,0)+VLOOKUP($C80,'[15]2024 COBs'!$AA:$AK,10,0)+VLOOKUP($C80,'[15]2024 COBs'!$AA:$AK,11,0))*18%,"")</f>
        <v>41.85</v>
      </c>
      <c r="W80" s="79">
        <f>IFERROR((VLOOKUP($C80,'[15]2024 COBs'!$AA:$AK,8,0)+VLOOKUP($C80,'[15]2024 COBs'!$AA:$AK,9,0)+VLOOKUP($C80,'[15]2024 COBs'!$AA:$AK,10,0)+VLOOKUP($C80,'[15]2024 COBs'!$AA:$AK,11,0))*27%,"")</f>
        <v>62.775000000000006</v>
      </c>
      <c r="X80" s="79">
        <f>IFERROR((VLOOKUP($C80,'[15]2024 COBs'!$AA:$AK,8,0)+VLOOKUP($C80,'[15]2024 COBs'!$AA:$AK,9,0)+VLOOKUP($C80,'[15]2024 COBs'!$AA:$AK,10,0)+VLOOKUP($C80,'[15]2024 COBs'!$AA:$AK,11,0))*14%,"")</f>
        <v>32.550000000000004</v>
      </c>
      <c r="Y80" s="79">
        <f>IFERROR(VLOOKUP($C80,'[15]2024 COBs'!$AA:$AK,4,0),"")</f>
        <v>6443.25</v>
      </c>
      <c r="Z80" s="80">
        <f t="shared" si="6"/>
        <v>15351.75</v>
      </c>
      <c r="AF80" s="82" t="s">
        <v>246</v>
      </c>
      <c r="AG80" s="82" t="s">
        <v>246</v>
      </c>
      <c r="AH80" s="83" t="s">
        <v>581</v>
      </c>
      <c r="AI80" s="83" t="s">
        <v>388</v>
      </c>
      <c r="AJ80" s="83" t="s">
        <v>409</v>
      </c>
      <c r="AK80" s="83" t="s">
        <v>463</v>
      </c>
      <c r="AL80" s="83">
        <v>4</v>
      </c>
      <c r="AM80" s="84" t="s">
        <v>401</v>
      </c>
      <c r="AN80" s="84" t="s">
        <v>390</v>
      </c>
      <c r="AO80" s="85"/>
      <c r="AP80" s="85"/>
      <c r="AQ80" s="85"/>
      <c r="AR80" s="85">
        <v>4000</v>
      </c>
      <c r="AS80" s="85"/>
      <c r="AT80" s="85"/>
      <c r="AU80" s="85"/>
      <c r="AV80" s="85"/>
      <c r="AW80" s="85"/>
      <c r="AX80" s="85"/>
      <c r="AY80" s="85"/>
      <c r="AZ80" s="86">
        <f t="shared" si="9"/>
        <v>4000</v>
      </c>
      <c r="BK80" s="65" t="s">
        <v>213</v>
      </c>
      <c r="BL80" s="65" t="s">
        <v>397</v>
      </c>
      <c r="BM80" s="65" t="s">
        <v>398</v>
      </c>
      <c r="BN80" s="65">
        <v>2</v>
      </c>
    </row>
    <row r="81" spans="2:66" x14ac:dyDescent="0.25">
      <c r="B81" s="76" t="s">
        <v>489</v>
      </c>
      <c r="C81" s="76" t="s">
        <v>489</v>
      </c>
      <c r="D81" s="77" t="s">
        <v>545</v>
      </c>
      <c r="E81" s="77" t="s">
        <v>388</v>
      </c>
      <c r="F81" s="77"/>
      <c r="G81" s="77"/>
      <c r="H81" s="77">
        <v>1</v>
      </c>
      <c r="I81" s="77" t="s">
        <v>389</v>
      </c>
      <c r="J81" s="77" t="s">
        <v>390</v>
      </c>
      <c r="K81" s="77" t="s">
        <v>17</v>
      </c>
      <c r="L81" s="78" t="str">
        <f t="shared" si="7"/>
        <v>Yes</v>
      </c>
      <c r="M81" s="77" t="str" cm="1">
        <f t="array" ref="M81">IF(OR(UPPER(TRIM($C81))="BRAZIL",UPPER(TRIM($C81))="INDIA",UPPER(TRIM($C81))="PHILIPPINES"),
   "UNDP OP8 COB - RPA",
   IFERROR(
     VLOOKUP($C81,$BF:$BG,2,0),
     _xlfn.SWITCH(UPPER(TRIM($K81)),
       "N/A","N/A",
       "VACANT","UNDP OP8 COB - Vacant",
       "UNDP","UNDP OP8 COB - UNDP CO",
       "UN COMPOUND","UNDP OP8 COB - UN Compound",
       "UNDP - WFH","UNDP OP8 COB - UNDP WFH",
"UNICEF","UNDP OP8 COB - UNICEF",
       "NHI","n.End of June 2026",
       "PRIVATE LEASE","k.End of Mar 2026",
       ""
     )
   )
)</f>
        <v>l2. 19 Apr 2026</v>
      </c>
      <c r="N81" s="77" t="str">
        <f t="shared" si="8"/>
        <v>UNOPS Action</v>
      </c>
      <c r="O81" s="79">
        <f>IFERROR(VLOOKUP($C81,'[15]2024 COBs'!$AA:$AK,5,0),"")</f>
        <v>8604.9880036294471</v>
      </c>
      <c r="P81" s="79">
        <f>IFERROR((VLOOKUP($C81,'[15]2024 COBs'!$AA:$AK,8,0)+VLOOKUP($C81,'[15]2024 COBs'!$AA:$AK,9,0)+VLOOKUP($C81,'[15]2024 COBs'!$AA:$AK,10,0)+VLOOKUP($C81,'[15]2024 COBs'!$AA:$AK,11,0))*5%,"")</f>
        <v>275.52134280621465</v>
      </c>
      <c r="Q81" s="79">
        <f>IFERROR((VLOOKUP($C81,'[15]2024 COBs'!$AA:$AK,8,0)+VLOOKUP($C81,'[15]2024 COBs'!$AA:$AK,9,0)+VLOOKUP($C81,'[15]2024 COBs'!$AA:$AK,10,0)+VLOOKUP($C81,'[15]2024 COBs'!$AA:$AK,11,0))*16%,"")</f>
        <v>881.6682969798868</v>
      </c>
      <c r="R81" s="79"/>
      <c r="S81" s="79">
        <f>IFERROR(VLOOKUP($C81,'[15]2024 COBs'!$AA:$AK,7,0),"")</f>
        <v>455.77703546194442</v>
      </c>
      <c r="T81" s="79">
        <f>IFERROR((VLOOKUP($C81,'[15]2024 COBs'!$AA:$AK,8,0)+VLOOKUP($C81,'[15]2024 COBs'!$AA:$AK,9,0)+VLOOKUP($C81,'[15]2024 COBs'!$AA:$AK,10,0)+VLOOKUP($C81,'[15]2024 COBs'!$AA:$AK,11,0))*20%,"")</f>
        <v>1102.0853712248586</v>
      </c>
      <c r="U81" s="79">
        <f>IFERROR(VLOOKUP($C81,'[15]2024 COBs'!$AA:$AK,6,0),"")</f>
        <v>11234.887044752235</v>
      </c>
      <c r="V81" s="79">
        <f>IFERROR((VLOOKUP($C81,'[15]2024 COBs'!$AA:$AK,8,0)+VLOOKUP($C81,'[15]2024 COBs'!$AA:$AK,9,0)+VLOOKUP($C81,'[15]2024 COBs'!$AA:$AK,10,0)+VLOOKUP($C81,'[15]2024 COBs'!$AA:$AK,11,0))*18%,"")</f>
        <v>991.87683410237264</v>
      </c>
      <c r="W81" s="79">
        <f>IFERROR((VLOOKUP($C81,'[15]2024 COBs'!$AA:$AK,8,0)+VLOOKUP($C81,'[15]2024 COBs'!$AA:$AK,9,0)+VLOOKUP($C81,'[15]2024 COBs'!$AA:$AK,10,0)+VLOOKUP($C81,'[15]2024 COBs'!$AA:$AK,11,0))*27%,"")</f>
        <v>1487.8152511535591</v>
      </c>
      <c r="X81" s="79">
        <f>IFERROR((VLOOKUP($C81,'[15]2024 COBs'!$AA:$AK,8,0)+VLOOKUP($C81,'[15]2024 COBs'!$AA:$AK,9,0)+VLOOKUP($C81,'[15]2024 COBs'!$AA:$AK,10,0)+VLOOKUP($C81,'[15]2024 COBs'!$AA:$AK,11,0))*14%,"")</f>
        <v>771.45975985740097</v>
      </c>
      <c r="Y81" s="79">
        <f>IFERROR(VLOOKUP($C81,'[15]2024 COBs'!$AA:$AK,4,0),"")</f>
        <v>3665.7119680711562</v>
      </c>
      <c r="Z81" s="80">
        <f t="shared" si="6"/>
        <v>29471.790908039075</v>
      </c>
      <c r="AF81" s="82" t="s">
        <v>527</v>
      </c>
      <c r="AG81" s="82" t="s">
        <v>527</v>
      </c>
      <c r="AH81" s="83" t="s">
        <v>582</v>
      </c>
      <c r="AI81" s="83" t="s">
        <v>388</v>
      </c>
      <c r="AJ81" s="83" t="s">
        <v>409</v>
      </c>
      <c r="AK81" s="83" t="s">
        <v>463</v>
      </c>
      <c r="AL81" s="83">
        <v>4</v>
      </c>
      <c r="AM81" s="84" t="s">
        <v>389</v>
      </c>
      <c r="AN81" s="84" t="s">
        <v>395</v>
      </c>
      <c r="AO81" s="85"/>
      <c r="AP81" s="85"/>
      <c r="AQ81" s="85"/>
      <c r="AR81" s="85">
        <v>4000</v>
      </c>
      <c r="AS81" s="85"/>
      <c r="AT81" s="85"/>
      <c r="AU81" s="85"/>
      <c r="AV81" s="85"/>
      <c r="AW81" s="85"/>
      <c r="AX81" s="85"/>
      <c r="AY81" s="85"/>
      <c r="AZ81" s="86">
        <f t="shared" si="9"/>
        <v>4000</v>
      </c>
      <c r="BK81" s="65" t="s">
        <v>489</v>
      </c>
      <c r="BL81" s="65" t="s">
        <v>411</v>
      </c>
      <c r="BM81" s="65" t="s">
        <v>490</v>
      </c>
      <c r="BN81" s="65">
        <v>1</v>
      </c>
    </row>
    <row r="82" spans="2:66" x14ac:dyDescent="0.25">
      <c r="B82" s="76" t="s">
        <v>215</v>
      </c>
      <c r="C82" s="76" t="s">
        <v>215</v>
      </c>
      <c r="D82" s="77" t="s">
        <v>546</v>
      </c>
      <c r="E82" s="77" t="s">
        <v>388</v>
      </c>
      <c r="F82" s="77"/>
      <c r="G82" s="77"/>
      <c r="H82" s="77">
        <v>3</v>
      </c>
      <c r="I82" s="77" t="s">
        <v>401</v>
      </c>
      <c r="J82" s="77" t="s">
        <v>395</v>
      </c>
      <c r="K82" s="77" t="s">
        <v>17</v>
      </c>
      <c r="L82" s="78" t="str">
        <f t="shared" si="7"/>
        <v>Yes</v>
      </c>
      <c r="M82" s="77" t="str" cm="1">
        <f t="array" ref="M82">IF(OR(UPPER(TRIM($C82))="BRAZIL",UPPER(TRIM($C82))="INDIA",UPPER(TRIM($C82))="PHILIPPINES"),
   "UNDP OP8 COB - RPA",
   IFERROR(
     VLOOKUP($C82,$BF:$BG,2,0),
     _xlfn.SWITCH(UPPER(TRIM($K82)),
       "N/A","N/A",
       "VACANT","UNDP OP8 COB - Vacant",
       "UNDP","UNDP OP8 COB - UNDP CO",
       "UN COMPOUND","UNDP OP8 COB - UN Compound",
       "UNDP - WFH","UNDP OP8 COB - UNDP WFH",
"UNICEF","UNDP OP8 COB - UNICEF",
       "NHI","n.End of June 2026",
       "PRIVATE LEASE","k.End of Mar 2026",
       ""
     )
   )
)</f>
        <v>n.End of June 2026</v>
      </c>
      <c r="N82" s="77" t="str">
        <f t="shared" si="8"/>
        <v>UNOPS Action</v>
      </c>
      <c r="O82" s="79">
        <f>IFERROR(VLOOKUP($C82,'[15]2024 COBs'!$AA:$AK,5,0),"")</f>
        <v>10044.497856307653</v>
      </c>
      <c r="P82" s="79">
        <f>IFERROR((VLOOKUP($C82,'[15]2024 COBs'!$AA:$AK,8,0)+VLOOKUP($C82,'[15]2024 COBs'!$AA:$AK,9,0)+VLOOKUP($C82,'[15]2024 COBs'!$AA:$AK,10,0)+VLOOKUP($C82,'[15]2024 COBs'!$AA:$AK,11,0))*5%,"")</f>
        <v>250.79102247628944</v>
      </c>
      <c r="Q82" s="79">
        <f>IFERROR((VLOOKUP($C82,'[15]2024 COBs'!$AA:$AK,8,0)+VLOOKUP($C82,'[15]2024 COBs'!$AA:$AK,9,0)+VLOOKUP($C82,'[15]2024 COBs'!$AA:$AK,10,0)+VLOOKUP($C82,'[15]2024 COBs'!$AA:$AK,11,0))*16%,"")</f>
        <v>802.53127192412626</v>
      </c>
      <c r="R82" s="79"/>
      <c r="S82" s="79">
        <f>IFERROR(VLOOKUP($C82,'[15]2024 COBs'!$AA:$AK,7,0),"")</f>
        <v>160.71196570092243</v>
      </c>
      <c r="T82" s="79">
        <f>IFERROR((VLOOKUP($C82,'[15]2024 COBs'!$AA:$AK,8,0)+VLOOKUP($C82,'[15]2024 COBs'!$AA:$AK,9,0)+VLOOKUP($C82,'[15]2024 COBs'!$AA:$AK,10,0)+VLOOKUP($C82,'[15]2024 COBs'!$AA:$AK,11,0))*20%,"")</f>
        <v>1003.1640899051578</v>
      </c>
      <c r="U82" s="79">
        <f>IFERROR(VLOOKUP($C82,'[15]2024 COBs'!$AA:$AK,6,0),"")</f>
        <v>9355.8470832792009</v>
      </c>
      <c r="V82" s="79">
        <f>IFERROR((VLOOKUP($C82,'[15]2024 COBs'!$AA:$AK,8,0)+VLOOKUP($C82,'[15]2024 COBs'!$AA:$AK,9,0)+VLOOKUP($C82,'[15]2024 COBs'!$AA:$AK,10,0)+VLOOKUP($C82,'[15]2024 COBs'!$AA:$AK,11,0))*18%,"")</f>
        <v>902.84768091464196</v>
      </c>
      <c r="W82" s="79">
        <f>IFERROR((VLOOKUP($C82,'[15]2024 COBs'!$AA:$AK,8,0)+VLOOKUP($C82,'[15]2024 COBs'!$AA:$AK,9,0)+VLOOKUP($C82,'[15]2024 COBs'!$AA:$AK,10,0)+VLOOKUP($C82,'[15]2024 COBs'!$AA:$AK,11,0))*27%,"")</f>
        <v>1354.271521371963</v>
      </c>
      <c r="X82" s="79">
        <f>IFERROR((VLOOKUP($C82,'[15]2024 COBs'!$AA:$AK,8,0)+VLOOKUP($C82,'[15]2024 COBs'!$AA:$AK,9,0)+VLOOKUP($C82,'[15]2024 COBs'!$AA:$AK,10,0)+VLOOKUP($C82,'[15]2024 COBs'!$AA:$AK,11,0))*14%,"")</f>
        <v>702.21486293361045</v>
      </c>
      <c r="Y82" s="79">
        <f>IFERROR(VLOOKUP($C82,'[15]2024 COBs'!$AA:$AK,4,0),"")</f>
        <v>6348.1226451864359</v>
      </c>
      <c r="Z82" s="80">
        <f t="shared" si="6"/>
        <v>30925</v>
      </c>
      <c r="AF82" s="76" t="s">
        <v>253</v>
      </c>
      <c r="AG82" s="76" t="s">
        <v>253</v>
      </c>
      <c r="AH82" s="78" t="s">
        <v>583</v>
      </c>
      <c r="AI82" s="78" t="s">
        <v>388</v>
      </c>
      <c r="AJ82" s="78" t="s">
        <v>409</v>
      </c>
      <c r="AK82" s="78"/>
      <c r="AL82" s="78">
        <v>3</v>
      </c>
      <c r="AM82" s="77" t="s">
        <v>401</v>
      </c>
      <c r="AN82" s="77" t="s">
        <v>390</v>
      </c>
      <c r="AO82" s="79"/>
      <c r="AP82" s="79"/>
      <c r="AQ82" s="79"/>
      <c r="AR82" s="79"/>
      <c r="AS82" s="79"/>
      <c r="AT82" s="79"/>
      <c r="AU82" s="79"/>
      <c r="AV82" s="79"/>
      <c r="AW82" s="79"/>
      <c r="AX82" s="79"/>
      <c r="AY82" s="79"/>
      <c r="AZ82" s="80">
        <f t="shared" si="9"/>
        <v>0</v>
      </c>
      <c r="BK82" s="65" t="s">
        <v>215</v>
      </c>
      <c r="BL82" s="65" t="s">
        <v>397</v>
      </c>
      <c r="BM82" s="65" t="s">
        <v>398</v>
      </c>
      <c r="BN82" s="65">
        <v>1</v>
      </c>
    </row>
    <row r="83" spans="2:66" x14ac:dyDescent="0.25">
      <c r="B83" s="76" t="s">
        <v>216</v>
      </c>
      <c r="C83" s="76" t="s">
        <v>216</v>
      </c>
      <c r="D83" s="77" t="s">
        <v>486</v>
      </c>
      <c r="E83" s="77" t="s">
        <v>394</v>
      </c>
      <c r="F83" s="77"/>
      <c r="G83" s="77"/>
      <c r="H83" s="77">
        <v>3</v>
      </c>
      <c r="I83" s="77" t="s">
        <v>401</v>
      </c>
      <c r="J83" s="77" t="s">
        <v>390</v>
      </c>
      <c r="K83" s="77" t="s">
        <v>17</v>
      </c>
      <c r="L83" s="78" t="str">
        <f t="shared" si="7"/>
        <v/>
      </c>
      <c r="M83" s="77" t="str" cm="1">
        <f t="array" ref="M83">IF(OR(UPPER(TRIM($C83))="BRAZIL",UPPER(TRIM($C83))="INDIA",UPPER(TRIM($C83))="PHILIPPINES"),
   "UNDP OP8 COB - RPA",
   IFERROR(
     VLOOKUP($C83,$BF:$BG,2,0),
     _xlfn.SWITCH(UPPER(TRIM($K83)),
       "N/A","N/A",
       "VACANT","UNDP OP8 COB - Vacant",
       "UNDP","UNDP OP8 COB - UNDP CO",
       "UN COMPOUND","UNDP OP8 COB - UN Compound",
       "UNDP - WFH","UNDP OP8 COB - UNDP WFH",
"UNICEF","UNDP OP8 COB - UNICEF",
       "NHI","n.End of June 2026",
       "PRIVATE LEASE","k.End of Mar 2026",
       ""
     )
   )
)</f>
        <v>UNDP OP8 COB - UNDP CO</v>
      </c>
      <c r="N83" s="77" t="str">
        <f t="shared" si="8"/>
        <v>UNDP Action</v>
      </c>
      <c r="O83" s="79">
        <f>IFERROR(VLOOKUP($C83,'[15]2024 COBs'!$AA:$AK,5,0),"")</f>
        <v>7545.3139259294721</v>
      </c>
      <c r="P83" s="79">
        <f>IFERROR((VLOOKUP($C83,'[15]2024 COBs'!$AA:$AK,8,0)+VLOOKUP($C83,'[15]2024 COBs'!$AA:$AK,9,0)+VLOOKUP($C83,'[15]2024 COBs'!$AA:$AK,10,0)+VLOOKUP($C83,'[15]2024 COBs'!$AA:$AK,11,0))*5%,"")</f>
        <v>8.9048131478777162</v>
      </c>
      <c r="Q83" s="79">
        <f>IFERROR((VLOOKUP($C83,'[15]2024 COBs'!$AA:$AK,8,0)+VLOOKUP($C83,'[15]2024 COBs'!$AA:$AK,9,0)+VLOOKUP($C83,'[15]2024 COBs'!$AA:$AK,10,0)+VLOOKUP($C83,'[15]2024 COBs'!$AA:$AK,11,0))*16%,"")</f>
        <v>28.495402073208687</v>
      </c>
      <c r="R83" s="79"/>
      <c r="S83" s="79">
        <f>IFERROR(VLOOKUP($C83,'[15]2024 COBs'!$AA:$AK,7,0),"")</f>
        <v>0</v>
      </c>
      <c r="T83" s="79">
        <f>IFERROR((VLOOKUP($C83,'[15]2024 COBs'!$AA:$AK,8,0)+VLOOKUP($C83,'[15]2024 COBs'!$AA:$AK,9,0)+VLOOKUP($C83,'[15]2024 COBs'!$AA:$AK,10,0)+VLOOKUP($C83,'[15]2024 COBs'!$AA:$AK,11,0))*20%,"")</f>
        <v>35.619252591510865</v>
      </c>
      <c r="U83" s="79">
        <f>IFERROR(VLOOKUP($C83,'[15]2024 COBs'!$AA:$AK,6,0),"")</f>
        <v>24318.065643628353</v>
      </c>
      <c r="V83" s="79">
        <f>IFERROR((VLOOKUP($C83,'[15]2024 COBs'!$AA:$AK,8,0)+VLOOKUP($C83,'[15]2024 COBs'!$AA:$AK,9,0)+VLOOKUP($C83,'[15]2024 COBs'!$AA:$AK,10,0)+VLOOKUP($C83,'[15]2024 COBs'!$AA:$AK,11,0))*18%,"")</f>
        <v>32.057327332359776</v>
      </c>
      <c r="W83" s="79">
        <f>IFERROR((VLOOKUP($C83,'[15]2024 COBs'!$AA:$AK,8,0)+VLOOKUP($C83,'[15]2024 COBs'!$AA:$AK,9,0)+VLOOKUP($C83,'[15]2024 COBs'!$AA:$AK,10,0)+VLOOKUP($C83,'[15]2024 COBs'!$AA:$AK,11,0))*27%,"")</f>
        <v>48.085990998539664</v>
      </c>
      <c r="X83" s="79">
        <f>IFERROR((VLOOKUP($C83,'[15]2024 COBs'!$AA:$AK,8,0)+VLOOKUP($C83,'[15]2024 COBs'!$AA:$AK,9,0)+VLOOKUP($C83,'[15]2024 COBs'!$AA:$AK,10,0)+VLOOKUP($C83,'[15]2024 COBs'!$AA:$AK,11,0))*14%,"")</f>
        <v>24.933476814057606</v>
      </c>
      <c r="Y83" s="79">
        <f>IFERROR(VLOOKUP($C83,'[15]2024 COBs'!$AA:$AK,4,0),"")</f>
        <v>6907.5241674846184</v>
      </c>
      <c r="Z83" s="80">
        <f t="shared" si="6"/>
        <v>38949</v>
      </c>
      <c r="AF83" s="76" t="s">
        <v>533</v>
      </c>
      <c r="AG83" s="76" t="s">
        <v>533</v>
      </c>
      <c r="AH83" s="78" t="s">
        <v>584</v>
      </c>
      <c r="AI83" s="78" t="s">
        <v>388</v>
      </c>
      <c r="AJ83" s="78"/>
      <c r="AK83" s="78"/>
      <c r="AL83" s="78">
        <v>3</v>
      </c>
      <c r="AM83" s="77" t="s">
        <v>389</v>
      </c>
      <c r="AN83" s="77" t="s">
        <v>390</v>
      </c>
      <c r="AO83" s="79"/>
      <c r="AP83" s="79"/>
      <c r="AQ83" s="79"/>
      <c r="AR83" s="79"/>
      <c r="AS83" s="79"/>
      <c r="AT83" s="79"/>
      <c r="AU83" s="79"/>
      <c r="AV83" s="79"/>
      <c r="AW83" s="79"/>
      <c r="AX83" s="79"/>
      <c r="AY83" s="79"/>
      <c r="AZ83" s="80">
        <f t="shared" si="9"/>
        <v>0</v>
      </c>
      <c r="BK83" s="65" t="s">
        <v>215</v>
      </c>
      <c r="BL83" s="65" t="s">
        <v>411</v>
      </c>
      <c r="BM83" s="65" t="s">
        <v>396</v>
      </c>
      <c r="BN83" s="65">
        <v>1</v>
      </c>
    </row>
    <row r="84" spans="2:66" x14ac:dyDescent="0.25">
      <c r="B84" s="76" t="s">
        <v>547</v>
      </c>
      <c r="C84" s="76" t="s">
        <v>547</v>
      </c>
      <c r="D84" s="77" t="s">
        <v>548</v>
      </c>
      <c r="E84" s="77" t="s">
        <v>388</v>
      </c>
      <c r="F84" s="77" t="s">
        <v>409</v>
      </c>
      <c r="G84" s="77"/>
      <c r="H84" s="77">
        <v>5</v>
      </c>
      <c r="I84" s="77" t="s">
        <v>421</v>
      </c>
      <c r="J84" s="77" t="s">
        <v>439</v>
      </c>
      <c r="K84" s="77" t="s">
        <v>391</v>
      </c>
      <c r="L84" s="78" t="str">
        <f t="shared" si="7"/>
        <v/>
      </c>
      <c r="M84" s="77" t="str" cm="1">
        <f t="array" ref="M84">IF(OR(UPPER(TRIM($C84))="BRAZIL",UPPER(TRIM($C84))="INDIA",UPPER(TRIM($C84))="PHILIPPINES"),
   "UNDP OP8 COB - RPA",
   IFERROR(
     VLOOKUP($C84,$BF:$BG,2,0),
     _xlfn.SWITCH(UPPER(TRIM($K84)),
       "N/A","N/A",
       "VACANT","UNDP OP8 COB - Vacant",
       "UNDP","UNDP OP8 COB - UNDP CO",
       "UN COMPOUND","UNDP OP8 COB - UN Compound",
       "UNDP - WFH","UNDP OP8 COB - UNDP WFH",
"UNICEF","UNDP OP8 COB - UNICEF",
       "NHI","n.End of June 2026",
       "PRIVATE LEASE","k.End of Mar 2026",
       ""
     )
   )
)</f>
        <v>UNDP OP8 COB - Vacant</v>
      </c>
      <c r="N84" s="77" t="str">
        <f t="shared" si="8"/>
        <v>UNDP Action</v>
      </c>
      <c r="O84" s="79">
        <f>IFERROR(VLOOKUP($C84,'[15]2024 COBs'!$AA:$AK,5,0),"")</f>
        <v>8700</v>
      </c>
      <c r="P84" s="79">
        <f>IFERROR((VLOOKUP($C84,'[15]2024 COBs'!$AA:$AK,8,0)+VLOOKUP($C84,'[15]2024 COBs'!$AA:$AK,9,0)+VLOOKUP($C84,'[15]2024 COBs'!$AA:$AK,10,0)+VLOOKUP($C84,'[15]2024 COBs'!$AA:$AK,11,0))*5%,"")</f>
        <v>270</v>
      </c>
      <c r="Q84" s="79">
        <f>IFERROR((VLOOKUP($C84,'[15]2024 COBs'!$AA:$AK,8,0)+VLOOKUP($C84,'[15]2024 COBs'!$AA:$AK,9,0)+VLOOKUP($C84,'[15]2024 COBs'!$AA:$AK,10,0)+VLOOKUP($C84,'[15]2024 COBs'!$AA:$AK,11,0))*16%,"")</f>
        <v>864</v>
      </c>
      <c r="R84" s="79"/>
      <c r="S84" s="79">
        <f>IFERROR(VLOOKUP($C84,'[15]2024 COBs'!$AA:$AK,7,0),"")</f>
        <v>600</v>
      </c>
      <c r="T84" s="79">
        <f>IFERROR((VLOOKUP($C84,'[15]2024 COBs'!$AA:$AK,8,0)+VLOOKUP($C84,'[15]2024 COBs'!$AA:$AK,9,0)+VLOOKUP($C84,'[15]2024 COBs'!$AA:$AK,10,0)+VLOOKUP($C84,'[15]2024 COBs'!$AA:$AK,11,0))*20%,"")</f>
        <v>1080</v>
      </c>
      <c r="U84" s="79">
        <f>IFERROR(VLOOKUP($C84,'[15]2024 COBs'!$AA:$AK,6,0),"")</f>
        <v>11100</v>
      </c>
      <c r="V84" s="79">
        <f>IFERROR((VLOOKUP($C84,'[15]2024 COBs'!$AA:$AK,8,0)+VLOOKUP($C84,'[15]2024 COBs'!$AA:$AK,9,0)+VLOOKUP($C84,'[15]2024 COBs'!$AA:$AK,10,0)+VLOOKUP($C84,'[15]2024 COBs'!$AA:$AK,11,0))*18%,"")</f>
        <v>972</v>
      </c>
      <c r="W84" s="79">
        <f>IFERROR((VLOOKUP($C84,'[15]2024 COBs'!$AA:$AK,8,0)+VLOOKUP($C84,'[15]2024 COBs'!$AA:$AK,9,0)+VLOOKUP($C84,'[15]2024 COBs'!$AA:$AK,10,0)+VLOOKUP($C84,'[15]2024 COBs'!$AA:$AK,11,0))*27%,"")</f>
        <v>1458</v>
      </c>
      <c r="X84" s="79">
        <f>IFERROR((VLOOKUP($C84,'[15]2024 COBs'!$AA:$AK,8,0)+VLOOKUP($C84,'[15]2024 COBs'!$AA:$AK,9,0)+VLOOKUP($C84,'[15]2024 COBs'!$AA:$AK,10,0)+VLOOKUP($C84,'[15]2024 COBs'!$AA:$AK,11,0))*14%,"")</f>
        <v>756.00000000000011</v>
      </c>
      <c r="Y84" s="79">
        <f>IFERROR(VLOOKUP($C84,'[15]2024 COBs'!$AA:$AK,4,0),"")</f>
        <v>3600</v>
      </c>
      <c r="Z84" s="80">
        <f t="shared" si="6"/>
        <v>29400</v>
      </c>
      <c r="AF84" s="76" t="s">
        <v>161</v>
      </c>
      <c r="AG84" s="76" t="s">
        <v>161</v>
      </c>
      <c r="AH84" s="78" t="s">
        <v>403</v>
      </c>
      <c r="AI84" s="78" t="s">
        <v>404</v>
      </c>
      <c r="AJ84" s="78"/>
      <c r="AK84" s="78"/>
      <c r="AL84" s="78">
        <v>3</v>
      </c>
      <c r="AM84" s="77" t="s">
        <v>401</v>
      </c>
      <c r="AN84" s="77" t="s">
        <v>390</v>
      </c>
      <c r="AO84" s="79"/>
      <c r="AP84" s="79"/>
      <c r="AQ84" s="79"/>
      <c r="AR84" s="79"/>
      <c r="AS84" s="79"/>
      <c r="AT84" s="79"/>
      <c r="AU84" s="79"/>
      <c r="AV84" s="79"/>
      <c r="AW84" s="79"/>
      <c r="AX84" s="79"/>
      <c r="AY84" s="79"/>
      <c r="AZ84" s="80">
        <f t="shared" si="9"/>
        <v>0</v>
      </c>
      <c r="BK84" s="65" t="s">
        <v>216</v>
      </c>
      <c r="BL84" s="65" t="s">
        <v>397</v>
      </c>
      <c r="BM84" s="65" t="s">
        <v>398</v>
      </c>
      <c r="BN84" s="65">
        <v>1</v>
      </c>
    </row>
    <row r="85" spans="2:66" x14ac:dyDescent="0.25">
      <c r="B85" s="76" t="s">
        <v>217</v>
      </c>
      <c r="C85" s="76" t="s">
        <v>217</v>
      </c>
      <c r="D85" s="77" t="s">
        <v>488</v>
      </c>
      <c r="E85" s="77" t="s">
        <v>394</v>
      </c>
      <c r="F85" s="77"/>
      <c r="G85" s="77"/>
      <c r="H85" s="77">
        <v>3</v>
      </c>
      <c r="I85" s="77" t="s">
        <v>401</v>
      </c>
      <c r="J85" s="77" t="s">
        <v>395</v>
      </c>
      <c r="K85" s="77" t="s">
        <v>17</v>
      </c>
      <c r="L85" s="78" t="str">
        <f t="shared" si="7"/>
        <v/>
      </c>
      <c r="M85" s="77" t="str" cm="1">
        <f t="array" ref="M85">IF(OR(UPPER(TRIM($C85))="BRAZIL",UPPER(TRIM($C85))="INDIA",UPPER(TRIM($C85))="PHILIPPINES"),
   "UNDP OP8 COB - RPA",
   IFERROR(
     VLOOKUP($C85,$BF:$BG,2,0),
     _xlfn.SWITCH(UPPER(TRIM($K85)),
       "N/A","N/A",
       "VACANT","UNDP OP8 COB - Vacant",
       "UNDP","UNDP OP8 COB - UNDP CO",
       "UN COMPOUND","UNDP OP8 COB - UN Compound",
       "UNDP - WFH","UNDP OP8 COB - UNDP WFH",
"UNICEF","UNDP OP8 COB - UNICEF",
       "NHI","n.End of June 2026",
       "PRIVATE LEASE","k.End of Mar 2026",
       ""
     )
   )
)</f>
        <v>UNDP OP8 COB - UNDP CO</v>
      </c>
      <c r="N85" s="77" t="str">
        <f t="shared" si="8"/>
        <v>UNDP Action</v>
      </c>
      <c r="O85" s="79">
        <f>IFERROR(VLOOKUP($C85,'[15]2024 COBs'!$AA:$AK,5,0),"")</f>
        <v>7200</v>
      </c>
      <c r="P85" s="79">
        <f>IFERROR((VLOOKUP($C85,'[15]2024 COBs'!$AA:$AK,8,0)+VLOOKUP($C85,'[15]2024 COBs'!$AA:$AK,9,0)+VLOOKUP($C85,'[15]2024 COBs'!$AA:$AK,10,0)+VLOOKUP($C85,'[15]2024 COBs'!$AA:$AK,11,0))*5%,"")</f>
        <v>168</v>
      </c>
      <c r="Q85" s="79">
        <f>IFERROR((VLOOKUP($C85,'[15]2024 COBs'!$AA:$AK,8,0)+VLOOKUP($C85,'[15]2024 COBs'!$AA:$AK,9,0)+VLOOKUP($C85,'[15]2024 COBs'!$AA:$AK,10,0)+VLOOKUP($C85,'[15]2024 COBs'!$AA:$AK,11,0))*16%,"")</f>
        <v>537.6</v>
      </c>
      <c r="R85" s="79"/>
      <c r="S85" s="79">
        <f>IFERROR(VLOOKUP($C85,'[15]2024 COBs'!$AA:$AK,7,0),"")</f>
        <v>0</v>
      </c>
      <c r="T85" s="79">
        <f>IFERROR((VLOOKUP($C85,'[15]2024 COBs'!$AA:$AK,8,0)+VLOOKUP($C85,'[15]2024 COBs'!$AA:$AK,9,0)+VLOOKUP($C85,'[15]2024 COBs'!$AA:$AK,10,0)+VLOOKUP($C85,'[15]2024 COBs'!$AA:$AK,11,0))*20%,"")</f>
        <v>672</v>
      </c>
      <c r="U85" s="79">
        <f>IFERROR(VLOOKUP($C85,'[15]2024 COBs'!$AA:$AK,6,0),"")</f>
        <v>9000</v>
      </c>
      <c r="V85" s="79">
        <f>IFERROR((VLOOKUP($C85,'[15]2024 COBs'!$AA:$AK,8,0)+VLOOKUP($C85,'[15]2024 COBs'!$AA:$AK,9,0)+VLOOKUP($C85,'[15]2024 COBs'!$AA:$AK,10,0)+VLOOKUP($C85,'[15]2024 COBs'!$AA:$AK,11,0))*18%,"")</f>
        <v>604.79999999999995</v>
      </c>
      <c r="W85" s="79">
        <f>IFERROR((VLOOKUP($C85,'[15]2024 COBs'!$AA:$AK,8,0)+VLOOKUP($C85,'[15]2024 COBs'!$AA:$AK,9,0)+VLOOKUP($C85,'[15]2024 COBs'!$AA:$AK,10,0)+VLOOKUP($C85,'[15]2024 COBs'!$AA:$AK,11,0))*27%,"")</f>
        <v>907.2</v>
      </c>
      <c r="X85" s="79">
        <f>IFERROR((VLOOKUP($C85,'[15]2024 COBs'!$AA:$AK,8,0)+VLOOKUP($C85,'[15]2024 COBs'!$AA:$AK,9,0)+VLOOKUP($C85,'[15]2024 COBs'!$AA:$AK,10,0)+VLOOKUP($C85,'[15]2024 COBs'!$AA:$AK,11,0))*14%,"")</f>
        <v>470.40000000000003</v>
      </c>
      <c r="Y85" s="79">
        <f>IFERROR(VLOOKUP($C85,'[15]2024 COBs'!$AA:$AK,4,0),"")</f>
        <v>1200</v>
      </c>
      <c r="Z85" s="80">
        <f t="shared" si="6"/>
        <v>20760</v>
      </c>
      <c r="AF85" s="76" t="s">
        <v>186</v>
      </c>
      <c r="AG85" s="76" t="s">
        <v>186</v>
      </c>
      <c r="AH85" s="78" t="s">
        <v>504</v>
      </c>
      <c r="AI85" s="78" t="s">
        <v>404</v>
      </c>
      <c r="AJ85" s="78"/>
      <c r="AK85" s="78"/>
      <c r="AL85" s="78">
        <v>3</v>
      </c>
      <c r="AM85" s="77" t="s">
        <v>401</v>
      </c>
      <c r="AN85" s="77" t="s">
        <v>390</v>
      </c>
      <c r="AO85" s="79"/>
      <c r="AP85" s="79"/>
      <c r="AQ85" s="79"/>
      <c r="AR85" s="79"/>
      <c r="AS85" s="79"/>
      <c r="AT85" s="79"/>
      <c r="AU85" s="79"/>
      <c r="AV85" s="79"/>
      <c r="AW85" s="79"/>
      <c r="AX85" s="79"/>
      <c r="AY85" s="79"/>
      <c r="AZ85" s="80">
        <f t="shared" si="9"/>
        <v>0</v>
      </c>
      <c r="BK85" s="65" t="s">
        <v>217</v>
      </c>
      <c r="BL85" s="65" t="s">
        <v>397</v>
      </c>
      <c r="BM85" s="65" t="s">
        <v>398</v>
      </c>
      <c r="BN85" s="65">
        <v>2</v>
      </c>
    </row>
    <row r="86" spans="2:66" x14ac:dyDescent="0.25">
      <c r="B86" s="76" t="s">
        <v>218</v>
      </c>
      <c r="C86" s="81" t="s">
        <v>218</v>
      </c>
      <c r="D86" s="77" t="s">
        <v>491</v>
      </c>
      <c r="E86" s="77" t="s">
        <v>394</v>
      </c>
      <c r="F86" s="77" t="s">
        <v>432</v>
      </c>
      <c r="G86" s="77"/>
      <c r="H86" s="77">
        <v>3</v>
      </c>
      <c r="I86" s="77" t="s">
        <v>401</v>
      </c>
      <c r="J86" s="77" t="s">
        <v>395</v>
      </c>
      <c r="K86" s="77" t="s">
        <v>425</v>
      </c>
      <c r="L86" s="78" t="str">
        <f t="shared" si="7"/>
        <v>Yes</v>
      </c>
      <c r="M86" s="77" t="str" cm="1">
        <f t="array" ref="M86">IF(OR(UPPER(TRIM($C86))="BRAZIL",UPPER(TRIM($C86))="INDIA",UPPER(TRIM($C86))="PHILIPPINES"),
   "UNDP OP8 COB - RPA",
   IFERROR(
     VLOOKUP($C86,$BF:$BG,2,0),
     _xlfn.SWITCH(UPPER(TRIM($K86)),
       "N/A","N/A",
       "VACANT","UNDP OP8 COB - Vacant",
       "UNDP","UNDP OP8 COB - UNDP CO",
       "UN COMPOUND","UNDP OP8 COB - UN Compound",
       "UNDP - WFH","UNDP OP8 COB - UNDP WFH",
"UNICEF","UNDP OP8 COB - UNICEF",
       "NHI","n.End of June 2026",
       "PRIVATE LEASE","k.End of Mar 2026",
       ""
     )
   )
)</f>
        <v>n.End of June 2026</v>
      </c>
      <c r="N86" s="77" t="str">
        <f t="shared" si="8"/>
        <v>UNOPS Action</v>
      </c>
      <c r="O86" s="79">
        <f>7567+3500</f>
        <v>11067</v>
      </c>
      <c r="P86" s="79">
        <v>444</v>
      </c>
      <c r="Q86" s="79">
        <v>1100</v>
      </c>
      <c r="R86" s="79"/>
      <c r="S86" s="79">
        <f>IFERROR(VLOOKUP($C86,'[15]2024 COBs'!$AA:$AK,7,0),"")</f>
        <v>0</v>
      </c>
      <c r="T86" s="79">
        <v>0</v>
      </c>
      <c r="U86" s="79">
        <f>10553+849</f>
        <v>11402</v>
      </c>
      <c r="V86" s="79">
        <v>9197</v>
      </c>
      <c r="W86" s="79">
        <v>2000</v>
      </c>
      <c r="X86" s="79">
        <v>4264</v>
      </c>
      <c r="Y86" s="79">
        <v>2220</v>
      </c>
      <c r="Z86" s="80">
        <f t="shared" si="6"/>
        <v>41694</v>
      </c>
      <c r="AF86" s="76" t="s">
        <v>136</v>
      </c>
      <c r="AG86" s="76" t="s">
        <v>136</v>
      </c>
      <c r="AH86" s="78" t="s">
        <v>512</v>
      </c>
      <c r="AI86" s="78" t="s">
        <v>404</v>
      </c>
      <c r="AJ86" s="78"/>
      <c r="AK86" s="78" t="s">
        <v>463</v>
      </c>
      <c r="AL86" s="78">
        <v>1</v>
      </c>
      <c r="AM86" s="77" t="s">
        <v>401</v>
      </c>
      <c r="AN86" s="77" t="s">
        <v>390</v>
      </c>
      <c r="AO86" s="79"/>
      <c r="AP86" s="79"/>
      <c r="AQ86" s="79"/>
      <c r="AR86" s="79"/>
      <c r="AS86" s="79"/>
      <c r="AT86" s="79"/>
      <c r="AU86" s="79"/>
      <c r="AV86" s="79"/>
      <c r="AW86" s="79"/>
      <c r="AX86" s="79"/>
      <c r="AY86" s="79"/>
      <c r="AZ86" s="80">
        <f t="shared" si="9"/>
        <v>0</v>
      </c>
      <c r="BK86" s="65" t="s">
        <v>218</v>
      </c>
      <c r="BL86" s="65" t="s">
        <v>411</v>
      </c>
      <c r="BM86" s="65" t="s">
        <v>396</v>
      </c>
      <c r="BN86" s="65">
        <v>1</v>
      </c>
    </row>
    <row r="87" spans="2:66" x14ac:dyDescent="0.25">
      <c r="B87" s="76" t="s">
        <v>494</v>
      </c>
      <c r="C87" s="76" t="s">
        <v>494</v>
      </c>
      <c r="D87" s="77" t="s">
        <v>585</v>
      </c>
      <c r="E87" s="77" t="s">
        <v>408</v>
      </c>
      <c r="F87" s="77"/>
      <c r="G87" s="77"/>
      <c r="H87" s="77">
        <v>1</v>
      </c>
      <c r="I87" s="77" t="s">
        <v>389</v>
      </c>
      <c r="J87" s="77" t="s">
        <v>390</v>
      </c>
      <c r="K87" s="77" t="s">
        <v>425</v>
      </c>
      <c r="L87" s="78" t="str">
        <f t="shared" si="7"/>
        <v>Yes</v>
      </c>
      <c r="M87" s="77" t="str" cm="1">
        <f t="array" ref="M87">IF(OR(UPPER(TRIM($C87))="BRAZIL",UPPER(TRIM($C87))="INDIA",UPPER(TRIM($C87))="PHILIPPINES"),
   "UNDP OP8 COB - RPA",
   IFERROR(
     VLOOKUP($C87,$BF:$BG,2,0),
     _xlfn.SWITCH(UPPER(TRIM($K87)),
       "N/A","N/A",
       "VACANT","UNDP OP8 COB - Vacant",
       "UNDP","UNDP OP8 COB - UNDP CO",
       "UN COMPOUND","UNDP OP8 COB - UN Compound",
       "UNDP - WFH","UNDP OP8 COB - UNDP WFH",
"UNICEF","UNDP OP8 COB - UNICEF",
       "NHI","n.End of June 2026",
       "PRIVATE LEASE","k.End of Mar 2026",
       ""
     )
   )
)</f>
        <v>n.End of June 2026</v>
      </c>
      <c r="N87" s="77" t="str">
        <f t="shared" si="8"/>
        <v>UNOPS Action</v>
      </c>
      <c r="O87" s="79">
        <f>IFERROR(VLOOKUP($C87,'[15]2024 COBs'!$AA:$AK,5,0),"")</f>
        <v>24380.799343616764</v>
      </c>
      <c r="P87" s="79">
        <f>IFERROR((VLOOKUP($C87,'[15]2024 COBs'!$AA:$AK,8,0)+VLOOKUP($C87,'[15]2024 COBs'!$AA:$AK,9,0)+VLOOKUP($C87,'[15]2024 COBs'!$AA:$AK,10,0)+VLOOKUP($C87,'[15]2024 COBs'!$AA:$AK,11,0))*5%,"")</f>
        <v>780.64380461760811</v>
      </c>
      <c r="Q87" s="79">
        <f>IFERROR((VLOOKUP($C87,'[15]2024 COBs'!$AA:$AK,8,0)+VLOOKUP($C87,'[15]2024 COBs'!$AA:$AK,9,0)+VLOOKUP($C87,'[15]2024 COBs'!$AA:$AK,10,0)+VLOOKUP($C87,'[15]2024 COBs'!$AA:$AK,11,0))*16%,"")</f>
        <v>2498.0601747763462</v>
      </c>
      <c r="R87" s="79"/>
      <c r="S87" s="79">
        <f>IFERROR(VLOOKUP($C87,'[15]2024 COBs'!$AA:$AK,7,0),"")</f>
        <v>1291.3682671421759</v>
      </c>
      <c r="T87" s="79">
        <f>IFERROR((VLOOKUP($C87,'[15]2024 COBs'!$AA:$AK,8,0)+VLOOKUP($C87,'[15]2024 COBs'!$AA:$AK,9,0)+VLOOKUP($C87,'[15]2024 COBs'!$AA:$AK,10,0)+VLOOKUP($C87,'[15]2024 COBs'!$AA:$AK,11,0))*20%,"")</f>
        <v>3122.5752184704324</v>
      </c>
      <c r="U87" s="79">
        <f>IFERROR(VLOOKUP($C87,'[15]2024 COBs'!$AA:$AK,6,0),"")</f>
        <v>31832.179960131332</v>
      </c>
      <c r="V87" s="79">
        <f>IFERROR((VLOOKUP($C87,'[15]2024 COBs'!$AA:$AK,8,0)+VLOOKUP($C87,'[15]2024 COBs'!$AA:$AK,9,0)+VLOOKUP($C87,'[15]2024 COBs'!$AA:$AK,10,0)+VLOOKUP($C87,'[15]2024 COBs'!$AA:$AK,11,0))*18%,"")</f>
        <v>2810.3176966233891</v>
      </c>
      <c r="W87" s="79">
        <f>IFERROR((VLOOKUP($C87,'[15]2024 COBs'!$AA:$AK,8,0)+VLOOKUP($C87,'[15]2024 COBs'!$AA:$AK,9,0)+VLOOKUP($C87,'[15]2024 COBs'!$AA:$AK,10,0)+VLOOKUP($C87,'[15]2024 COBs'!$AA:$AK,11,0))*27%,"")</f>
        <v>4215.4765449350843</v>
      </c>
      <c r="X87" s="79">
        <f>IFERROR((VLOOKUP($C87,'[15]2024 COBs'!$AA:$AK,8,0)+VLOOKUP($C87,'[15]2024 COBs'!$AA:$AK,9,0)+VLOOKUP($C87,'[15]2024 COBs'!$AA:$AK,10,0)+VLOOKUP($C87,'[15]2024 COBs'!$AA:$AK,11,0))*14%,"")</f>
        <v>2185.8026529293029</v>
      </c>
      <c r="Y87" s="79">
        <f>IFERROR(VLOOKUP($C87,'[15]2024 COBs'!$AA:$AK,4,0),"")</f>
        <v>10386.183909534942</v>
      </c>
      <c r="Z87" s="80">
        <f t="shared" si="6"/>
        <v>83503.407572777374</v>
      </c>
      <c r="AF87" s="76" t="s">
        <v>550</v>
      </c>
      <c r="AG87" s="76" t="s">
        <v>550</v>
      </c>
      <c r="AH87" s="78" t="s">
        <v>551</v>
      </c>
      <c r="AI87" s="78" t="s">
        <v>404</v>
      </c>
      <c r="AJ87" s="78"/>
      <c r="AK87" s="78"/>
      <c r="AL87" s="78">
        <v>5</v>
      </c>
      <c r="AM87" s="77" t="s">
        <v>421</v>
      </c>
      <c r="AN87" s="77" t="s">
        <v>439</v>
      </c>
      <c r="AO87" s="79"/>
      <c r="AP87" s="79"/>
      <c r="AQ87" s="79"/>
      <c r="AR87" s="79"/>
      <c r="AS87" s="79"/>
      <c r="AT87" s="79"/>
      <c r="AU87" s="79"/>
      <c r="AV87" s="79"/>
      <c r="AW87" s="79"/>
      <c r="AX87" s="79"/>
      <c r="AY87" s="79"/>
      <c r="AZ87" s="80">
        <f t="shared" si="9"/>
        <v>0</v>
      </c>
      <c r="BK87" s="65" t="s">
        <v>494</v>
      </c>
      <c r="BL87" s="65" t="s">
        <v>411</v>
      </c>
      <c r="BM87" s="65" t="s">
        <v>396</v>
      </c>
      <c r="BN87" s="65">
        <v>3</v>
      </c>
    </row>
    <row r="88" spans="2:66" x14ac:dyDescent="0.25">
      <c r="B88" s="76" t="s">
        <v>219</v>
      </c>
      <c r="C88" s="76" t="s">
        <v>219</v>
      </c>
      <c r="D88" s="77" t="s">
        <v>586</v>
      </c>
      <c r="E88" s="77" t="s">
        <v>400</v>
      </c>
      <c r="F88" s="77"/>
      <c r="G88" s="77"/>
      <c r="H88" s="77">
        <v>2</v>
      </c>
      <c r="I88" s="77" t="s">
        <v>401</v>
      </c>
      <c r="J88" s="77" t="s">
        <v>390</v>
      </c>
      <c r="K88" s="77" t="s">
        <v>425</v>
      </c>
      <c r="L88" s="78" t="str">
        <f t="shared" si="7"/>
        <v/>
      </c>
      <c r="M88" s="77" t="str" cm="1">
        <f t="array" ref="M88">IF(OR(UPPER(TRIM($C88))="BRAZIL",UPPER(TRIM($C88))="INDIA",UPPER(TRIM($C88))="PHILIPPINES"),
   "UNDP OP8 COB - RPA",
   IFERROR(
     VLOOKUP($C88,$BF:$BG,2,0),
     _xlfn.SWITCH(UPPER(TRIM($K88)),
       "N/A","N/A",
       "VACANT","UNDP OP8 COB - Vacant",
       "UNDP","UNDP OP8 COB - UNDP CO",
       "UN COMPOUND","UNDP OP8 COB - UN Compound",
       "UNDP - WFH","UNDP OP8 COB - UNDP WFH",
"UNICEF","UNDP OP8 COB - UNICEF",
       "NHI","n.End of June 2026",
       "PRIVATE LEASE","k.End of Mar 2026",
       ""
     )
   )
)</f>
        <v>k.End of Mar 2026</v>
      </c>
      <c r="N88" s="77" t="str">
        <f t="shared" si="8"/>
        <v>UNOPS Action</v>
      </c>
      <c r="O88" s="79">
        <v>1000</v>
      </c>
      <c r="P88" s="79">
        <v>200</v>
      </c>
      <c r="Q88" s="79">
        <v>200</v>
      </c>
      <c r="R88" s="79"/>
      <c r="S88" s="79">
        <v>300</v>
      </c>
      <c r="T88" s="79">
        <v>2700</v>
      </c>
      <c r="U88" s="79">
        <v>6200</v>
      </c>
      <c r="V88" s="79">
        <v>200</v>
      </c>
      <c r="W88" s="79">
        <v>300</v>
      </c>
      <c r="X88" s="79">
        <v>150</v>
      </c>
      <c r="Y88" s="79">
        <v>500</v>
      </c>
      <c r="Z88" s="80">
        <f t="shared" si="6"/>
        <v>11750</v>
      </c>
      <c r="AF88" s="76" t="s">
        <v>206</v>
      </c>
      <c r="AG88" s="76" t="s">
        <v>206</v>
      </c>
      <c r="AH88" s="78" t="s">
        <v>555</v>
      </c>
      <c r="AI88" s="78" t="s">
        <v>404</v>
      </c>
      <c r="AJ88" s="78"/>
      <c r="AK88" s="78" t="s">
        <v>463</v>
      </c>
      <c r="AL88" s="78">
        <v>2</v>
      </c>
      <c r="AM88" s="77" t="s">
        <v>401</v>
      </c>
      <c r="AN88" s="77" t="s">
        <v>390</v>
      </c>
      <c r="AO88" s="79"/>
      <c r="AP88" s="79"/>
      <c r="AQ88" s="79"/>
      <c r="AR88" s="79"/>
      <c r="AS88" s="79"/>
      <c r="AT88" s="79"/>
      <c r="AU88" s="79"/>
      <c r="AV88" s="79"/>
      <c r="AW88" s="79"/>
      <c r="AX88" s="79"/>
      <c r="AY88" s="79"/>
      <c r="AZ88" s="80">
        <f t="shared" si="9"/>
        <v>0</v>
      </c>
      <c r="BK88" s="65" t="s">
        <v>221</v>
      </c>
      <c r="BL88" s="65" t="s">
        <v>411</v>
      </c>
      <c r="BM88" s="65" t="s">
        <v>497</v>
      </c>
      <c r="BN88" s="65">
        <v>1</v>
      </c>
    </row>
    <row r="89" spans="2:66" x14ac:dyDescent="0.25">
      <c r="B89" s="76" t="s">
        <v>220</v>
      </c>
      <c r="C89" s="76" t="s">
        <v>220</v>
      </c>
      <c r="D89" s="77" t="s">
        <v>552</v>
      </c>
      <c r="E89" s="77" t="s">
        <v>388</v>
      </c>
      <c r="F89" s="77"/>
      <c r="G89" s="77"/>
      <c r="H89" s="77">
        <v>3</v>
      </c>
      <c r="I89" s="77" t="s">
        <v>401</v>
      </c>
      <c r="J89" s="77" t="s">
        <v>390</v>
      </c>
      <c r="K89" s="77" t="s">
        <v>17</v>
      </c>
      <c r="L89" s="78" t="str">
        <f t="shared" si="7"/>
        <v/>
      </c>
      <c r="M89" s="77" t="str" cm="1">
        <f t="array" ref="M89">IF(OR(UPPER(TRIM($C89))="BRAZIL",UPPER(TRIM($C89))="INDIA",UPPER(TRIM($C89))="PHILIPPINES"),
   "UNDP OP8 COB - RPA",
   IFERROR(
     VLOOKUP($C89,$BF:$BG,2,0),
     _xlfn.SWITCH(UPPER(TRIM($K89)),
       "N/A","N/A",
       "VACANT","UNDP OP8 COB - Vacant",
       "UNDP","UNDP OP8 COB - UNDP CO",
       "UN COMPOUND","UNDP OP8 COB - UN Compound",
       "UNDP - WFH","UNDP OP8 COB - UNDP WFH",
"UNICEF","UNDP OP8 COB - UNICEF",
       "NHI","n.End of June 2026",
       "PRIVATE LEASE","k.End of Mar 2026",
       ""
     )
   )
)</f>
        <v>UNDP OP8 COB - UNDP CO</v>
      </c>
      <c r="N89" s="77" t="str">
        <f t="shared" si="8"/>
        <v>UNDP Action</v>
      </c>
      <c r="O89" s="79">
        <f>IFERROR(VLOOKUP($C89,'[15]2024 COBs'!$AA:$AK,5,0),"")</f>
        <v>6300</v>
      </c>
      <c r="P89" s="79">
        <f>IFERROR((VLOOKUP($C89,'[15]2024 COBs'!$AA:$AK,8,0)+VLOOKUP($C89,'[15]2024 COBs'!$AA:$AK,9,0)+VLOOKUP($C89,'[15]2024 COBs'!$AA:$AK,10,0)+VLOOKUP($C89,'[15]2024 COBs'!$AA:$AK,11,0))*5%,"")</f>
        <v>6</v>
      </c>
      <c r="Q89" s="79">
        <f>IFERROR((VLOOKUP($C89,'[15]2024 COBs'!$AA:$AK,8,0)+VLOOKUP($C89,'[15]2024 COBs'!$AA:$AK,9,0)+VLOOKUP($C89,'[15]2024 COBs'!$AA:$AK,10,0)+VLOOKUP($C89,'[15]2024 COBs'!$AA:$AK,11,0))*16%,"")</f>
        <v>19.2</v>
      </c>
      <c r="R89" s="79"/>
      <c r="S89" s="79">
        <f>IFERROR(VLOOKUP($C89,'[15]2024 COBs'!$AA:$AK,7,0),"")</f>
        <v>0</v>
      </c>
      <c r="T89" s="79">
        <f>IFERROR((VLOOKUP($C89,'[15]2024 COBs'!$AA:$AK,8,0)+VLOOKUP($C89,'[15]2024 COBs'!$AA:$AK,9,0)+VLOOKUP($C89,'[15]2024 COBs'!$AA:$AK,10,0)+VLOOKUP($C89,'[15]2024 COBs'!$AA:$AK,11,0))*20%,"")</f>
        <v>24</v>
      </c>
      <c r="U89" s="79">
        <f>IFERROR(VLOOKUP($C89,'[15]2024 COBs'!$AA:$AK,6,0),"")</f>
        <v>1500</v>
      </c>
      <c r="V89" s="79">
        <f>IFERROR((VLOOKUP($C89,'[15]2024 COBs'!$AA:$AK,8,0)+VLOOKUP($C89,'[15]2024 COBs'!$AA:$AK,9,0)+VLOOKUP($C89,'[15]2024 COBs'!$AA:$AK,10,0)+VLOOKUP($C89,'[15]2024 COBs'!$AA:$AK,11,0))*18%,"")</f>
        <v>21.599999999999998</v>
      </c>
      <c r="W89" s="79">
        <f>IFERROR((VLOOKUP($C89,'[15]2024 COBs'!$AA:$AK,8,0)+VLOOKUP($C89,'[15]2024 COBs'!$AA:$AK,9,0)+VLOOKUP($C89,'[15]2024 COBs'!$AA:$AK,10,0)+VLOOKUP($C89,'[15]2024 COBs'!$AA:$AK,11,0))*27%,"")</f>
        <v>32.400000000000006</v>
      </c>
      <c r="X89" s="79">
        <f>IFERROR((VLOOKUP($C89,'[15]2024 COBs'!$AA:$AK,8,0)+VLOOKUP($C89,'[15]2024 COBs'!$AA:$AK,9,0)+VLOOKUP($C89,'[15]2024 COBs'!$AA:$AK,10,0)+VLOOKUP($C89,'[15]2024 COBs'!$AA:$AK,11,0))*14%,"")</f>
        <v>16.8</v>
      </c>
      <c r="Y89" s="79">
        <f>IFERROR(VLOOKUP($C89,'[15]2024 COBs'!$AA:$AK,4,0),"")</f>
        <v>60</v>
      </c>
      <c r="Z89" s="80">
        <f t="shared" si="6"/>
        <v>7980</v>
      </c>
      <c r="AF89" s="76" t="s">
        <v>210</v>
      </c>
      <c r="AG89" s="76" t="s">
        <v>210</v>
      </c>
      <c r="AH89" s="78" t="s">
        <v>568</v>
      </c>
      <c r="AI89" s="78" t="s">
        <v>404</v>
      </c>
      <c r="AJ89" s="78"/>
      <c r="AK89" s="78"/>
      <c r="AL89" s="78">
        <v>2</v>
      </c>
      <c r="AM89" s="77" t="s">
        <v>401</v>
      </c>
      <c r="AN89" s="77" t="s">
        <v>390</v>
      </c>
      <c r="AO89" s="79"/>
      <c r="AP89" s="79"/>
      <c r="AQ89" s="79"/>
      <c r="AR89" s="79"/>
      <c r="AS89" s="79"/>
      <c r="AT89" s="79"/>
      <c r="AU89" s="79"/>
      <c r="AV89" s="79"/>
      <c r="AW89" s="79"/>
      <c r="AX89" s="79"/>
      <c r="AY89" s="79"/>
      <c r="AZ89" s="80">
        <f t="shared" si="9"/>
        <v>0</v>
      </c>
      <c r="BK89" s="65" t="s">
        <v>222</v>
      </c>
      <c r="BL89" s="65" t="s">
        <v>397</v>
      </c>
      <c r="BM89" s="65" t="s">
        <v>398</v>
      </c>
      <c r="BN89" s="65">
        <v>1</v>
      </c>
    </row>
    <row r="90" spans="2:66" x14ac:dyDescent="0.25">
      <c r="B90" s="76" t="s">
        <v>587</v>
      </c>
      <c r="C90" s="76" t="s">
        <v>587</v>
      </c>
      <c r="D90" s="77" t="s">
        <v>588</v>
      </c>
      <c r="E90" s="77" t="s">
        <v>400</v>
      </c>
      <c r="F90" s="77"/>
      <c r="G90" s="77"/>
      <c r="H90" s="77">
        <v>3</v>
      </c>
      <c r="I90" s="77" t="s">
        <v>389</v>
      </c>
      <c r="J90" s="77" t="s">
        <v>395</v>
      </c>
      <c r="K90" s="77" t="s">
        <v>391</v>
      </c>
      <c r="L90" s="78" t="str">
        <f t="shared" si="7"/>
        <v/>
      </c>
      <c r="M90" s="77" t="str" cm="1">
        <f t="array" ref="M90">IF(OR(UPPER(TRIM($C90))="BRAZIL",UPPER(TRIM($C90))="INDIA",UPPER(TRIM($C90))="PHILIPPINES"),
   "UNDP OP8 COB - RPA",
   IFERROR(
     VLOOKUP($C90,$BF:$BG,2,0),
     _xlfn.SWITCH(UPPER(TRIM($K90)),
       "N/A","N/A",
       "VACANT","UNDP OP8 COB - Vacant",
       "UNDP","UNDP OP8 COB - UNDP CO",
       "UN COMPOUND","UNDP OP8 COB - UN Compound",
       "UNDP - WFH","UNDP OP8 COB - UNDP WFH",
"UNICEF","UNDP OP8 COB - UNICEF",
       "NHI","n.End of June 2026",
       "PRIVATE LEASE","k.End of Mar 2026",
       ""
     )
   )
)</f>
        <v>UNDP OP8 COB - Vacant</v>
      </c>
      <c r="N90" s="77" t="str">
        <f t="shared" si="8"/>
        <v>UNDP Action</v>
      </c>
      <c r="O90" s="79">
        <f>IFERROR(VLOOKUP($C90,'[15]2024 COBs'!$AA:$AK,5,0),"")</f>
        <v>8604.9880036294471</v>
      </c>
      <c r="P90" s="79">
        <f>IFERROR((VLOOKUP($C90,'[15]2024 COBs'!$AA:$AK,8,0)+VLOOKUP($C90,'[15]2024 COBs'!$AA:$AK,9,0)+VLOOKUP($C90,'[15]2024 COBs'!$AA:$AK,10,0)+VLOOKUP($C90,'[15]2024 COBs'!$AA:$AK,11,0))*5%,"")</f>
        <v>275.52134280621465</v>
      </c>
      <c r="Q90" s="79">
        <f>IFERROR((VLOOKUP($C90,'[15]2024 COBs'!$AA:$AK,8,0)+VLOOKUP($C90,'[15]2024 COBs'!$AA:$AK,9,0)+VLOOKUP($C90,'[15]2024 COBs'!$AA:$AK,10,0)+VLOOKUP($C90,'[15]2024 COBs'!$AA:$AK,11,0))*16%,"")</f>
        <v>881.6682969798868</v>
      </c>
      <c r="R90" s="79"/>
      <c r="S90" s="79">
        <v>150</v>
      </c>
      <c r="T90" s="79">
        <f>IFERROR((VLOOKUP($C90,'[15]2024 COBs'!$AA:$AK,8,0)+VLOOKUP($C90,'[15]2024 COBs'!$AA:$AK,9,0)+VLOOKUP($C90,'[15]2024 COBs'!$AA:$AK,10,0)+VLOOKUP($C90,'[15]2024 COBs'!$AA:$AK,11,0))*20%,"")</f>
        <v>1102.0853712248586</v>
      </c>
      <c r="U90" s="79">
        <f>IFERROR(VLOOKUP($C90,'[15]2024 COBs'!$AA:$AK,6,0),"")</f>
        <v>11234.887044752235</v>
      </c>
      <c r="V90" s="79">
        <f>IFERROR((VLOOKUP($C90,'[15]2024 COBs'!$AA:$AK,8,0)+VLOOKUP($C90,'[15]2024 COBs'!$AA:$AK,9,0)+VLOOKUP($C90,'[15]2024 COBs'!$AA:$AK,10,0)+VLOOKUP($C90,'[15]2024 COBs'!$AA:$AK,11,0))*18%,"")</f>
        <v>991.87683410237264</v>
      </c>
      <c r="W90" s="79">
        <f>IFERROR((VLOOKUP($C90,'[15]2024 COBs'!$AA:$AK,8,0)+VLOOKUP($C90,'[15]2024 COBs'!$AA:$AK,9,0)+VLOOKUP($C90,'[15]2024 COBs'!$AA:$AK,10,0)+VLOOKUP($C90,'[15]2024 COBs'!$AA:$AK,11,0))*27%,"")</f>
        <v>1487.8152511535591</v>
      </c>
      <c r="X90" s="79">
        <f>IFERROR((VLOOKUP($C90,'[15]2024 COBs'!$AA:$AK,8,0)+VLOOKUP($C90,'[15]2024 COBs'!$AA:$AK,9,0)+VLOOKUP($C90,'[15]2024 COBs'!$AA:$AK,10,0)+VLOOKUP($C90,'[15]2024 COBs'!$AA:$AK,11,0))*14%,"")</f>
        <v>771.45975985740097</v>
      </c>
      <c r="Y90" s="79">
        <f>IFERROR(VLOOKUP($C90,'[15]2024 COBs'!$AA:$AK,4,0),"")</f>
        <v>3665.7119680711562</v>
      </c>
      <c r="Z90" s="80">
        <f t="shared" si="6"/>
        <v>29166.013872577128</v>
      </c>
      <c r="AF90" s="76" t="s">
        <v>572</v>
      </c>
      <c r="AG90" s="76" t="s">
        <v>572</v>
      </c>
      <c r="AH90" s="78" t="s">
        <v>573</v>
      </c>
      <c r="AI90" s="78" t="s">
        <v>404</v>
      </c>
      <c r="AJ90" s="78"/>
      <c r="AK90" s="78"/>
      <c r="AL90" s="78">
        <v>5</v>
      </c>
      <c r="AM90" s="77" t="s">
        <v>421</v>
      </c>
      <c r="AN90" s="77" t="s">
        <v>439</v>
      </c>
      <c r="AO90" s="79"/>
      <c r="AP90" s="79"/>
      <c r="AQ90" s="79"/>
      <c r="AR90" s="79"/>
      <c r="AS90" s="79"/>
      <c r="AT90" s="79"/>
      <c r="AU90" s="79"/>
      <c r="AV90" s="79"/>
      <c r="AW90" s="79"/>
      <c r="AX90" s="79"/>
      <c r="AY90" s="79"/>
      <c r="AZ90" s="80">
        <f t="shared" si="9"/>
        <v>0</v>
      </c>
      <c r="BK90" s="65" t="s">
        <v>223</v>
      </c>
      <c r="BL90" s="65" t="s">
        <v>411</v>
      </c>
      <c r="BM90" s="65" t="s">
        <v>415</v>
      </c>
      <c r="BN90" s="65">
        <v>1</v>
      </c>
    </row>
    <row r="91" spans="2:66" x14ac:dyDescent="0.25">
      <c r="B91" s="76" t="s">
        <v>221</v>
      </c>
      <c r="C91" s="76" t="s">
        <v>221</v>
      </c>
      <c r="D91" s="77" t="s">
        <v>589</v>
      </c>
      <c r="E91" s="77" t="s">
        <v>404</v>
      </c>
      <c r="F91" s="77"/>
      <c r="G91" s="77"/>
      <c r="H91" s="77">
        <v>3</v>
      </c>
      <c r="I91" s="77" t="s">
        <v>401</v>
      </c>
      <c r="J91" s="77" t="s">
        <v>390</v>
      </c>
      <c r="K91" s="77" t="s">
        <v>590</v>
      </c>
      <c r="L91" s="78" t="str">
        <f t="shared" si="7"/>
        <v>Yes</v>
      </c>
      <c r="M91" s="77" t="str" cm="1">
        <f t="array" ref="M91">IF(OR(UPPER(TRIM($C91))="BRAZIL",UPPER(TRIM($C91))="INDIA",UPPER(TRIM($C91))="PHILIPPINES"),
   "UNDP OP8 COB - RPA",
   IFERROR(
     VLOOKUP($C91,$BF:$BG,2,0),
     _xlfn.SWITCH(UPPER(TRIM($K91)),
       "N/A","N/A",
       "VACANT","UNDP OP8 COB - Vacant",
       "UNDP","UNDP OP8 COB - UNDP CO",
       "UN COMPOUND","UNDP OP8 COB - UN Compound",
       "UNDP - WFH","UNDP OP8 COB - UNDP WFH",
"UNICEF","UNDP OP8 COB - UNICEF",
       "NHI","n.End of June 2026",
       "PRIVATE LEASE","k.End of Mar 2026",
       ""
     )
   )
)</f>
        <v>i.End of Jan 2026</v>
      </c>
      <c r="N91" s="77" t="str">
        <f t="shared" si="8"/>
        <v>UNOPS Action</v>
      </c>
      <c r="O91" s="79">
        <f>IFERROR(VLOOKUP($C91,'[15]2024 COBs'!$AA:$AK,5,0),"")</f>
        <v>4200</v>
      </c>
      <c r="P91" s="79">
        <f>IFERROR((VLOOKUP($C91,'[15]2024 COBs'!$AA:$AK,8,0)+VLOOKUP($C91,'[15]2024 COBs'!$AA:$AK,9,0)+VLOOKUP($C91,'[15]2024 COBs'!$AA:$AK,10,0)+VLOOKUP($C91,'[15]2024 COBs'!$AA:$AK,11,0))*5%,"")</f>
        <v>32.512500000000003</v>
      </c>
      <c r="Q91" s="79">
        <f>IFERROR((VLOOKUP($C91,'[15]2024 COBs'!$AA:$AK,8,0)+VLOOKUP($C91,'[15]2024 COBs'!$AA:$AK,9,0)+VLOOKUP($C91,'[15]2024 COBs'!$AA:$AK,10,0)+VLOOKUP($C91,'[15]2024 COBs'!$AA:$AK,11,0))*16%,"")</f>
        <v>104.04</v>
      </c>
      <c r="R91" s="79"/>
      <c r="S91" s="79">
        <f>IFERROR(VLOOKUP($C91,'[15]2024 COBs'!$AA:$AK,7,0),"")</f>
        <v>225.00000000000003</v>
      </c>
      <c r="T91" s="79">
        <f>IFERROR((VLOOKUP($C91,'[15]2024 COBs'!$AA:$AK,8,0)+VLOOKUP($C91,'[15]2024 COBs'!$AA:$AK,9,0)+VLOOKUP($C91,'[15]2024 COBs'!$AA:$AK,10,0)+VLOOKUP($C91,'[15]2024 COBs'!$AA:$AK,11,0))*20%,"")</f>
        <v>130.05000000000001</v>
      </c>
      <c r="U91" s="79">
        <f>IFERROR(VLOOKUP($C91,'[15]2024 COBs'!$AA:$AK,6,0),"")</f>
        <v>11652.75</v>
      </c>
      <c r="V91" s="79">
        <f>IFERROR((VLOOKUP($C91,'[15]2024 COBs'!$AA:$AK,8,0)+VLOOKUP($C91,'[15]2024 COBs'!$AA:$AK,9,0)+VLOOKUP($C91,'[15]2024 COBs'!$AA:$AK,10,0)+VLOOKUP($C91,'[15]2024 COBs'!$AA:$AK,11,0))*18%,"")</f>
        <v>117.045</v>
      </c>
      <c r="W91" s="79">
        <f>IFERROR((VLOOKUP($C91,'[15]2024 COBs'!$AA:$AK,8,0)+VLOOKUP($C91,'[15]2024 COBs'!$AA:$AK,9,0)+VLOOKUP($C91,'[15]2024 COBs'!$AA:$AK,10,0)+VLOOKUP($C91,'[15]2024 COBs'!$AA:$AK,11,0))*27%,"")</f>
        <v>175.56750000000002</v>
      </c>
      <c r="X91" s="79">
        <f>IFERROR((VLOOKUP($C91,'[15]2024 COBs'!$AA:$AK,8,0)+VLOOKUP($C91,'[15]2024 COBs'!$AA:$AK,9,0)+VLOOKUP($C91,'[15]2024 COBs'!$AA:$AK,10,0)+VLOOKUP($C91,'[15]2024 COBs'!$AA:$AK,11,0))*14%,"")</f>
        <v>91.035000000000011</v>
      </c>
      <c r="Y91" s="79">
        <f>IFERROR(VLOOKUP($C91,'[15]2024 COBs'!$AA:$AK,4,0),"")</f>
        <v>150</v>
      </c>
      <c r="Z91" s="80">
        <f t="shared" si="6"/>
        <v>16878</v>
      </c>
      <c r="AF91" s="76" t="s">
        <v>221</v>
      </c>
      <c r="AG91" s="76" t="s">
        <v>221</v>
      </c>
      <c r="AH91" s="78" t="s">
        <v>589</v>
      </c>
      <c r="AI91" s="78" t="s">
        <v>404</v>
      </c>
      <c r="AJ91" s="78"/>
      <c r="AK91" s="78"/>
      <c r="AL91" s="78">
        <v>3</v>
      </c>
      <c r="AM91" s="77" t="s">
        <v>401</v>
      </c>
      <c r="AN91" s="77" t="s">
        <v>390</v>
      </c>
      <c r="AO91" s="79"/>
      <c r="AP91" s="79"/>
      <c r="AQ91" s="79"/>
      <c r="AR91" s="79"/>
      <c r="AS91" s="79"/>
      <c r="AT91" s="79"/>
      <c r="AU91" s="79"/>
      <c r="AV91" s="79"/>
      <c r="AW91" s="79"/>
      <c r="AX91" s="79"/>
      <c r="AY91" s="79"/>
      <c r="AZ91" s="80">
        <f t="shared" si="9"/>
        <v>0</v>
      </c>
      <c r="BK91" s="65" t="s">
        <v>224</v>
      </c>
      <c r="BL91" s="65" t="s">
        <v>411</v>
      </c>
      <c r="BM91" s="65" t="s">
        <v>396</v>
      </c>
      <c r="BN91" s="65">
        <v>1</v>
      </c>
    </row>
    <row r="92" spans="2:66" x14ac:dyDescent="0.25">
      <c r="B92" s="76" t="s">
        <v>222</v>
      </c>
      <c r="C92" s="76" t="s">
        <v>222</v>
      </c>
      <c r="D92" s="77" t="s">
        <v>492</v>
      </c>
      <c r="E92" s="77" t="s">
        <v>394</v>
      </c>
      <c r="F92" s="77"/>
      <c r="G92" s="77"/>
      <c r="H92" s="77">
        <v>3</v>
      </c>
      <c r="I92" s="77" t="s">
        <v>401</v>
      </c>
      <c r="J92" s="77" t="s">
        <v>390</v>
      </c>
      <c r="K92" s="77" t="s">
        <v>17</v>
      </c>
      <c r="L92" s="78" t="str">
        <f t="shared" si="7"/>
        <v/>
      </c>
      <c r="M92" s="77" t="str" cm="1">
        <f t="array" ref="M92">IF(OR(UPPER(TRIM($C92))="BRAZIL",UPPER(TRIM($C92))="INDIA",UPPER(TRIM($C92))="PHILIPPINES"),
   "UNDP OP8 COB - RPA",
   IFERROR(
     VLOOKUP($C92,$BF:$BG,2,0),
     _xlfn.SWITCH(UPPER(TRIM($K92)),
       "N/A","N/A",
       "VACANT","UNDP OP8 COB - Vacant",
       "UNDP","UNDP OP8 COB - UNDP CO",
       "UN COMPOUND","UNDP OP8 COB - UN Compound",
       "UNDP - WFH","UNDP OP8 COB - UNDP WFH",
"UNICEF","UNDP OP8 COB - UNICEF",
       "NHI","n.End of June 2026",
       "PRIVATE LEASE","k.End of Mar 2026",
       ""
     )
   )
)</f>
        <v>UNDP OP8 COB - UNDP CO</v>
      </c>
      <c r="N92" s="77" t="str">
        <f t="shared" si="8"/>
        <v>UNDP Action</v>
      </c>
      <c r="O92" s="79">
        <f>IFERROR(VLOOKUP($C92,'[15]2024 COBs'!$AA:$AK,5,0),"")</f>
        <v>8932.1999999999989</v>
      </c>
      <c r="P92" s="79">
        <f>IFERROR((VLOOKUP($C92,'[15]2024 COBs'!$AA:$AK,8,0)+VLOOKUP($C92,'[15]2024 COBs'!$AA:$AK,9,0)+VLOOKUP($C92,'[15]2024 COBs'!$AA:$AK,10,0)+VLOOKUP($C92,'[15]2024 COBs'!$AA:$AK,11,0))*5%,"")</f>
        <v>6.660000000000001</v>
      </c>
      <c r="Q92" s="79">
        <f>IFERROR((VLOOKUP($C92,'[15]2024 COBs'!$AA:$AK,8,0)+VLOOKUP($C92,'[15]2024 COBs'!$AA:$AK,9,0)+VLOOKUP($C92,'[15]2024 COBs'!$AA:$AK,10,0)+VLOOKUP($C92,'[15]2024 COBs'!$AA:$AK,11,0))*16%,"")</f>
        <v>21.312000000000005</v>
      </c>
      <c r="R92" s="79"/>
      <c r="S92" s="79">
        <f>IFERROR(VLOOKUP($C92,'[15]2024 COBs'!$AA:$AK,7,0),"")</f>
        <v>0</v>
      </c>
      <c r="T92" s="79">
        <f>IFERROR((VLOOKUP($C92,'[15]2024 COBs'!$AA:$AK,8,0)+VLOOKUP($C92,'[15]2024 COBs'!$AA:$AK,9,0)+VLOOKUP($C92,'[15]2024 COBs'!$AA:$AK,10,0)+VLOOKUP($C92,'[15]2024 COBs'!$AA:$AK,11,0))*20%,"")</f>
        <v>26.640000000000004</v>
      </c>
      <c r="U92" s="79">
        <f>IFERROR(VLOOKUP($C92,'[15]2024 COBs'!$AA:$AK,6,0),"")</f>
        <v>14140.8</v>
      </c>
      <c r="V92" s="79">
        <f>IFERROR((VLOOKUP($C92,'[15]2024 COBs'!$AA:$AK,8,0)+VLOOKUP($C92,'[15]2024 COBs'!$AA:$AK,9,0)+VLOOKUP($C92,'[15]2024 COBs'!$AA:$AK,10,0)+VLOOKUP($C92,'[15]2024 COBs'!$AA:$AK,11,0))*18%,"")</f>
        <v>23.976000000000003</v>
      </c>
      <c r="W92" s="79">
        <f>IFERROR((VLOOKUP($C92,'[15]2024 COBs'!$AA:$AK,8,0)+VLOOKUP($C92,'[15]2024 COBs'!$AA:$AK,9,0)+VLOOKUP($C92,'[15]2024 COBs'!$AA:$AK,10,0)+VLOOKUP($C92,'[15]2024 COBs'!$AA:$AK,11,0))*27%,"")</f>
        <v>35.964000000000006</v>
      </c>
      <c r="X92" s="79">
        <f>IFERROR((VLOOKUP($C92,'[15]2024 COBs'!$AA:$AK,8,0)+VLOOKUP($C92,'[15]2024 COBs'!$AA:$AK,9,0)+VLOOKUP($C92,'[15]2024 COBs'!$AA:$AK,10,0)+VLOOKUP($C92,'[15]2024 COBs'!$AA:$AK,11,0))*14%,"")</f>
        <v>18.648000000000003</v>
      </c>
      <c r="Y92" s="79">
        <f>IFERROR(VLOOKUP($C92,'[15]2024 COBs'!$AA:$AK,4,0),"")</f>
        <v>793.8</v>
      </c>
      <c r="Z92" s="80">
        <f t="shared" si="6"/>
        <v>23999.999999999996</v>
      </c>
      <c r="AF92" s="76" t="s">
        <v>591</v>
      </c>
      <c r="AG92" s="76" t="s">
        <v>230</v>
      </c>
      <c r="AH92" s="78" t="s">
        <v>592</v>
      </c>
      <c r="AI92" s="78" t="s">
        <v>404</v>
      </c>
      <c r="AJ92" s="78"/>
      <c r="AK92" s="78"/>
      <c r="AL92" s="78">
        <v>3</v>
      </c>
      <c r="AM92" s="77" t="s">
        <v>401</v>
      </c>
      <c r="AN92" s="77" t="s">
        <v>395</v>
      </c>
      <c r="AO92" s="79"/>
      <c r="AP92" s="79"/>
      <c r="AQ92" s="79"/>
      <c r="AR92" s="79"/>
      <c r="AS92" s="79"/>
      <c r="AT92" s="79"/>
      <c r="AU92" s="79"/>
      <c r="AV92" s="79"/>
      <c r="AW92" s="79"/>
      <c r="AX92" s="79"/>
      <c r="AY92" s="79"/>
      <c r="AZ92" s="80">
        <f t="shared" si="9"/>
        <v>0</v>
      </c>
      <c r="BK92" s="65" t="s">
        <v>225</v>
      </c>
      <c r="BL92" s="65" t="s">
        <v>411</v>
      </c>
      <c r="BM92" s="65" t="s">
        <v>396</v>
      </c>
      <c r="BN92" s="65">
        <v>1</v>
      </c>
    </row>
    <row r="93" spans="2:66" x14ac:dyDescent="0.25">
      <c r="B93" s="76" t="s">
        <v>223</v>
      </c>
      <c r="C93" s="76" t="s">
        <v>223</v>
      </c>
      <c r="D93" s="77" t="s">
        <v>493</v>
      </c>
      <c r="E93" s="77" t="s">
        <v>394</v>
      </c>
      <c r="F93" s="77"/>
      <c r="G93" s="77" t="s">
        <v>463</v>
      </c>
      <c r="H93" s="77">
        <v>2</v>
      </c>
      <c r="I93" s="77" t="s">
        <v>401</v>
      </c>
      <c r="J93" s="77" t="s">
        <v>390</v>
      </c>
      <c r="K93" s="77" t="s">
        <v>463</v>
      </c>
      <c r="L93" s="78" t="str">
        <f t="shared" si="7"/>
        <v>Yes</v>
      </c>
      <c r="M93" s="77" t="str" cm="1">
        <f t="array" ref="M93">IF(OR(UPPER(TRIM($C93))="BRAZIL",UPPER(TRIM($C93))="INDIA",UPPER(TRIM($C93))="PHILIPPINES"),
   "UNDP OP8 COB - RPA",
   IFERROR(
     VLOOKUP($C93,$BF:$BG,2,0),
     _xlfn.SWITCH(UPPER(TRIM($K93)),
       "N/A","N/A",
       "VACANT","UNDP OP8 COB - Vacant",
       "UNDP","UNDP OP8 COB - UNDP CO",
       "UN COMPOUND","UNDP OP8 COB - UN Compound",
       "UNDP - WFH","UNDP OP8 COB - UNDP WFH",
"UNICEF","UNDP OP8 COB - UNICEF",
       "NHI","n.End of June 2026",
       "PRIVATE LEASE","k.End of Mar 2026",
       ""
     )
   )
)</f>
        <v>k.End of Mar 2026</v>
      </c>
      <c r="N93" s="77" t="str">
        <f t="shared" si="8"/>
        <v>UNOPS Action</v>
      </c>
      <c r="O93" s="79">
        <f>IFERROR(VLOOKUP($C93,'[15]2024 COBs'!$AA:$AK,5,0),"")</f>
        <v>10800</v>
      </c>
      <c r="P93" s="79">
        <f>IFERROR((VLOOKUP($C93,'[15]2024 COBs'!$AA:$AK,8,0)+VLOOKUP($C93,'[15]2024 COBs'!$AA:$AK,9,0)+VLOOKUP($C93,'[15]2024 COBs'!$AA:$AK,10,0)+VLOOKUP($C93,'[15]2024 COBs'!$AA:$AK,11,0))*5%,"")</f>
        <v>158.70000000000002</v>
      </c>
      <c r="Q93" s="79">
        <f>IFERROR((VLOOKUP($C93,'[15]2024 COBs'!$AA:$AK,8,0)+VLOOKUP($C93,'[15]2024 COBs'!$AA:$AK,9,0)+VLOOKUP($C93,'[15]2024 COBs'!$AA:$AK,10,0)+VLOOKUP($C93,'[15]2024 COBs'!$AA:$AK,11,0))*16%,"")</f>
        <v>507.84000000000003</v>
      </c>
      <c r="R93" s="79"/>
      <c r="S93" s="79">
        <f>IFERROR(VLOOKUP($C93,'[15]2024 COBs'!$AA:$AK,7,0),"")</f>
        <v>300</v>
      </c>
      <c r="T93" s="79">
        <f>IFERROR((VLOOKUP($C93,'[15]2024 COBs'!$AA:$AK,8,0)+VLOOKUP($C93,'[15]2024 COBs'!$AA:$AK,9,0)+VLOOKUP($C93,'[15]2024 COBs'!$AA:$AK,10,0)+VLOOKUP($C93,'[15]2024 COBs'!$AA:$AK,11,0))*20%,"")</f>
        <v>634.80000000000007</v>
      </c>
      <c r="U93" s="79">
        <f>IFERROR(VLOOKUP($C93,'[15]2024 COBs'!$AA:$AK,6,0),"")</f>
        <v>7200</v>
      </c>
      <c r="V93" s="79">
        <f>IFERROR((VLOOKUP($C93,'[15]2024 COBs'!$AA:$AK,8,0)+VLOOKUP($C93,'[15]2024 COBs'!$AA:$AK,9,0)+VLOOKUP($C93,'[15]2024 COBs'!$AA:$AK,10,0)+VLOOKUP($C93,'[15]2024 COBs'!$AA:$AK,11,0))*18%,"")</f>
        <v>571.31999999999994</v>
      </c>
      <c r="W93" s="79">
        <f>IFERROR((VLOOKUP($C93,'[15]2024 COBs'!$AA:$AK,8,0)+VLOOKUP($C93,'[15]2024 COBs'!$AA:$AK,9,0)+VLOOKUP($C93,'[15]2024 COBs'!$AA:$AK,10,0)+VLOOKUP($C93,'[15]2024 COBs'!$AA:$AK,11,0))*27%,"")</f>
        <v>856.98</v>
      </c>
      <c r="X93" s="79">
        <f>IFERROR((VLOOKUP($C93,'[15]2024 COBs'!$AA:$AK,8,0)+VLOOKUP($C93,'[15]2024 COBs'!$AA:$AK,9,0)+VLOOKUP($C93,'[15]2024 COBs'!$AA:$AK,10,0)+VLOOKUP($C93,'[15]2024 COBs'!$AA:$AK,11,0))*14%,"")</f>
        <v>444.36000000000007</v>
      </c>
      <c r="Y93" s="79">
        <f>IFERROR(VLOOKUP($C93,'[15]2024 COBs'!$AA:$AK,4,0),"")</f>
        <v>480.00000000000006</v>
      </c>
      <c r="Z93" s="80">
        <f t="shared" si="6"/>
        <v>21954</v>
      </c>
      <c r="AF93" s="76" t="s">
        <v>593</v>
      </c>
      <c r="AG93" s="76" t="s">
        <v>593</v>
      </c>
      <c r="AH93" s="78" t="s">
        <v>594</v>
      </c>
      <c r="AI93" s="78" t="s">
        <v>404</v>
      </c>
      <c r="AJ93" s="78"/>
      <c r="AK93" s="78"/>
      <c r="AL93" s="78">
        <v>3</v>
      </c>
      <c r="AM93" s="77" t="s">
        <v>389</v>
      </c>
      <c r="AN93" s="77" t="s">
        <v>390</v>
      </c>
      <c r="AO93" s="79"/>
      <c r="AP93" s="79"/>
      <c r="AQ93" s="79"/>
      <c r="AR93" s="79"/>
      <c r="AS93" s="79"/>
      <c r="AT93" s="79"/>
      <c r="AU93" s="79"/>
      <c r="AV93" s="79"/>
      <c r="AW93" s="79"/>
      <c r="AX93" s="79"/>
      <c r="AY93" s="79"/>
      <c r="AZ93" s="80">
        <f t="shared" si="9"/>
        <v>0</v>
      </c>
      <c r="BK93" s="65" t="s">
        <v>226</v>
      </c>
      <c r="BL93" s="65" t="s">
        <v>397</v>
      </c>
      <c r="BM93" s="65" t="s">
        <v>398</v>
      </c>
      <c r="BN93" s="65">
        <v>2</v>
      </c>
    </row>
    <row r="94" spans="2:66" x14ac:dyDescent="0.25">
      <c r="B94" s="76" t="s">
        <v>224</v>
      </c>
      <c r="C94" s="76" t="s">
        <v>224</v>
      </c>
      <c r="D94" s="77" t="s">
        <v>554</v>
      </c>
      <c r="E94" s="77" t="s">
        <v>388</v>
      </c>
      <c r="F94" s="77" t="s">
        <v>409</v>
      </c>
      <c r="G94" s="77" t="s">
        <v>463</v>
      </c>
      <c r="H94" s="77">
        <v>4</v>
      </c>
      <c r="I94" s="77" t="s">
        <v>401</v>
      </c>
      <c r="J94" s="77" t="s">
        <v>390</v>
      </c>
      <c r="K94" s="77" t="s">
        <v>463</v>
      </c>
      <c r="L94" s="78" t="str">
        <f t="shared" si="7"/>
        <v>Yes</v>
      </c>
      <c r="M94" s="77" t="str" cm="1">
        <f t="array" ref="M94">IF(OR(UPPER(TRIM($C94))="BRAZIL",UPPER(TRIM($C94))="INDIA",UPPER(TRIM($C94))="PHILIPPINES"),
   "UNDP OP8 COB - RPA",
   IFERROR(
     VLOOKUP($C94,$BF:$BG,2,0),
     _xlfn.SWITCH(UPPER(TRIM($K94)),
       "N/A","N/A",
       "VACANT","UNDP OP8 COB - Vacant",
       "UNDP","UNDP OP8 COB - UNDP CO",
       "UN COMPOUND","UNDP OP8 COB - UN Compound",
       "UNDP - WFH","UNDP OP8 COB - UNDP WFH",
"UNICEF","UNDP OP8 COB - UNICEF",
       "NHI","n.End of June 2026",
       "PRIVATE LEASE","k.End of Mar 2026",
       ""
     )
   )
)</f>
        <v>n.End of June 2026</v>
      </c>
      <c r="N94" s="77" t="str">
        <f t="shared" si="8"/>
        <v>UNOPS Action</v>
      </c>
      <c r="O94" s="79">
        <f>IFERROR(VLOOKUP($C94,'[15]2024 COBs'!$AA:$AK,5,0),"")</f>
        <v>900</v>
      </c>
      <c r="P94" s="79">
        <f>IFERROR((VLOOKUP($C94,'[15]2024 COBs'!$AA:$AK,8,0)+VLOOKUP($C94,'[15]2024 COBs'!$AA:$AK,9,0)+VLOOKUP($C94,'[15]2024 COBs'!$AA:$AK,10,0)+VLOOKUP($C94,'[15]2024 COBs'!$AA:$AK,11,0))*5%,"")</f>
        <v>345</v>
      </c>
      <c r="Q94" s="79">
        <f>IFERROR((VLOOKUP($C94,'[15]2024 COBs'!$AA:$AK,8,0)+VLOOKUP($C94,'[15]2024 COBs'!$AA:$AK,9,0)+VLOOKUP($C94,'[15]2024 COBs'!$AA:$AK,10,0)+VLOOKUP($C94,'[15]2024 COBs'!$AA:$AK,11,0))*16%,"")</f>
        <v>1104</v>
      </c>
      <c r="R94" s="79">
        <v>4000</v>
      </c>
      <c r="S94" s="79">
        <f>IFERROR(VLOOKUP($C94,'[15]2024 COBs'!$AA:$AK,7,0),"")</f>
        <v>0</v>
      </c>
      <c r="T94" s="79">
        <f>IFERROR((VLOOKUP($C94,'[15]2024 COBs'!$AA:$AK,8,0)+VLOOKUP($C94,'[15]2024 COBs'!$AA:$AK,9,0)+VLOOKUP($C94,'[15]2024 COBs'!$AA:$AK,10,0)+VLOOKUP($C94,'[15]2024 COBs'!$AA:$AK,11,0))*20%,"")</f>
        <v>1380</v>
      </c>
      <c r="U94" s="79">
        <f>IFERROR(VLOOKUP($C94,'[15]2024 COBs'!$AA:$AK,6,0),"")</f>
        <v>21600</v>
      </c>
      <c r="V94" s="79">
        <f>IFERROR((VLOOKUP($C94,'[15]2024 COBs'!$AA:$AK,8,0)+VLOOKUP($C94,'[15]2024 COBs'!$AA:$AK,9,0)+VLOOKUP($C94,'[15]2024 COBs'!$AA:$AK,10,0)+VLOOKUP($C94,'[15]2024 COBs'!$AA:$AK,11,0))*18%,"")</f>
        <v>1242</v>
      </c>
      <c r="W94" s="79">
        <f>IFERROR((VLOOKUP($C94,'[15]2024 COBs'!$AA:$AK,8,0)+VLOOKUP($C94,'[15]2024 COBs'!$AA:$AK,9,0)+VLOOKUP($C94,'[15]2024 COBs'!$AA:$AK,10,0)+VLOOKUP($C94,'[15]2024 COBs'!$AA:$AK,11,0))*27%,"")</f>
        <v>1863.0000000000002</v>
      </c>
      <c r="X94" s="79">
        <f>IFERROR((VLOOKUP($C94,'[15]2024 COBs'!$AA:$AK,8,0)+VLOOKUP($C94,'[15]2024 COBs'!$AA:$AK,9,0)+VLOOKUP($C94,'[15]2024 COBs'!$AA:$AK,10,0)+VLOOKUP($C94,'[15]2024 COBs'!$AA:$AK,11,0))*14%,"")</f>
        <v>966.00000000000011</v>
      </c>
      <c r="Y94" s="79">
        <f>IFERROR(VLOOKUP($C94,'[15]2024 COBs'!$AA:$AK,4,0),"")</f>
        <v>900</v>
      </c>
      <c r="Z94" s="80">
        <f t="shared" si="6"/>
        <v>34300</v>
      </c>
      <c r="AF94" s="76" t="s">
        <v>595</v>
      </c>
      <c r="AG94" s="76" t="s">
        <v>595</v>
      </c>
      <c r="AH94" s="78" t="s">
        <v>596</v>
      </c>
      <c r="AI94" s="78" t="s">
        <v>404</v>
      </c>
      <c r="AJ94" s="78"/>
      <c r="AK94" s="78"/>
      <c r="AL94" s="78">
        <v>5</v>
      </c>
      <c r="AM94" s="77" t="s">
        <v>421</v>
      </c>
      <c r="AN94" s="77" t="s">
        <v>439</v>
      </c>
      <c r="AO94" s="79"/>
      <c r="AP94" s="79"/>
      <c r="AQ94" s="79"/>
      <c r="AR94" s="79"/>
      <c r="AS94" s="79"/>
      <c r="AT94" s="79"/>
      <c r="AU94" s="79"/>
      <c r="AV94" s="79"/>
      <c r="AW94" s="79"/>
      <c r="AX94" s="79"/>
      <c r="AY94" s="79"/>
      <c r="AZ94" s="80">
        <f t="shared" si="9"/>
        <v>0</v>
      </c>
      <c r="BK94" s="65" t="s">
        <v>227</v>
      </c>
      <c r="BL94" s="65" t="s">
        <v>397</v>
      </c>
      <c r="BM94" s="65" t="s">
        <v>398</v>
      </c>
      <c r="BN94" s="65">
        <v>1</v>
      </c>
    </row>
    <row r="95" spans="2:66" x14ac:dyDescent="0.25">
      <c r="B95" s="76" t="s">
        <v>225</v>
      </c>
      <c r="C95" s="76" t="s">
        <v>225</v>
      </c>
      <c r="D95" s="77" t="s">
        <v>556</v>
      </c>
      <c r="E95" s="77" t="s">
        <v>388</v>
      </c>
      <c r="F95" s="77"/>
      <c r="G95" s="77"/>
      <c r="H95" s="77">
        <v>3</v>
      </c>
      <c r="I95" s="77" t="s">
        <v>401</v>
      </c>
      <c r="J95" s="77" t="s">
        <v>390</v>
      </c>
      <c r="K95" s="77" t="s">
        <v>425</v>
      </c>
      <c r="L95" s="78" t="str">
        <f t="shared" si="7"/>
        <v>Yes</v>
      </c>
      <c r="M95" s="77" t="str" cm="1">
        <f t="array" ref="M95">IF(OR(UPPER(TRIM($C95))="BRAZIL",UPPER(TRIM($C95))="INDIA",UPPER(TRIM($C95))="PHILIPPINES"),
   "UNDP OP8 COB - RPA",
   IFERROR(
     VLOOKUP($C95,$BF:$BG,2,0),
     _xlfn.SWITCH(UPPER(TRIM($K95)),
       "N/A","N/A",
       "VACANT","UNDP OP8 COB - Vacant",
       "UNDP","UNDP OP8 COB - UNDP CO",
       "UN COMPOUND","UNDP OP8 COB - UN Compound",
       "UNDP - WFH","UNDP OP8 COB - UNDP WFH",
"UNICEF","UNDP OP8 COB - UNICEF",
       "NHI","n.End of June 2026",
       "PRIVATE LEASE","k.End of Mar 2026",
       ""
     )
   )
)</f>
        <v>n.End of June 2026</v>
      </c>
      <c r="N95" s="77" t="str">
        <f t="shared" si="8"/>
        <v>UNOPS Action</v>
      </c>
      <c r="O95" s="79">
        <f>IFERROR(VLOOKUP($C95,'[15]2024 COBs'!$AA:$AK,5,0),"")</f>
        <v>6678.140625</v>
      </c>
      <c r="P95" s="79">
        <f>IFERROR((VLOOKUP($C95,'[15]2024 COBs'!$AA:$AK,8,0)+VLOOKUP($C95,'[15]2024 COBs'!$AA:$AK,9,0)+VLOOKUP($C95,'[15]2024 COBs'!$AA:$AK,10,0)+VLOOKUP($C95,'[15]2024 COBs'!$AA:$AK,11,0))*5%,"")</f>
        <v>316.34772443181822</v>
      </c>
      <c r="Q95" s="79">
        <f>IFERROR((VLOOKUP($C95,'[15]2024 COBs'!$AA:$AK,8,0)+VLOOKUP($C95,'[15]2024 COBs'!$AA:$AK,9,0)+VLOOKUP($C95,'[15]2024 COBs'!$AA:$AK,10,0)+VLOOKUP($C95,'[15]2024 COBs'!$AA:$AK,11,0))*16%,"")</f>
        <v>1012.3127181818182</v>
      </c>
      <c r="R95" s="79"/>
      <c r="S95" s="79">
        <f>IFERROR(VLOOKUP($C95,'[15]2024 COBs'!$AA:$AK,7,0),"")</f>
        <v>186.80113636363637</v>
      </c>
      <c r="T95" s="79">
        <f>IFERROR((VLOOKUP($C95,'[15]2024 COBs'!$AA:$AK,8,0)+VLOOKUP($C95,'[15]2024 COBs'!$AA:$AK,9,0)+VLOOKUP($C95,'[15]2024 COBs'!$AA:$AK,10,0)+VLOOKUP($C95,'[15]2024 COBs'!$AA:$AK,11,0))*20%,"")</f>
        <v>1265.3908977272729</v>
      </c>
      <c r="U95" s="79">
        <f>IFERROR(VLOOKUP($C95,'[15]2024 COBs'!$AA:$AK,6,0),"")</f>
        <v>19109.756250000002</v>
      </c>
      <c r="V95" s="79">
        <f>IFERROR((VLOOKUP($C95,'[15]2024 COBs'!$AA:$AK,8,0)+VLOOKUP($C95,'[15]2024 COBs'!$AA:$AK,9,0)+VLOOKUP($C95,'[15]2024 COBs'!$AA:$AK,10,0)+VLOOKUP($C95,'[15]2024 COBs'!$AA:$AK,11,0))*18%,"")</f>
        <v>1138.8518079545454</v>
      </c>
      <c r="W95" s="79">
        <f>IFERROR((VLOOKUP($C95,'[15]2024 COBs'!$AA:$AK,8,0)+VLOOKUP($C95,'[15]2024 COBs'!$AA:$AK,9,0)+VLOOKUP($C95,'[15]2024 COBs'!$AA:$AK,10,0)+VLOOKUP($C95,'[15]2024 COBs'!$AA:$AK,11,0))*27%,"")</f>
        <v>1708.2777119318184</v>
      </c>
      <c r="X95" s="79">
        <f>IFERROR((VLOOKUP($C95,'[15]2024 COBs'!$AA:$AK,8,0)+VLOOKUP($C95,'[15]2024 COBs'!$AA:$AK,9,0)+VLOOKUP($C95,'[15]2024 COBs'!$AA:$AK,10,0)+VLOOKUP($C95,'[15]2024 COBs'!$AA:$AK,11,0))*14%,"")</f>
        <v>885.77362840909097</v>
      </c>
      <c r="Y95" s="79">
        <f>IFERROR(VLOOKUP($C95,'[15]2024 COBs'!$AA:$AK,4,0),"")</f>
        <v>575.34750000000008</v>
      </c>
      <c r="Z95" s="80">
        <f t="shared" si="6"/>
        <v>32877.000000000007</v>
      </c>
      <c r="AF95" s="76" t="s">
        <v>248</v>
      </c>
      <c r="AG95" s="76" t="s">
        <v>248</v>
      </c>
      <c r="AH95" s="78" t="s">
        <v>597</v>
      </c>
      <c r="AI95" s="78" t="s">
        <v>404</v>
      </c>
      <c r="AJ95" s="78"/>
      <c r="AK95" s="78"/>
      <c r="AL95" s="78">
        <v>2</v>
      </c>
      <c r="AM95" s="77" t="s">
        <v>401</v>
      </c>
      <c r="AN95" s="77" t="s">
        <v>390</v>
      </c>
      <c r="AO95" s="79"/>
      <c r="AP95" s="79"/>
      <c r="AQ95" s="79"/>
      <c r="AR95" s="79"/>
      <c r="AS95" s="79"/>
      <c r="AT95" s="79"/>
      <c r="AU95" s="79"/>
      <c r="AV95" s="79"/>
      <c r="AW95" s="79"/>
      <c r="AX95" s="79"/>
      <c r="AY95" s="79"/>
      <c r="AZ95" s="80">
        <f t="shared" si="9"/>
        <v>0</v>
      </c>
      <c r="BK95" s="65" t="s">
        <v>227</v>
      </c>
      <c r="BL95" s="65" t="s">
        <v>411</v>
      </c>
      <c r="BM95" s="65" t="s">
        <v>396</v>
      </c>
      <c r="BN95" s="65">
        <v>1</v>
      </c>
    </row>
    <row r="96" spans="2:66" x14ac:dyDescent="0.25">
      <c r="B96" s="76" t="s">
        <v>226</v>
      </c>
      <c r="C96" s="81" t="s">
        <v>226</v>
      </c>
      <c r="D96" s="77" t="s">
        <v>496</v>
      </c>
      <c r="E96" s="77" t="s">
        <v>394</v>
      </c>
      <c r="F96" s="77"/>
      <c r="G96" s="77"/>
      <c r="H96" s="77">
        <v>1</v>
      </c>
      <c r="I96" s="77" t="s">
        <v>401</v>
      </c>
      <c r="J96" s="77" t="s">
        <v>390</v>
      </c>
      <c r="K96" s="77" t="s">
        <v>17</v>
      </c>
      <c r="L96" s="78" t="str">
        <f t="shared" si="7"/>
        <v/>
      </c>
      <c r="M96" s="77" t="str" cm="1">
        <f t="array" ref="M96">IF(OR(UPPER(TRIM($C96))="BRAZIL",UPPER(TRIM($C96))="INDIA",UPPER(TRIM($C96))="PHILIPPINES"),
   "UNDP OP8 COB - RPA",
   IFERROR(
     VLOOKUP($C96,$BF:$BG,2,0),
     _xlfn.SWITCH(UPPER(TRIM($K96)),
       "N/A","N/A",
       "VACANT","UNDP OP8 COB - Vacant",
       "UNDP","UNDP OP8 COB - UNDP CO",
       "UN COMPOUND","UNDP OP8 COB - UN Compound",
       "UNDP - WFH","UNDP OP8 COB - UNDP WFH",
"UNICEF","UNDP OP8 COB - UNICEF",
       "NHI","n.End of June 2026",
       "PRIVATE LEASE","k.End of Mar 2026",
       ""
     )
   )
)</f>
        <v>UNDP OP8 COB - UNDP CO</v>
      </c>
      <c r="N96" s="77" t="str">
        <f t="shared" si="8"/>
        <v>UNDP Action</v>
      </c>
      <c r="O96" s="79">
        <v>15000</v>
      </c>
      <c r="P96" s="79">
        <f>IFERROR((VLOOKUP($C96,'[15]2024 COBs'!$AA:$AK,8,0)+VLOOKUP($C96,'[15]2024 COBs'!$AA:$AK,9,0)+VLOOKUP($C96,'[15]2024 COBs'!$AA:$AK,10,0)+VLOOKUP($C96,'[15]2024 COBs'!$AA:$AK,11,0))*5%,"")</f>
        <v>117</v>
      </c>
      <c r="Q96" s="79">
        <f>IFERROR((VLOOKUP($C96,'[15]2024 COBs'!$AA:$AK,8,0)+VLOOKUP($C96,'[15]2024 COBs'!$AA:$AK,9,0)+VLOOKUP($C96,'[15]2024 COBs'!$AA:$AK,10,0)+VLOOKUP($C96,'[15]2024 COBs'!$AA:$AK,11,0))*16%,"")</f>
        <v>374.40000000000003</v>
      </c>
      <c r="R96" s="79"/>
      <c r="S96" s="79">
        <f>IFERROR(VLOOKUP($C96,'[15]2024 COBs'!$AA:$AK,7,0),"")</f>
        <v>180</v>
      </c>
      <c r="T96" s="79">
        <f>IFERROR((VLOOKUP($C96,'[15]2024 COBs'!$AA:$AK,8,0)+VLOOKUP($C96,'[15]2024 COBs'!$AA:$AK,9,0)+VLOOKUP($C96,'[15]2024 COBs'!$AA:$AK,10,0)+VLOOKUP($C96,'[15]2024 COBs'!$AA:$AK,11,0))*20%,"")</f>
        <v>468</v>
      </c>
      <c r="U96" s="79">
        <f>IFERROR(VLOOKUP($C96,'[15]2024 COBs'!$AA:$AK,6,0),"")</f>
        <v>10234.800000000001</v>
      </c>
      <c r="V96" s="79">
        <f>IFERROR((VLOOKUP($C96,'[15]2024 COBs'!$AA:$AK,8,0)+VLOOKUP($C96,'[15]2024 COBs'!$AA:$AK,9,0)+VLOOKUP($C96,'[15]2024 COBs'!$AA:$AK,10,0)+VLOOKUP($C96,'[15]2024 COBs'!$AA:$AK,11,0))*18%,"")</f>
        <v>421.2</v>
      </c>
      <c r="W96" s="79">
        <f>IFERROR((VLOOKUP($C96,'[15]2024 COBs'!$AA:$AK,8,0)+VLOOKUP($C96,'[15]2024 COBs'!$AA:$AK,9,0)+VLOOKUP($C96,'[15]2024 COBs'!$AA:$AK,10,0)+VLOOKUP($C96,'[15]2024 COBs'!$AA:$AK,11,0))*27%,"")</f>
        <v>631.80000000000007</v>
      </c>
      <c r="X96" s="79">
        <f>IFERROR((VLOOKUP($C96,'[15]2024 COBs'!$AA:$AK,8,0)+VLOOKUP($C96,'[15]2024 COBs'!$AA:$AK,9,0)+VLOOKUP($C96,'[15]2024 COBs'!$AA:$AK,10,0)+VLOOKUP($C96,'[15]2024 COBs'!$AA:$AK,11,0))*14%,"")</f>
        <v>327.60000000000002</v>
      </c>
      <c r="Y96" s="79">
        <f>IFERROR(VLOOKUP($C96,'[15]2024 COBs'!$AA:$AK,4,0),"")</f>
        <v>660</v>
      </c>
      <c r="Z96" s="80">
        <f t="shared" si="6"/>
        <v>28414.799999999999</v>
      </c>
      <c r="AF96" s="76" t="s">
        <v>539</v>
      </c>
      <c r="AG96" s="76" t="s">
        <v>539</v>
      </c>
      <c r="AH96" s="78" t="s">
        <v>598</v>
      </c>
      <c r="AI96" s="78" t="s">
        <v>404</v>
      </c>
      <c r="AJ96" s="78"/>
      <c r="AK96" s="78"/>
      <c r="AL96" s="78">
        <v>3</v>
      </c>
      <c r="AM96" s="77" t="s">
        <v>389</v>
      </c>
      <c r="AN96" s="77" t="s">
        <v>390</v>
      </c>
      <c r="AO96" s="79"/>
      <c r="AP96" s="79"/>
      <c r="AQ96" s="79"/>
      <c r="AR96" s="79"/>
      <c r="AS96" s="79"/>
      <c r="AT96" s="79"/>
      <c r="AU96" s="79"/>
      <c r="AV96" s="79"/>
      <c r="AW96" s="79"/>
      <c r="AX96" s="79"/>
      <c r="AY96" s="79"/>
      <c r="AZ96" s="80">
        <f t="shared" si="9"/>
        <v>0</v>
      </c>
      <c r="BK96" s="65" t="s">
        <v>229</v>
      </c>
      <c r="BL96" s="65" t="s">
        <v>397</v>
      </c>
      <c r="BM96" s="65" t="s">
        <v>398</v>
      </c>
      <c r="BN96" s="65">
        <v>1</v>
      </c>
    </row>
    <row r="97" spans="2:66" x14ac:dyDescent="0.25">
      <c r="B97" s="76" t="s">
        <v>227</v>
      </c>
      <c r="C97" s="76" t="s">
        <v>227</v>
      </c>
      <c r="D97" s="77" t="s">
        <v>499</v>
      </c>
      <c r="E97" s="77" t="s">
        <v>394</v>
      </c>
      <c r="F97" s="77"/>
      <c r="G97" s="77"/>
      <c r="H97" s="77">
        <v>3</v>
      </c>
      <c r="I97" s="77" t="s">
        <v>401</v>
      </c>
      <c r="J97" s="77" t="s">
        <v>390</v>
      </c>
      <c r="K97" s="77" t="s">
        <v>17</v>
      </c>
      <c r="L97" s="78" t="str">
        <f t="shared" si="7"/>
        <v>Yes</v>
      </c>
      <c r="M97" s="77" t="str" cm="1">
        <f t="array" ref="M97">IF(OR(UPPER(TRIM($C97))="BRAZIL",UPPER(TRIM($C97))="INDIA",UPPER(TRIM($C97))="PHILIPPINES"),
   "UNDP OP8 COB - RPA",
   IFERROR(
     VLOOKUP($C97,$BF:$BG,2,0),
     _xlfn.SWITCH(UPPER(TRIM($K97)),
       "N/A","N/A",
       "VACANT","UNDP OP8 COB - Vacant",
       "UNDP","UNDP OP8 COB - UNDP CO",
       "UN COMPOUND","UNDP OP8 COB - UN Compound",
       "UNDP - WFH","UNDP OP8 COB - UNDP WFH",
"UNICEF","UNDP OP8 COB - UNICEF",
       "NHI","n.End of June 2026",
       "PRIVATE LEASE","k.End of Mar 2026",
       ""
     )
   )
)</f>
        <v>n.End of June 2026</v>
      </c>
      <c r="N97" s="77" t="str">
        <f t="shared" si="8"/>
        <v>UNOPS Action</v>
      </c>
      <c r="O97" s="79">
        <f>IFERROR(VLOOKUP($C97,'[15]2024 COBs'!$AA:$AK,5,0),"")</f>
        <v>4150.6438193343902</v>
      </c>
      <c r="P97" s="79">
        <f>IFERROR((VLOOKUP($C97,'[15]2024 COBs'!$AA:$AK,8,0)+VLOOKUP($C97,'[15]2024 COBs'!$AA:$AK,9,0)+VLOOKUP($C97,'[15]2024 COBs'!$AA:$AK,10,0)+VLOOKUP($C97,'[15]2024 COBs'!$AA:$AK,11,0))*5%,"")</f>
        <v>253.53630150554673</v>
      </c>
      <c r="Q97" s="79">
        <f>IFERROR((VLOOKUP($C97,'[15]2024 COBs'!$AA:$AK,8,0)+VLOOKUP($C97,'[15]2024 COBs'!$AA:$AK,9,0)+VLOOKUP($C97,'[15]2024 COBs'!$AA:$AK,10,0)+VLOOKUP($C97,'[15]2024 COBs'!$AA:$AK,11,0))*16%,"")</f>
        <v>811.3161648177495</v>
      </c>
      <c r="R97" s="79"/>
      <c r="S97" s="79">
        <f>IFERROR(VLOOKUP($C97,'[15]2024 COBs'!$AA:$AK,7,0),"")</f>
        <v>2835.5883518225041</v>
      </c>
      <c r="T97" s="79">
        <f>IFERROR((VLOOKUP($C97,'[15]2024 COBs'!$AA:$AK,8,0)+VLOOKUP($C97,'[15]2024 COBs'!$AA:$AK,9,0)+VLOOKUP($C97,'[15]2024 COBs'!$AA:$AK,10,0)+VLOOKUP($C97,'[15]2024 COBs'!$AA:$AK,11,0))*20%,"")</f>
        <v>1014.1452060221869</v>
      </c>
      <c r="U97" s="79">
        <f>IFERROR(VLOOKUP($C97,'[15]2024 COBs'!$AA:$AK,6,0),"")</f>
        <v>10904.762612255678</v>
      </c>
      <c r="V97" s="79">
        <f>IFERROR((VLOOKUP($C97,'[15]2024 COBs'!$AA:$AK,8,0)+VLOOKUP($C97,'[15]2024 COBs'!$AA:$AK,9,0)+VLOOKUP($C97,'[15]2024 COBs'!$AA:$AK,10,0)+VLOOKUP($C97,'[15]2024 COBs'!$AA:$AK,11,0))*18%,"")</f>
        <v>912.73068541996815</v>
      </c>
      <c r="W97" s="79">
        <f>IFERROR((VLOOKUP($C97,'[15]2024 COBs'!$AA:$AK,8,0)+VLOOKUP($C97,'[15]2024 COBs'!$AA:$AK,9,0)+VLOOKUP($C97,'[15]2024 COBs'!$AA:$AK,10,0)+VLOOKUP($C97,'[15]2024 COBs'!$AA:$AK,11,0))*27%,"")</f>
        <v>1369.0960281299524</v>
      </c>
      <c r="X97" s="79">
        <f>IFERROR((VLOOKUP($C97,'[15]2024 COBs'!$AA:$AK,8,0)+VLOOKUP($C97,'[15]2024 COBs'!$AA:$AK,9,0)+VLOOKUP($C97,'[15]2024 COBs'!$AA:$AK,10,0)+VLOOKUP($C97,'[15]2024 COBs'!$AA:$AK,11,0))*14%,"")</f>
        <v>709.90164421553095</v>
      </c>
      <c r="Y97" s="79">
        <f>IFERROR(VLOOKUP($C97,'[15]2024 COBs'!$AA:$AK,4,0),"")</f>
        <v>11613.279186476493</v>
      </c>
      <c r="Z97" s="80">
        <f t="shared" si="6"/>
        <v>34574.999999999993</v>
      </c>
      <c r="AF97" s="76" t="s">
        <v>157</v>
      </c>
      <c r="AG97" s="76" t="s">
        <v>157</v>
      </c>
      <c r="AH97" s="78" t="s">
        <v>399</v>
      </c>
      <c r="AI97" s="78" t="s">
        <v>400</v>
      </c>
      <c r="AJ97" s="78"/>
      <c r="AK97" s="78"/>
      <c r="AL97" s="78">
        <v>2</v>
      </c>
      <c r="AM97" s="77" t="s">
        <v>401</v>
      </c>
      <c r="AN97" s="77" t="s">
        <v>390</v>
      </c>
      <c r="AO97" s="79"/>
      <c r="AP97" s="79"/>
      <c r="AQ97" s="79"/>
      <c r="AR97" s="79"/>
      <c r="AS97" s="79"/>
      <c r="AT97" s="79"/>
      <c r="AU97" s="79"/>
      <c r="AV97" s="79"/>
      <c r="AW97" s="79"/>
      <c r="AX97" s="79"/>
      <c r="AY97" s="79"/>
      <c r="AZ97" s="80">
        <f t="shared" si="9"/>
        <v>0</v>
      </c>
      <c r="BK97" s="65" t="s">
        <v>229</v>
      </c>
      <c r="BL97" s="65" t="s">
        <v>411</v>
      </c>
      <c r="BM97" s="65" t="s">
        <v>396</v>
      </c>
      <c r="BN97" s="65">
        <v>1</v>
      </c>
    </row>
    <row r="98" spans="2:66" x14ac:dyDescent="0.25">
      <c r="B98" s="76" t="s">
        <v>558</v>
      </c>
      <c r="C98" s="76" t="s">
        <v>558</v>
      </c>
      <c r="D98" s="77" t="s">
        <v>559</v>
      </c>
      <c r="E98" s="77" t="s">
        <v>388</v>
      </c>
      <c r="F98" s="77" t="s">
        <v>409</v>
      </c>
      <c r="G98" s="77"/>
      <c r="H98" s="77">
        <v>3</v>
      </c>
      <c r="I98" s="77" t="s">
        <v>389</v>
      </c>
      <c r="J98" s="77" t="s">
        <v>395</v>
      </c>
      <c r="K98" s="77" t="s">
        <v>422</v>
      </c>
      <c r="L98" s="78" t="str">
        <f t="shared" si="7"/>
        <v/>
      </c>
      <c r="M98" s="77" t="str" cm="1">
        <f t="array" ref="M98">IF(OR(UPPER(TRIM($C98))="BRAZIL",UPPER(TRIM($C98))="INDIA",UPPER(TRIM($C98))="PHILIPPINES"),
   "UNDP OP8 COB - RPA",
   IFERROR(
     VLOOKUP($C98,$BF:$BG,2,0),
     _xlfn.SWITCH(UPPER(TRIM($K98)),
       "N/A","N/A",
       "VACANT","UNDP OP8 COB - Vacant",
       "UNDP","UNDP OP8 COB - UNDP CO",
       "UN COMPOUND","UNDP OP8 COB - UN Compound",
       "UNDP - WFH","UNDP OP8 COB - UNDP WFH",
"UNICEF","UNDP OP8 COB - UNICEF",
       "NHI","n.End of June 2026",
       "PRIVATE LEASE","k.End of Mar 2026",
       ""
     )
   )
)</f>
        <v>N/A</v>
      </c>
      <c r="N98" s="77" t="str">
        <f t="shared" si="8"/>
        <v>N/A</v>
      </c>
      <c r="O98" s="79">
        <f>IFERROR(VLOOKUP($C98,'[15]2024 COBs'!$AA:$AK,5,0),"")</f>
        <v>4175.9259259259261</v>
      </c>
      <c r="P98" s="79">
        <f>IFERROR((VLOOKUP($C98,'[15]2024 COBs'!$AA:$AK,8,0)+VLOOKUP($C98,'[15]2024 COBs'!$AA:$AK,9,0)+VLOOKUP($C98,'[15]2024 COBs'!$AA:$AK,10,0)+VLOOKUP($C98,'[15]2024 COBs'!$AA:$AK,11,0))*5%,"")</f>
        <v>0</v>
      </c>
      <c r="Q98" s="79">
        <f>IFERROR((VLOOKUP($C98,'[15]2024 COBs'!$AA:$AK,8,0)+VLOOKUP($C98,'[15]2024 COBs'!$AA:$AK,9,0)+VLOOKUP($C98,'[15]2024 COBs'!$AA:$AK,10,0)+VLOOKUP($C98,'[15]2024 COBs'!$AA:$AK,11,0))*16%,"")</f>
        <v>0</v>
      </c>
      <c r="R98" s="79"/>
      <c r="S98" s="79">
        <f>IFERROR(VLOOKUP($C98,'[15]2024 COBs'!$AA:$AK,7,0),"")</f>
        <v>0</v>
      </c>
      <c r="T98" s="79">
        <f>IFERROR((VLOOKUP($C98,'[15]2024 COBs'!$AA:$AK,8,0)+VLOOKUP($C98,'[15]2024 COBs'!$AA:$AK,9,0)+VLOOKUP($C98,'[15]2024 COBs'!$AA:$AK,10,0)+VLOOKUP($C98,'[15]2024 COBs'!$AA:$AK,11,0))*20%,"")</f>
        <v>0</v>
      </c>
      <c r="U98" s="79">
        <f>IFERROR(VLOOKUP($C98,'[15]2024 COBs'!$AA:$AK,6,0),"")</f>
        <v>0</v>
      </c>
      <c r="V98" s="79">
        <f>IFERROR((VLOOKUP($C98,'[15]2024 COBs'!$AA:$AK,8,0)+VLOOKUP($C98,'[15]2024 COBs'!$AA:$AK,9,0)+VLOOKUP($C98,'[15]2024 COBs'!$AA:$AK,10,0)+VLOOKUP($C98,'[15]2024 COBs'!$AA:$AK,11,0))*18%,"")</f>
        <v>0</v>
      </c>
      <c r="W98" s="79">
        <f>IFERROR((VLOOKUP($C98,'[15]2024 COBs'!$AA:$AK,8,0)+VLOOKUP($C98,'[15]2024 COBs'!$AA:$AK,9,0)+VLOOKUP($C98,'[15]2024 COBs'!$AA:$AK,10,0)+VLOOKUP($C98,'[15]2024 COBs'!$AA:$AK,11,0))*27%,"")</f>
        <v>0</v>
      </c>
      <c r="X98" s="79">
        <f>IFERROR((VLOOKUP($C98,'[15]2024 COBs'!$AA:$AK,8,0)+VLOOKUP($C98,'[15]2024 COBs'!$AA:$AK,9,0)+VLOOKUP($C98,'[15]2024 COBs'!$AA:$AK,10,0)+VLOOKUP($C98,'[15]2024 COBs'!$AA:$AK,11,0))*14%,"")</f>
        <v>0</v>
      </c>
      <c r="Y98" s="79">
        <f>IFERROR(VLOOKUP($C98,'[15]2024 COBs'!$AA:$AK,4,0),"")</f>
        <v>334.07407407407408</v>
      </c>
      <c r="Z98" s="80">
        <f t="shared" si="6"/>
        <v>4510</v>
      </c>
      <c r="AF98" s="76" t="s">
        <v>164</v>
      </c>
      <c r="AG98" s="76" t="s">
        <v>164</v>
      </c>
      <c r="AH98" s="78" t="s">
        <v>417</v>
      </c>
      <c r="AI98" s="78" t="s">
        <v>400</v>
      </c>
      <c r="AJ98" s="78"/>
      <c r="AK98" s="78"/>
      <c r="AL98" s="78">
        <v>3</v>
      </c>
      <c r="AM98" s="77" t="s">
        <v>401</v>
      </c>
      <c r="AN98" s="77" t="s">
        <v>390</v>
      </c>
      <c r="AO98" s="79"/>
      <c r="AP98" s="79"/>
      <c r="AQ98" s="79"/>
      <c r="AR98" s="79"/>
      <c r="AS98" s="79"/>
      <c r="AT98" s="79"/>
      <c r="AU98" s="79"/>
      <c r="AV98" s="79"/>
      <c r="AW98" s="79"/>
      <c r="AX98" s="79"/>
      <c r="AY98" s="79"/>
      <c r="AZ98" s="80">
        <f t="shared" si="9"/>
        <v>0</v>
      </c>
      <c r="BK98" s="65" t="s">
        <v>230</v>
      </c>
      <c r="BL98" s="65" t="s">
        <v>397</v>
      </c>
      <c r="BM98" s="65" t="s">
        <v>398</v>
      </c>
      <c r="BN98" s="65">
        <v>1</v>
      </c>
    </row>
    <row r="99" spans="2:66" x14ac:dyDescent="0.25">
      <c r="B99" s="76" t="s">
        <v>560</v>
      </c>
      <c r="C99" s="76" t="s">
        <v>560</v>
      </c>
      <c r="D99" s="77" t="s">
        <v>561</v>
      </c>
      <c r="E99" s="77" t="s">
        <v>388</v>
      </c>
      <c r="F99" s="77"/>
      <c r="G99" s="77"/>
      <c r="H99" s="77">
        <v>3</v>
      </c>
      <c r="I99" s="77" t="s">
        <v>389</v>
      </c>
      <c r="J99" s="77" t="s">
        <v>395</v>
      </c>
      <c r="K99" s="77" t="s">
        <v>391</v>
      </c>
      <c r="L99" s="78" t="str">
        <f t="shared" si="7"/>
        <v/>
      </c>
      <c r="M99" s="77" t="str" cm="1">
        <f t="array" ref="M99">IF(OR(UPPER(TRIM($C99))="BRAZIL",UPPER(TRIM($C99))="INDIA",UPPER(TRIM($C99))="PHILIPPINES"),
   "UNDP OP8 COB - RPA",
   IFERROR(
     VLOOKUP($C99,$BF:$BG,2,0),
     _xlfn.SWITCH(UPPER(TRIM($K99)),
       "N/A","N/A",
       "VACANT","UNDP OP8 COB - Vacant",
       "UNDP","UNDP OP8 COB - UNDP CO",
       "UN COMPOUND","UNDP OP8 COB - UN Compound",
       "UNDP - WFH","UNDP OP8 COB - UNDP WFH",
"UNICEF","UNDP OP8 COB - UNICEF",
       "NHI","n.End of June 2026",
       "PRIVATE LEASE","k.End of Mar 2026",
       ""
     )
   )
)</f>
        <v>UNDP OP8 COB - Vacant</v>
      </c>
      <c r="N99" s="77" t="str">
        <f t="shared" si="8"/>
        <v>UNDP Action</v>
      </c>
      <c r="O99" s="79">
        <f>IFERROR(VLOOKUP($C99,'[15]2024 COBs'!$AA:$AK,5,0),"")</f>
        <v>8604.9880036294471</v>
      </c>
      <c r="P99" s="79">
        <f>IFERROR((VLOOKUP($C99,'[15]2024 COBs'!$AA:$AK,8,0)+VLOOKUP($C99,'[15]2024 COBs'!$AA:$AK,9,0)+VLOOKUP($C99,'[15]2024 COBs'!$AA:$AK,10,0)+VLOOKUP($C99,'[15]2024 COBs'!$AA:$AK,11,0))*5%,"")</f>
        <v>275.52134280621465</v>
      </c>
      <c r="Q99" s="79">
        <f>IFERROR((VLOOKUP($C99,'[15]2024 COBs'!$AA:$AK,8,0)+VLOOKUP($C99,'[15]2024 COBs'!$AA:$AK,9,0)+VLOOKUP($C99,'[15]2024 COBs'!$AA:$AK,10,0)+VLOOKUP($C99,'[15]2024 COBs'!$AA:$AK,11,0))*16%,"")</f>
        <v>881.6682969798868</v>
      </c>
      <c r="R99" s="79"/>
      <c r="S99" s="79">
        <f>IFERROR(VLOOKUP($C99,'[15]2024 COBs'!$AA:$AK,7,0),"")</f>
        <v>455.77703546194442</v>
      </c>
      <c r="T99" s="79">
        <f>IFERROR((VLOOKUP($C99,'[15]2024 COBs'!$AA:$AK,8,0)+VLOOKUP($C99,'[15]2024 COBs'!$AA:$AK,9,0)+VLOOKUP($C99,'[15]2024 COBs'!$AA:$AK,10,0)+VLOOKUP($C99,'[15]2024 COBs'!$AA:$AK,11,0))*20%,"")</f>
        <v>1102.0853712248586</v>
      </c>
      <c r="U99" s="79">
        <f>IFERROR(VLOOKUP($C99,'[15]2024 COBs'!$AA:$AK,6,0),"")</f>
        <v>11234.887044752235</v>
      </c>
      <c r="V99" s="79">
        <f>IFERROR((VLOOKUP($C99,'[15]2024 COBs'!$AA:$AK,8,0)+VLOOKUP($C99,'[15]2024 COBs'!$AA:$AK,9,0)+VLOOKUP($C99,'[15]2024 COBs'!$AA:$AK,10,0)+VLOOKUP($C99,'[15]2024 COBs'!$AA:$AK,11,0))*18%,"")</f>
        <v>991.87683410237264</v>
      </c>
      <c r="W99" s="79">
        <f>IFERROR((VLOOKUP($C99,'[15]2024 COBs'!$AA:$AK,8,0)+VLOOKUP($C99,'[15]2024 COBs'!$AA:$AK,9,0)+VLOOKUP($C99,'[15]2024 COBs'!$AA:$AK,10,0)+VLOOKUP($C99,'[15]2024 COBs'!$AA:$AK,11,0))*27%,"")</f>
        <v>1487.8152511535591</v>
      </c>
      <c r="X99" s="79">
        <f>IFERROR((VLOOKUP($C99,'[15]2024 COBs'!$AA:$AK,8,0)+VLOOKUP($C99,'[15]2024 COBs'!$AA:$AK,9,0)+VLOOKUP($C99,'[15]2024 COBs'!$AA:$AK,10,0)+VLOOKUP($C99,'[15]2024 COBs'!$AA:$AK,11,0))*14%,"")</f>
        <v>771.45975985740097</v>
      </c>
      <c r="Y99" s="79">
        <f>IFERROR(VLOOKUP($C99,'[15]2024 COBs'!$AA:$AK,4,0),"")</f>
        <v>3665.7119680711562</v>
      </c>
      <c r="Z99" s="80">
        <f t="shared" si="6"/>
        <v>29471.790908039075</v>
      </c>
      <c r="AF99" s="76" t="s">
        <v>419</v>
      </c>
      <c r="AG99" s="76" t="s">
        <v>419</v>
      </c>
      <c r="AH99" s="78" t="s">
        <v>420</v>
      </c>
      <c r="AI99" s="78" t="s">
        <v>400</v>
      </c>
      <c r="AJ99" s="78"/>
      <c r="AK99" s="78"/>
      <c r="AL99" s="78">
        <v>5</v>
      </c>
      <c r="AM99" s="77" t="s">
        <v>421</v>
      </c>
      <c r="AN99" s="77"/>
      <c r="AO99" s="79"/>
      <c r="AP99" s="79"/>
      <c r="AQ99" s="79"/>
      <c r="AR99" s="79"/>
      <c r="AS99" s="79"/>
      <c r="AT99" s="79"/>
      <c r="AU99" s="79"/>
      <c r="AV99" s="79"/>
      <c r="AW99" s="79"/>
      <c r="AX99" s="79"/>
      <c r="AY99" s="79"/>
      <c r="AZ99" s="80">
        <f t="shared" si="9"/>
        <v>0</v>
      </c>
      <c r="BK99" s="65" t="s">
        <v>231</v>
      </c>
      <c r="BL99" s="65" t="s">
        <v>397</v>
      </c>
      <c r="BM99" s="65" t="s">
        <v>398</v>
      </c>
      <c r="BN99" s="65">
        <v>1</v>
      </c>
    </row>
    <row r="100" spans="2:66" x14ac:dyDescent="0.25">
      <c r="B100" s="76" t="s">
        <v>229</v>
      </c>
      <c r="C100" s="76" t="s">
        <v>229</v>
      </c>
      <c r="D100" s="77" t="s">
        <v>563</v>
      </c>
      <c r="E100" s="77" t="s">
        <v>388</v>
      </c>
      <c r="F100" s="77" t="s">
        <v>409</v>
      </c>
      <c r="G100" s="77"/>
      <c r="H100" s="77">
        <v>3</v>
      </c>
      <c r="I100" s="77" t="s">
        <v>401</v>
      </c>
      <c r="J100" s="77" t="s">
        <v>390</v>
      </c>
      <c r="K100" s="77" t="s">
        <v>425</v>
      </c>
      <c r="L100" s="78" t="str">
        <f t="shared" si="7"/>
        <v>Yes</v>
      </c>
      <c r="M100" s="77" t="str" cm="1">
        <f t="array" ref="M100">IF(OR(UPPER(TRIM($C100))="BRAZIL",UPPER(TRIM($C100))="INDIA",UPPER(TRIM($C100))="PHILIPPINES"),
   "UNDP OP8 COB - RPA",
   IFERROR(
     VLOOKUP($C100,$BF:$BG,2,0),
     _xlfn.SWITCH(UPPER(TRIM($K100)),
       "N/A","N/A",
       "VACANT","UNDP OP8 COB - Vacant",
       "UNDP","UNDP OP8 COB - UNDP CO",
       "UN COMPOUND","UNDP OP8 COB - UN Compound",
       "UNDP - WFH","UNDP OP8 COB - UNDP WFH",
"UNICEF","UNDP OP8 COB - UNICEF",
       "NHI","n.End of June 2026",
       "PRIVATE LEASE","k.End of Mar 2026",
       ""
     )
   )
)</f>
        <v>n.End of June 2026</v>
      </c>
      <c r="N100" s="77" t="str">
        <f t="shared" si="8"/>
        <v>UNOPS Action</v>
      </c>
      <c r="O100" s="79">
        <f>IFERROR(VLOOKUP($C100,'[15]2024 COBs'!$AA:$AK,5,0),"")</f>
        <v>2434.993455356951</v>
      </c>
      <c r="P100" s="79">
        <f>IFERROR((VLOOKUP($C100,'[15]2024 COBs'!$AA:$AK,8,0)+VLOOKUP($C100,'[15]2024 COBs'!$AA:$AK,9,0)+VLOOKUP($C100,'[15]2024 COBs'!$AA:$AK,10,0)+VLOOKUP($C100,'[15]2024 COBs'!$AA:$AK,11,0))*5%,"")</f>
        <v>60.874836383923778</v>
      </c>
      <c r="Q100" s="79">
        <f>IFERROR((VLOOKUP($C100,'[15]2024 COBs'!$AA:$AK,8,0)+VLOOKUP($C100,'[15]2024 COBs'!$AA:$AK,9,0)+VLOOKUP($C100,'[15]2024 COBs'!$AA:$AK,10,0)+VLOOKUP($C100,'[15]2024 COBs'!$AA:$AK,11,0))*16%,"")</f>
        <v>194.79947642855609</v>
      </c>
      <c r="R100" s="79"/>
      <c r="S100" s="79">
        <f>IFERROR(VLOOKUP($C100,'[15]2024 COBs'!$AA:$AK,7,0),"")</f>
        <v>324.66579404759352</v>
      </c>
      <c r="T100" s="79">
        <f>IFERROR((VLOOKUP($C100,'[15]2024 COBs'!$AA:$AK,8,0)+VLOOKUP($C100,'[15]2024 COBs'!$AA:$AK,9,0)+VLOOKUP($C100,'[15]2024 COBs'!$AA:$AK,10,0)+VLOOKUP($C100,'[15]2024 COBs'!$AA:$AK,11,0))*20%,"")</f>
        <v>243.49934553569511</v>
      </c>
      <c r="U100" s="79">
        <f>IFERROR(VLOOKUP($C100,'[15]2024 COBs'!$AA:$AK,6,0),"")</f>
        <v>31925.199193184988</v>
      </c>
      <c r="V100" s="79">
        <f>IFERROR((VLOOKUP($C100,'[15]2024 COBs'!$AA:$AK,8,0)+VLOOKUP($C100,'[15]2024 COBs'!$AA:$AK,9,0)+VLOOKUP($C100,'[15]2024 COBs'!$AA:$AK,10,0)+VLOOKUP($C100,'[15]2024 COBs'!$AA:$AK,11,0))*18%,"")</f>
        <v>219.14941098212557</v>
      </c>
      <c r="W100" s="79">
        <f>IFERROR((VLOOKUP($C100,'[15]2024 COBs'!$AA:$AK,8,0)+VLOOKUP($C100,'[15]2024 COBs'!$AA:$AK,9,0)+VLOOKUP($C100,'[15]2024 COBs'!$AA:$AK,10,0)+VLOOKUP($C100,'[15]2024 COBs'!$AA:$AK,11,0))*27%,"")</f>
        <v>328.72411647318842</v>
      </c>
      <c r="X100" s="79">
        <f>IFERROR((VLOOKUP($C100,'[15]2024 COBs'!$AA:$AK,8,0)+VLOOKUP($C100,'[15]2024 COBs'!$AA:$AK,9,0)+VLOOKUP($C100,'[15]2024 COBs'!$AA:$AK,10,0)+VLOOKUP($C100,'[15]2024 COBs'!$AA:$AK,11,0))*14%,"")</f>
        <v>170.44954187498658</v>
      </c>
      <c r="Y100" s="79">
        <f>IFERROR(VLOOKUP($C100,'[15]2024 COBs'!$AA:$AK,4,0),"")</f>
        <v>1923.6448297319914</v>
      </c>
      <c r="Z100" s="80">
        <f t="shared" si="6"/>
        <v>37826.000000000007</v>
      </c>
      <c r="AF100" s="76" t="s">
        <v>437</v>
      </c>
      <c r="AG100" s="76" t="s">
        <v>437</v>
      </c>
      <c r="AH100" s="78" t="s">
        <v>438</v>
      </c>
      <c r="AI100" s="78" t="s">
        <v>400</v>
      </c>
      <c r="AJ100" s="78"/>
      <c r="AK100" s="78"/>
      <c r="AL100" s="78">
        <v>5</v>
      </c>
      <c r="AM100" s="77" t="s">
        <v>421</v>
      </c>
      <c r="AN100" s="77" t="s">
        <v>439</v>
      </c>
      <c r="AO100" s="79"/>
      <c r="AP100" s="79"/>
      <c r="AQ100" s="79"/>
      <c r="AR100" s="79"/>
      <c r="AS100" s="79"/>
      <c r="AT100" s="79"/>
      <c r="AU100" s="79"/>
      <c r="AV100" s="79"/>
      <c r="AW100" s="79"/>
      <c r="AX100" s="79"/>
      <c r="AY100" s="79"/>
      <c r="AZ100" s="80">
        <f t="shared" si="9"/>
        <v>0</v>
      </c>
      <c r="BK100" s="65" t="s">
        <v>231</v>
      </c>
      <c r="BL100" s="65" t="s">
        <v>411</v>
      </c>
      <c r="BM100" s="65" t="s">
        <v>415</v>
      </c>
      <c r="BN100" s="65">
        <v>1</v>
      </c>
    </row>
    <row r="101" spans="2:66" x14ac:dyDescent="0.25">
      <c r="B101" s="76" t="s">
        <v>230</v>
      </c>
      <c r="C101" s="76" t="s">
        <v>230</v>
      </c>
      <c r="D101" s="77" t="s">
        <v>592</v>
      </c>
      <c r="E101" s="77" t="s">
        <v>404</v>
      </c>
      <c r="F101" s="77"/>
      <c r="G101" s="77"/>
      <c r="H101" s="77">
        <v>3</v>
      </c>
      <c r="I101" s="77" t="s">
        <v>401</v>
      </c>
      <c r="J101" s="77" t="s">
        <v>395</v>
      </c>
      <c r="K101" s="77" t="s">
        <v>17</v>
      </c>
      <c r="L101" s="78" t="str">
        <f t="shared" si="7"/>
        <v/>
      </c>
      <c r="M101" s="77" t="str" cm="1">
        <f t="array" ref="M101">IF(OR(UPPER(TRIM($C101))="BRAZIL",UPPER(TRIM($C101))="INDIA",UPPER(TRIM($C101))="PHILIPPINES"),
   "UNDP OP8 COB - RPA",
   IFERROR(
     VLOOKUP($C101,$BF:$BG,2,0),
     _xlfn.SWITCH(UPPER(TRIM($K101)),
       "N/A","N/A",
       "VACANT","UNDP OP8 COB - Vacant",
       "UNDP","UNDP OP8 COB - UNDP CO",
       "UN COMPOUND","UNDP OP8 COB - UN Compound",
       "UNDP - WFH","UNDP OP8 COB - UNDP WFH",
"UNICEF","UNDP OP8 COB - UNICEF",
       "NHI","n.End of June 2026",
       "PRIVATE LEASE","k.End of Mar 2026",
       ""
     )
   )
)</f>
        <v>UNDP OP8 COB - UNDP CO</v>
      </c>
      <c r="N101" s="77" t="str">
        <f t="shared" si="8"/>
        <v>UNDP Action</v>
      </c>
      <c r="O101" s="79">
        <f>IFERROR(VLOOKUP($C101,'[15]2024 COBs'!$AA:$AK,5,0),"")</f>
        <v>4697.6369224567943</v>
      </c>
      <c r="P101" s="79">
        <f>IFERROR((VLOOKUP($C101,'[15]2024 COBs'!$AA:$AK,8,0)+VLOOKUP($C101,'[15]2024 COBs'!$AA:$AK,9,0)+VLOOKUP($C101,'[15]2024 COBs'!$AA:$AK,10,0)+VLOOKUP($C101,'[15]2024 COBs'!$AA:$AK,11,0))*5%,"")</f>
        <v>107.65417947296822</v>
      </c>
      <c r="Q101" s="79">
        <f>IFERROR((VLOOKUP($C101,'[15]2024 COBs'!$AA:$AK,8,0)+VLOOKUP($C101,'[15]2024 COBs'!$AA:$AK,9,0)+VLOOKUP($C101,'[15]2024 COBs'!$AA:$AK,10,0)+VLOOKUP($C101,'[15]2024 COBs'!$AA:$AK,11,0))*16%,"")</f>
        <v>344.49337431349829</v>
      </c>
      <c r="R101" s="79"/>
      <c r="S101" s="79">
        <f>IFERROR(VLOOKUP($C101,'[15]2024 COBs'!$AA:$AK,7,0),"")</f>
        <v>0</v>
      </c>
      <c r="T101" s="79">
        <f>IFERROR((VLOOKUP($C101,'[15]2024 COBs'!$AA:$AK,8,0)+VLOOKUP($C101,'[15]2024 COBs'!$AA:$AK,9,0)+VLOOKUP($C101,'[15]2024 COBs'!$AA:$AK,10,0)+VLOOKUP($C101,'[15]2024 COBs'!$AA:$AK,11,0))*20%,"")</f>
        <v>430.6167178918729</v>
      </c>
      <c r="U101" s="79">
        <f>IFERROR(VLOOKUP($C101,'[15]2024 COBs'!$AA:$AK,6,0),"")</f>
        <v>7748.7521035924819</v>
      </c>
      <c r="V101" s="79">
        <f>IFERROR((VLOOKUP($C101,'[15]2024 COBs'!$AA:$AK,8,0)+VLOOKUP($C101,'[15]2024 COBs'!$AA:$AK,9,0)+VLOOKUP($C101,'[15]2024 COBs'!$AA:$AK,10,0)+VLOOKUP($C101,'[15]2024 COBs'!$AA:$AK,11,0))*18%,"")</f>
        <v>387.55504610268554</v>
      </c>
      <c r="W101" s="79">
        <f>IFERROR((VLOOKUP($C101,'[15]2024 COBs'!$AA:$AK,8,0)+VLOOKUP($C101,'[15]2024 COBs'!$AA:$AK,9,0)+VLOOKUP($C101,'[15]2024 COBs'!$AA:$AK,10,0)+VLOOKUP($C101,'[15]2024 COBs'!$AA:$AK,11,0))*27%,"")</f>
        <v>581.33256915402842</v>
      </c>
      <c r="X101" s="79">
        <f>IFERROR((VLOOKUP($C101,'[15]2024 COBs'!$AA:$AK,8,0)+VLOOKUP($C101,'[15]2024 COBs'!$AA:$AK,9,0)+VLOOKUP($C101,'[15]2024 COBs'!$AA:$AK,10,0)+VLOOKUP($C101,'[15]2024 COBs'!$AA:$AK,11,0))*14%,"")</f>
        <v>301.43170252431105</v>
      </c>
      <c r="Y101" s="79">
        <f>IFERROR(VLOOKUP($C101,'[15]2024 COBs'!$AA:$AK,4,0),"")</f>
        <v>939.52738449135893</v>
      </c>
      <c r="Z101" s="80">
        <f t="shared" si="6"/>
        <v>15538.999999999998</v>
      </c>
      <c r="AF101" s="76" t="s">
        <v>457</v>
      </c>
      <c r="AG101" s="76" t="s">
        <v>457</v>
      </c>
      <c r="AH101" s="78" t="s">
        <v>458</v>
      </c>
      <c r="AI101" s="78" t="s">
        <v>400</v>
      </c>
      <c r="AJ101" s="78"/>
      <c r="AK101" s="78"/>
      <c r="AL101" s="78">
        <v>5</v>
      </c>
      <c r="AM101" s="77" t="s">
        <v>421</v>
      </c>
      <c r="AN101" s="77" t="s">
        <v>439</v>
      </c>
      <c r="AO101" s="79"/>
      <c r="AP101" s="79"/>
      <c r="AQ101" s="79"/>
      <c r="AR101" s="79"/>
      <c r="AS101" s="79"/>
      <c r="AT101" s="79"/>
      <c r="AU101" s="79"/>
      <c r="AV101" s="79"/>
      <c r="AW101" s="79"/>
      <c r="AX101" s="79"/>
      <c r="AY101" s="79"/>
      <c r="AZ101" s="80">
        <f t="shared" si="9"/>
        <v>0</v>
      </c>
      <c r="BK101" s="65" t="s">
        <v>232</v>
      </c>
      <c r="BL101" s="65" t="s">
        <v>397</v>
      </c>
      <c r="BM101" s="65" t="s">
        <v>456</v>
      </c>
      <c r="BN101" s="65">
        <v>1</v>
      </c>
    </row>
    <row r="102" spans="2:66" x14ac:dyDescent="0.25">
      <c r="B102" s="76" t="s">
        <v>231</v>
      </c>
      <c r="C102" s="76" t="s">
        <v>231</v>
      </c>
      <c r="D102" s="77" t="s">
        <v>599</v>
      </c>
      <c r="E102" s="77" t="s">
        <v>408</v>
      </c>
      <c r="F102" s="77"/>
      <c r="G102" s="77"/>
      <c r="H102" s="77">
        <v>1</v>
      </c>
      <c r="I102" s="77" t="s">
        <v>401</v>
      </c>
      <c r="J102" s="77" t="s">
        <v>390</v>
      </c>
      <c r="K102" s="77" t="s">
        <v>17</v>
      </c>
      <c r="L102" s="78" t="str">
        <f t="shared" si="7"/>
        <v>Yes</v>
      </c>
      <c r="M102" s="77" t="str" cm="1">
        <f t="array" ref="M102">IF(OR(UPPER(TRIM($C102))="BRAZIL",UPPER(TRIM($C102))="INDIA",UPPER(TRIM($C102))="PHILIPPINES"),
   "UNDP OP8 COB - RPA",
   IFERROR(
     VLOOKUP($C102,$BF:$BG,2,0),
     _xlfn.SWITCH(UPPER(TRIM($K102)),
       "N/A","N/A",
       "VACANT","UNDP OP8 COB - Vacant",
       "UNDP","UNDP OP8 COB - UNDP CO",
       "UN COMPOUND","UNDP OP8 COB - UN Compound",
       "UNDP - WFH","UNDP OP8 COB - UNDP WFH",
"UNICEF","UNDP OP8 COB - UNICEF",
       "NHI","n.End of June 2026",
       "PRIVATE LEASE","k.End of Mar 2026",
       ""
     )
   )
)</f>
        <v>k.End of Mar 2026</v>
      </c>
      <c r="N102" s="77" t="str">
        <f t="shared" si="8"/>
        <v>UNOPS Action</v>
      </c>
      <c r="O102" s="79">
        <f>IFERROR(VLOOKUP($C102,'[15]2024 COBs'!$AA:$AK,5,0),"")</f>
        <v>11393.218059558118</v>
      </c>
      <c r="P102" s="79">
        <f>IFERROR((VLOOKUP($C102,'[15]2024 COBs'!$AA:$AK,8,0)+VLOOKUP($C102,'[15]2024 COBs'!$AA:$AK,9,0)+VLOOKUP($C102,'[15]2024 COBs'!$AA:$AK,10,0)+VLOOKUP($C102,'[15]2024 COBs'!$AA:$AK,11,0))*5%,"")</f>
        <v>446.37608069164276</v>
      </c>
      <c r="Q102" s="79">
        <f>IFERROR((VLOOKUP($C102,'[15]2024 COBs'!$AA:$AK,8,0)+VLOOKUP($C102,'[15]2024 COBs'!$AA:$AK,9,0)+VLOOKUP($C102,'[15]2024 COBs'!$AA:$AK,10,0)+VLOOKUP($C102,'[15]2024 COBs'!$AA:$AK,11,0))*16%,"")</f>
        <v>1428.4034582132567</v>
      </c>
      <c r="R102" s="79"/>
      <c r="S102" s="79">
        <f>IFERROR(VLOOKUP($C102,'[15]2024 COBs'!$AA:$AK,7,0),"")</f>
        <v>255.07204610951007</v>
      </c>
      <c r="T102" s="79">
        <f>IFERROR((VLOOKUP($C102,'[15]2024 COBs'!$AA:$AK,8,0)+VLOOKUP($C102,'[15]2024 COBs'!$AA:$AK,9,0)+VLOOKUP($C102,'[15]2024 COBs'!$AA:$AK,10,0)+VLOOKUP($C102,'[15]2024 COBs'!$AA:$AK,11,0))*20%,"")</f>
        <v>1785.504322766571</v>
      </c>
      <c r="U102" s="79">
        <f>IFERROR(VLOOKUP($C102,'[15]2024 COBs'!$AA:$AK,6,0),"")</f>
        <v>15814.466858789625</v>
      </c>
      <c r="V102" s="79">
        <f>IFERROR((VLOOKUP($C102,'[15]2024 COBs'!$AA:$AK,8,0)+VLOOKUP($C102,'[15]2024 COBs'!$AA:$AK,9,0)+VLOOKUP($C102,'[15]2024 COBs'!$AA:$AK,10,0)+VLOOKUP($C102,'[15]2024 COBs'!$AA:$AK,11,0))*18%,"")</f>
        <v>1606.9538904899136</v>
      </c>
      <c r="W102" s="79">
        <f>IFERROR((VLOOKUP($C102,'[15]2024 COBs'!$AA:$AK,8,0)+VLOOKUP($C102,'[15]2024 COBs'!$AA:$AK,9,0)+VLOOKUP($C102,'[15]2024 COBs'!$AA:$AK,10,0)+VLOOKUP($C102,'[15]2024 COBs'!$AA:$AK,11,0))*27%,"")</f>
        <v>2410.4308357348709</v>
      </c>
      <c r="X102" s="79">
        <f>IFERROR((VLOOKUP($C102,'[15]2024 COBs'!$AA:$AK,8,0)+VLOOKUP($C102,'[15]2024 COBs'!$AA:$AK,9,0)+VLOOKUP($C102,'[15]2024 COBs'!$AA:$AK,10,0)+VLOOKUP($C102,'[15]2024 COBs'!$AA:$AK,11,0))*14%,"")</f>
        <v>1249.8530259365998</v>
      </c>
      <c r="Y102" s="79">
        <f>IFERROR(VLOOKUP($C102,'[15]2024 COBs'!$AA:$AK,4,0),"")</f>
        <v>7864.7214217098945</v>
      </c>
      <c r="Z102" s="80">
        <f t="shared" si="6"/>
        <v>44255.000000000007</v>
      </c>
      <c r="AF102" s="76" t="s">
        <v>197</v>
      </c>
      <c r="AG102" s="76" t="s">
        <v>197</v>
      </c>
      <c r="AH102" s="78" t="s">
        <v>526</v>
      </c>
      <c r="AI102" s="78" t="s">
        <v>400</v>
      </c>
      <c r="AJ102" s="78"/>
      <c r="AK102" s="78"/>
      <c r="AL102" s="78">
        <v>3</v>
      </c>
      <c r="AM102" s="77" t="s">
        <v>401</v>
      </c>
      <c r="AN102" s="77" t="s">
        <v>390</v>
      </c>
      <c r="AO102" s="79"/>
      <c r="AP102" s="79"/>
      <c r="AQ102" s="79"/>
      <c r="AR102" s="79"/>
      <c r="AS102" s="79"/>
      <c r="AT102" s="79"/>
      <c r="AU102" s="79"/>
      <c r="AV102" s="79"/>
      <c r="AW102" s="79"/>
      <c r="AX102" s="79"/>
      <c r="AY102" s="79"/>
      <c r="AZ102" s="80">
        <f t="shared" si="9"/>
        <v>0</v>
      </c>
      <c r="BK102" s="65" t="s">
        <v>232</v>
      </c>
      <c r="BL102" s="65" t="s">
        <v>411</v>
      </c>
      <c r="BM102" s="65" t="s">
        <v>396</v>
      </c>
      <c r="BN102" s="65">
        <v>1</v>
      </c>
    </row>
    <row r="103" spans="2:66" x14ac:dyDescent="0.25">
      <c r="B103" s="76" t="s">
        <v>565</v>
      </c>
      <c r="C103" s="76" t="s">
        <v>565</v>
      </c>
      <c r="D103" s="77" t="s">
        <v>566</v>
      </c>
      <c r="E103" s="77" t="s">
        <v>388</v>
      </c>
      <c r="F103" s="77"/>
      <c r="G103" s="77"/>
      <c r="H103" s="77">
        <v>1</v>
      </c>
      <c r="I103" s="77" t="s">
        <v>389</v>
      </c>
      <c r="J103" s="77" t="s">
        <v>390</v>
      </c>
      <c r="K103" s="77" t="s">
        <v>391</v>
      </c>
      <c r="L103" s="78" t="str">
        <f t="shared" si="7"/>
        <v/>
      </c>
      <c r="M103" s="77" t="str" cm="1">
        <f t="array" ref="M103">IF(OR(UPPER(TRIM($C103))="BRAZIL",UPPER(TRIM($C103))="INDIA",UPPER(TRIM($C103))="PHILIPPINES"),
   "UNDP OP8 COB - RPA",
   IFERROR(
     VLOOKUP($C103,$BF:$BG,2,0),
     _xlfn.SWITCH(UPPER(TRIM($K103)),
       "N/A","N/A",
       "VACANT","UNDP OP8 COB - Vacant",
       "UNDP","UNDP OP8 COB - UNDP CO",
       "UN COMPOUND","UNDP OP8 COB - UN Compound",
       "UNDP - WFH","UNDP OP8 COB - UNDP WFH",
"UNICEF","UNDP OP8 COB - UNICEF",
       "NHI","n.End of June 2026",
       "PRIVATE LEASE","k.End of Mar 2026",
       ""
     )
   )
)</f>
        <v>UNDP OP8 COB - Vacant</v>
      </c>
      <c r="N103" s="77" t="str">
        <f t="shared" si="8"/>
        <v>UNDP Action</v>
      </c>
      <c r="O103" s="79">
        <f>IFERROR(VLOOKUP($C103,'[15]2024 COBs'!$AA:$AK,5,0),"")</f>
        <v>8700</v>
      </c>
      <c r="P103" s="79">
        <f>IFERROR((VLOOKUP($C103,'[15]2024 COBs'!$AA:$AK,8,0)+VLOOKUP($C103,'[15]2024 COBs'!$AA:$AK,9,0)+VLOOKUP($C103,'[15]2024 COBs'!$AA:$AK,10,0)+VLOOKUP($C103,'[15]2024 COBs'!$AA:$AK,11,0))*5%,"")</f>
        <v>270</v>
      </c>
      <c r="Q103" s="79">
        <f>IFERROR((VLOOKUP($C103,'[15]2024 COBs'!$AA:$AK,8,0)+VLOOKUP($C103,'[15]2024 COBs'!$AA:$AK,9,0)+VLOOKUP($C103,'[15]2024 COBs'!$AA:$AK,10,0)+VLOOKUP($C103,'[15]2024 COBs'!$AA:$AK,11,0))*16%,"")</f>
        <v>864</v>
      </c>
      <c r="R103" s="79"/>
      <c r="S103" s="79">
        <f>IFERROR(VLOOKUP($C103,'[15]2024 COBs'!$AA:$AK,7,0),"")</f>
        <v>600</v>
      </c>
      <c r="T103" s="79">
        <f>IFERROR((VLOOKUP($C103,'[15]2024 COBs'!$AA:$AK,8,0)+VLOOKUP($C103,'[15]2024 COBs'!$AA:$AK,9,0)+VLOOKUP($C103,'[15]2024 COBs'!$AA:$AK,10,0)+VLOOKUP($C103,'[15]2024 COBs'!$AA:$AK,11,0))*20%,"")</f>
        <v>1080</v>
      </c>
      <c r="U103" s="79">
        <f>IFERROR(VLOOKUP($C103,'[15]2024 COBs'!$AA:$AK,6,0),"")</f>
        <v>11100</v>
      </c>
      <c r="V103" s="79">
        <f>IFERROR((VLOOKUP($C103,'[15]2024 COBs'!$AA:$AK,8,0)+VLOOKUP($C103,'[15]2024 COBs'!$AA:$AK,9,0)+VLOOKUP($C103,'[15]2024 COBs'!$AA:$AK,10,0)+VLOOKUP($C103,'[15]2024 COBs'!$AA:$AK,11,0))*18%,"")</f>
        <v>972</v>
      </c>
      <c r="W103" s="79">
        <f>IFERROR((VLOOKUP($C103,'[15]2024 COBs'!$AA:$AK,8,0)+VLOOKUP($C103,'[15]2024 COBs'!$AA:$AK,9,0)+VLOOKUP($C103,'[15]2024 COBs'!$AA:$AK,10,0)+VLOOKUP($C103,'[15]2024 COBs'!$AA:$AK,11,0))*27%,"")</f>
        <v>1458</v>
      </c>
      <c r="X103" s="79">
        <f>IFERROR((VLOOKUP($C103,'[15]2024 COBs'!$AA:$AK,8,0)+VLOOKUP($C103,'[15]2024 COBs'!$AA:$AK,9,0)+VLOOKUP($C103,'[15]2024 COBs'!$AA:$AK,10,0)+VLOOKUP($C103,'[15]2024 COBs'!$AA:$AK,11,0))*14%,"")</f>
        <v>756.00000000000011</v>
      </c>
      <c r="Y103" s="79">
        <f>IFERROR(VLOOKUP($C103,'[15]2024 COBs'!$AA:$AK,4,0),"")</f>
        <v>3600</v>
      </c>
      <c r="Z103" s="80">
        <f t="shared" si="6"/>
        <v>29400</v>
      </c>
      <c r="AF103" s="76" t="s">
        <v>476</v>
      </c>
      <c r="AG103" s="76" t="s">
        <v>476</v>
      </c>
      <c r="AH103" s="78" t="s">
        <v>557</v>
      </c>
      <c r="AI103" s="78" t="s">
        <v>400</v>
      </c>
      <c r="AJ103" s="78"/>
      <c r="AK103" s="78"/>
      <c r="AL103" s="78">
        <v>3</v>
      </c>
      <c r="AM103" s="77" t="s">
        <v>389</v>
      </c>
      <c r="AN103" s="77" t="s">
        <v>390</v>
      </c>
      <c r="AO103" s="79"/>
      <c r="AP103" s="79"/>
      <c r="AQ103" s="79"/>
      <c r="AR103" s="79"/>
      <c r="AS103" s="79"/>
      <c r="AT103" s="79"/>
      <c r="AU103" s="79"/>
      <c r="AV103" s="79"/>
      <c r="AW103" s="79"/>
      <c r="AX103" s="79"/>
      <c r="AY103" s="79"/>
      <c r="AZ103" s="80">
        <f t="shared" si="9"/>
        <v>0</v>
      </c>
      <c r="BK103" s="65" t="s">
        <v>515</v>
      </c>
      <c r="BL103" s="65" t="s">
        <v>397</v>
      </c>
      <c r="BM103" s="65" t="s">
        <v>456</v>
      </c>
      <c r="BN103" s="65">
        <v>1</v>
      </c>
    </row>
    <row r="104" spans="2:66" x14ac:dyDescent="0.25">
      <c r="B104" s="76" t="s">
        <v>232</v>
      </c>
      <c r="C104" s="76" t="s">
        <v>232</v>
      </c>
      <c r="D104" s="77" t="s">
        <v>600</v>
      </c>
      <c r="E104" s="77" t="s">
        <v>408</v>
      </c>
      <c r="F104" s="77"/>
      <c r="G104" s="77"/>
      <c r="H104" s="77">
        <v>2</v>
      </c>
      <c r="I104" s="77" t="s">
        <v>401</v>
      </c>
      <c r="J104" s="77" t="s">
        <v>390</v>
      </c>
      <c r="K104" s="77" t="s">
        <v>17</v>
      </c>
      <c r="L104" s="78" t="str">
        <f t="shared" si="7"/>
        <v>Yes</v>
      </c>
      <c r="M104" s="77" t="str" cm="1">
        <f t="array" ref="M104">IF(OR(UPPER(TRIM($C104))="BRAZIL",UPPER(TRIM($C104))="INDIA",UPPER(TRIM($C104))="PHILIPPINES"),
   "UNDP OP8 COB - RPA",
   IFERROR(
     VLOOKUP($C104,$BF:$BG,2,0),
     _xlfn.SWITCH(UPPER(TRIM($K104)),
       "N/A","N/A",
       "VACANT","UNDP OP8 COB - Vacant",
       "UNDP","UNDP OP8 COB - UNDP CO",
       "UN COMPOUND","UNDP OP8 COB - UN Compound",
       "UNDP - WFH","UNDP OP8 COB - UNDP WFH",
"UNICEF","UNDP OP8 COB - UNICEF",
       "NHI","n.End of June 2026",
       "PRIVATE LEASE","k.End of Mar 2026",
       ""
     )
   )
)</f>
        <v>n.End of June 2026</v>
      </c>
      <c r="N104" s="77" t="str">
        <f t="shared" si="8"/>
        <v>UNOPS Action</v>
      </c>
      <c r="O104" s="79">
        <f>IFERROR(VLOOKUP($C104,'[15]2024 COBs'!$AA:$AK,5,0),"")</f>
        <v>11494.08</v>
      </c>
      <c r="P104" s="79">
        <f>IFERROR((VLOOKUP($C104,'[15]2024 COBs'!$AA:$AK,8,0)+VLOOKUP($C104,'[15]2024 COBs'!$AA:$AK,9,0)+VLOOKUP($C104,'[15]2024 COBs'!$AA:$AK,10,0)+VLOOKUP($C104,'[15]2024 COBs'!$AA:$AK,11,0))*5%,"")</f>
        <v>167.99040000000002</v>
      </c>
      <c r="Q104" s="79">
        <f>IFERROR((VLOOKUP($C104,'[15]2024 COBs'!$AA:$AK,8,0)+VLOOKUP($C104,'[15]2024 COBs'!$AA:$AK,9,0)+VLOOKUP($C104,'[15]2024 COBs'!$AA:$AK,10,0)+VLOOKUP($C104,'[15]2024 COBs'!$AA:$AK,11,0))*16%,"")</f>
        <v>537.56928000000005</v>
      </c>
      <c r="R104" s="79"/>
      <c r="S104" s="79">
        <f>IFERROR(VLOOKUP($C104,'[15]2024 COBs'!$AA:$AK,7,0),"")</f>
        <v>0</v>
      </c>
      <c r="T104" s="79">
        <f>IFERROR((VLOOKUP($C104,'[15]2024 COBs'!$AA:$AK,8,0)+VLOOKUP($C104,'[15]2024 COBs'!$AA:$AK,9,0)+VLOOKUP($C104,'[15]2024 COBs'!$AA:$AK,10,0)+VLOOKUP($C104,'[15]2024 COBs'!$AA:$AK,11,0))*20%,"")</f>
        <v>671.96160000000009</v>
      </c>
      <c r="U104" s="79">
        <f>IFERROR(VLOOKUP($C104,'[15]2024 COBs'!$AA:$AK,6,0),"")</f>
        <v>6454.3679999999995</v>
      </c>
      <c r="V104" s="79">
        <f>IFERROR((VLOOKUP($C104,'[15]2024 COBs'!$AA:$AK,8,0)+VLOOKUP($C104,'[15]2024 COBs'!$AA:$AK,9,0)+VLOOKUP($C104,'[15]2024 COBs'!$AA:$AK,10,0)+VLOOKUP($C104,'[15]2024 COBs'!$AA:$AK,11,0))*18%,"")</f>
        <v>604.76544000000001</v>
      </c>
      <c r="W104" s="79">
        <f>IFERROR((VLOOKUP($C104,'[15]2024 COBs'!$AA:$AK,8,0)+VLOOKUP($C104,'[15]2024 COBs'!$AA:$AK,9,0)+VLOOKUP($C104,'[15]2024 COBs'!$AA:$AK,10,0)+VLOOKUP($C104,'[15]2024 COBs'!$AA:$AK,11,0))*27%,"")</f>
        <v>907.14816000000008</v>
      </c>
      <c r="X104" s="79">
        <f>IFERROR((VLOOKUP($C104,'[15]2024 COBs'!$AA:$AK,8,0)+VLOOKUP($C104,'[15]2024 COBs'!$AA:$AK,9,0)+VLOOKUP($C104,'[15]2024 COBs'!$AA:$AK,10,0)+VLOOKUP($C104,'[15]2024 COBs'!$AA:$AK,11,0))*14%,"")</f>
        <v>470.37312000000003</v>
      </c>
      <c r="Y104" s="79">
        <f>IFERROR(VLOOKUP($C104,'[15]2024 COBs'!$AA:$AK,4,0),"")</f>
        <v>795.74399999999991</v>
      </c>
      <c r="Z104" s="80">
        <f t="shared" si="6"/>
        <v>22104</v>
      </c>
      <c r="AF104" s="76" t="s">
        <v>208</v>
      </c>
      <c r="AG104" s="76" t="s">
        <v>208</v>
      </c>
      <c r="AH104" s="78" t="s">
        <v>564</v>
      </c>
      <c r="AI104" s="78" t="s">
        <v>400</v>
      </c>
      <c r="AJ104" s="78"/>
      <c r="AK104" s="78"/>
      <c r="AL104" s="78">
        <v>2</v>
      </c>
      <c r="AM104" s="77" t="s">
        <v>401</v>
      </c>
      <c r="AN104" s="77" t="s">
        <v>390</v>
      </c>
      <c r="AO104" s="79"/>
      <c r="AP104" s="79"/>
      <c r="AQ104" s="79"/>
      <c r="AR104" s="79"/>
      <c r="AS104" s="79"/>
      <c r="AT104" s="79"/>
      <c r="AU104" s="79"/>
      <c r="AV104" s="79"/>
      <c r="AW104" s="79"/>
      <c r="AX104" s="79"/>
      <c r="AY104" s="79"/>
      <c r="AZ104" s="80">
        <f t="shared" si="9"/>
        <v>0</v>
      </c>
      <c r="BK104" s="65" t="s">
        <v>515</v>
      </c>
      <c r="BL104" s="65" t="s">
        <v>411</v>
      </c>
      <c r="BM104" s="65" t="s">
        <v>415</v>
      </c>
      <c r="BN104" s="65">
        <v>1</v>
      </c>
    </row>
    <row r="105" spans="2:66" x14ac:dyDescent="0.25">
      <c r="B105" s="76" t="s">
        <v>515</v>
      </c>
      <c r="C105" s="76" t="s">
        <v>515</v>
      </c>
      <c r="D105" s="77" t="s">
        <v>601</v>
      </c>
      <c r="E105" s="77" t="s">
        <v>408</v>
      </c>
      <c r="F105" s="77"/>
      <c r="G105" s="77"/>
      <c r="H105" s="77">
        <v>1</v>
      </c>
      <c r="I105" s="77" t="s">
        <v>389</v>
      </c>
      <c r="J105" s="77" t="s">
        <v>390</v>
      </c>
      <c r="K105" s="77" t="s">
        <v>17</v>
      </c>
      <c r="L105" s="78" t="str">
        <f t="shared" si="7"/>
        <v>Yes</v>
      </c>
      <c r="M105" s="77" t="str" cm="1">
        <f t="array" ref="M105">IF(OR(UPPER(TRIM($C105))="BRAZIL",UPPER(TRIM($C105))="INDIA",UPPER(TRIM($C105))="PHILIPPINES"),
   "UNDP OP8 COB - RPA",
   IFERROR(
     VLOOKUP($C105,$BF:$BG,2,0),
     _xlfn.SWITCH(UPPER(TRIM($K105)),
       "N/A","N/A",
       "VACANT","UNDP OP8 COB - Vacant",
       "UNDP","UNDP OP8 COB - UNDP CO",
       "UN COMPOUND","UNDP OP8 COB - UN Compound",
       "UNDP - WFH","UNDP OP8 COB - UNDP WFH",
"UNICEF","UNDP OP8 COB - UNICEF",
       "NHI","n.End of June 2026",
       "PRIVATE LEASE","k.End of Mar 2026",
       ""
     )
   )
)</f>
        <v>k.End of Mar 2026</v>
      </c>
      <c r="N105" s="77" t="str">
        <f t="shared" si="8"/>
        <v>UNOPS Action</v>
      </c>
      <c r="O105" s="79">
        <f>IFERROR(VLOOKUP($C105,'[15]2024 COBs'!$AA:$AK,5,0),"")</f>
        <v>8604.9880036294471</v>
      </c>
      <c r="P105" s="79">
        <f>IFERROR((VLOOKUP($C105,'[15]2024 COBs'!$AA:$AK,8,0)+VLOOKUP($C105,'[15]2024 COBs'!$AA:$AK,9,0)+VLOOKUP($C105,'[15]2024 COBs'!$AA:$AK,10,0)+VLOOKUP($C105,'[15]2024 COBs'!$AA:$AK,11,0))*5%,"")</f>
        <v>275.52134280621465</v>
      </c>
      <c r="Q105" s="79">
        <f>IFERROR((VLOOKUP($C105,'[15]2024 COBs'!$AA:$AK,8,0)+VLOOKUP($C105,'[15]2024 COBs'!$AA:$AK,9,0)+VLOOKUP($C105,'[15]2024 COBs'!$AA:$AK,10,0)+VLOOKUP($C105,'[15]2024 COBs'!$AA:$AK,11,0))*16%,"")</f>
        <v>881.6682969798868</v>
      </c>
      <c r="R105" s="79"/>
      <c r="S105" s="79">
        <f>IFERROR(VLOOKUP($C105,'[15]2024 COBs'!$AA:$AK,7,0),"")</f>
        <v>455.77703546194442</v>
      </c>
      <c r="T105" s="79">
        <f>IFERROR((VLOOKUP($C105,'[15]2024 COBs'!$AA:$AK,8,0)+VLOOKUP($C105,'[15]2024 COBs'!$AA:$AK,9,0)+VLOOKUP($C105,'[15]2024 COBs'!$AA:$AK,10,0)+VLOOKUP($C105,'[15]2024 COBs'!$AA:$AK,11,0))*20%,"")</f>
        <v>1102.0853712248586</v>
      </c>
      <c r="U105" s="79">
        <f>IFERROR(VLOOKUP($C105,'[15]2024 COBs'!$AA:$AK,6,0),"")</f>
        <v>11234.887044752235</v>
      </c>
      <c r="V105" s="79">
        <f>IFERROR((VLOOKUP($C105,'[15]2024 COBs'!$AA:$AK,8,0)+VLOOKUP($C105,'[15]2024 COBs'!$AA:$AK,9,0)+VLOOKUP($C105,'[15]2024 COBs'!$AA:$AK,10,0)+VLOOKUP($C105,'[15]2024 COBs'!$AA:$AK,11,0))*18%,"")</f>
        <v>991.87683410237264</v>
      </c>
      <c r="W105" s="79">
        <f>IFERROR((VLOOKUP($C105,'[15]2024 COBs'!$AA:$AK,8,0)+VLOOKUP($C105,'[15]2024 COBs'!$AA:$AK,9,0)+VLOOKUP($C105,'[15]2024 COBs'!$AA:$AK,10,0)+VLOOKUP($C105,'[15]2024 COBs'!$AA:$AK,11,0))*27%,"")</f>
        <v>1487.8152511535591</v>
      </c>
      <c r="X105" s="79">
        <f>IFERROR((VLOOKUP($C105,'[15]2024 COBs'!$AA:$AK,8,0)+VLOOKUP($C105,'[15]2024 COBs'!$AA:$AK,9,0)+VLOOKUP($C105,'[15]2024 COBs'!$AA:$AK,10,0)+VLOOKUP($C105,'[15]2024 COBs'!$AA:$AK,11,0))*14%,"")</f>
        <v>771.45975985740097</v>
      </c>
      <c r="Y105" s="79">
        <f>IFERROR(VLOOKUP($C105,'[15]2024 COBs'!$AA:$AK,4,0),"")</f>
        <v>3665.7119680711562</v>
      </c>
      <c r="Z105" s="80">
        <f t="shared" si="6"/>
        <v>29471.790908039075</v>
      </c>
      <c r="AF105" s="76" t="s">
        <v>576</v>
      </c>
      <c r="AG105" s="76" t="s">
        <v>576</v>
      </c>
      <c r="AH105" s="78" t="s">
        <v>577</v>
      </c>
      <c r="AI105" s="78" t="s">
        <v>400</v>
      </c>
      <c r="AJ105" s="78"/>
      <c r="AK105" s="78"/>
      <c r="AL105" s="78">
        <v>3</v>
      </c>
      <c r="AM105" s="77" t="s">
        <v>401</v>
      </c>
      <c r="AN105" s="77" t="s">
        <v>395</v>
      </c>
      <c r="AO105" s="79"/>
      <c r="AP105" s="79"/>
      <c r="AQ105" s="79"/>
      <c r="AR105" s="79"/>
      <c r="AS105" s="79"/>
      <c r="AT105" s="79"/>
      <c r="AU105" s="79"/>
      <c r="AV105" s="79"/>
      <c r="AW105" s="79"/>
      <c r="AX105" s="79"/>
      <c r="AY105" s="79"/>
      <c r="AZ105" s="80">
        <f t="shared" si="9"/>
        <v>0</v>
      </c>
      <c r="BK105" s="65" t="s">
        <v>233</v>
      </c>
      <c r="BL105" s="65" t="s">
        <v>397</v>
      </c>
      <c r="BM105" s="65" t="s">
        <v>416</v>
      </c>
      <c r="BN105" s="65">
        <v>1</v>
      </c>
    </row>
    <row r="106" spans="2:66" x14ac:dyDescent="0.25">
      <c r="B106" s="76" t="s">
        <v>134</v>
      </c>
      <c r="C106" s="76" t="s">
        <v>134</v>
      </c>
      <c r="D106" s="77" t="s">
        <v>567</v>
      </c>
      <c r="E106" s="77" t="s">
        <v>388</v>
      </c>
      <c r="F106" s="77"/>
      <c r="G106" s="77" t="s">
        <v>463</v>
      </c>
      <c r="H106" s="77">
        <v>4</v>
      </c>
      <c r="I106" s="77" t="s">
        <v>401</v>
      </c>
      <c r="J106" s="77" t="s">
        <v>390</v>
      </c>
      <c r="K106" s="77" t="s">
        <v>463</v>
      </c>
      <c r="L106" s="78" t="str">
        <f t="shared" si="7"/>
        <v/>
      </c>
      <c r="M106" s="77" t="str" cm="1">
        <f t="array" ref="M106">IF(OR(UPPER(TRIM($C106))="BRAZIL",UPPER(TRIM($C106))="INDIA",UPPER(TRIM($C106))="PHILIPPINES"),
   "UNDP OP8 COB - RPA",
   IFERROR(
     VLOOKUP($C106,$BF:$BG,2,0),
     _xlfn.SWITCH(UPPER(TRIM($K106)),
       "N/A","N/A",
       "VACANT","UNDP OP8 COB - Vacant",
       "UNDP","UNDP OP8 COB - UNDP CO",
       "UN COMPOUND","UNDP OP8 COB - UN Compound",
       "UNDP - WFH","UNDP OP8 COB - UNDP WFH",
"UNICEF","UNDP OP8 COB - UNICEF",
       "NHI","n.End of June 2026",
       "PRIVATE LEASE","k.End of Mar 2026",
       ""
     )
   )
)</f>
        <v>UNDP OP8 COB - RPA</v>
      </c>
      <c r="N106" s="77" t="str">
        <f t="shared" si="8"/>
        <v>UNDP Action</v>
      </c>
      <c r="O106" s="79"/>
      <c r="P106" s="79"/>
      <c r="Q106" s="79"/>
      <c r="R106" s="79"/>
      <c r="S106" s="79"/>
      <c r="T106" s="79"/>
      <c r="U106" s="79"/>
      <c r="V106" s="79"/>
      <c r="W106" s="79"/>
      <c r="X106" s="79"/>
      <c r="Y106" s="79"/>
      <c r="Z106" s="80" t="s">
        <v>464</v>
      </c>
      <c r="AF106" s="76" t="s">
        <v>219</v>
      </c>
      <c r="AG106" s="76" t="s">
        <v>219</v>
      </c>
      <c r="AH106" s="78" t="s">
        <v>586</v>
      </c>
      <c r="AI106" s="78" t="s">
        <v>400</v>
      </c>
      <c r="AJ106" s="78"/>
      <c r="AK106" s="78"/>
      <c r="AL106" s="78">
        <v>2</v>
      </c>
      <c r="AM106" s="77" t="s">
        <v>401</v>
      </c>
      <c r="AN106" s="77" t="s">
        <v>390</v>
      </c>
      <c r="AO106" s="79"/>
      <c r="AP106" s="79"/>
      <c r="AQ106" s="79"/>
      <c r="AR106" s="79"/>
      <c r="AS106" s="79"/>
      <c r="AT106" s="79"/>
      <c r="AU106" s="79"/>
      <c r="AV106" s="79"/>
      <c r="AW106" s="79"/>
      <c r="AX106" s="79"/>
      <c r="AY106" s="79"/>
      <c r="AZ106" s="80">
        <f t="shared" si="9"/>
        <v>0</v>
      </c>
      <c r="BK106" s="65" t="s">
        <v>234</v>
      </c>
      <c r="BL106" s="65" t="s">
        <v>397</v>
      </c>
      <c r="BM106" s="65" t="s">
        <v>461</v>
      </c>
      <c r="BN106" s="65">
        <v>1</v>
      </c>
    </row>
    <row r="107" spans="2:66" x14ac:dyDescent="0.25">
      <c r="B107" s="76" t="s">
        <v>233</v>
      </c>
      <c r="C107" s="81" t="s">
        <v>233</v>
      </c>
      <c r="D107" s="77" t="s">
        <v>500</v>
      </c>
      <c r="E107" s="77" t="s">
        <v>394</v>
      </c>
      <c r="F107" s="77"/>
      <c r="G107" s="77"/>
      <c r="H107" s="77">
        <v>3</v>
      </c>
      <c r="I107" s="77" t="s">
        <v>401</v>
      </c>
      <c r="J107" s="77" t="s">
        <v>390</v>
      </c>
      <c r="K107" s="77" t="s">
        <v>17</v>
      </c>
      <c r="L107" s="78" t="str">
        <f t="shared" si="7"/>
        <v/>
      </c>
      <c r="M107" s="77" t="str" cm="1">
        <f t="array" ref="M107">IF(OR(UPPER(TRIM($C107))="BRAZIL",UPPER(TRIM($C107))="INDIA",UPPER(TRIM($C107))="PHILIPPINES"),
   "UNDP OP8 COB - RPA",
   IFERROR(
     VLOOKUP($C107,$BF:$BG,2,0),
     _xlfn.SWITCH(UPPER(TRIM($K107)),
       "N/A","N/A",
       "VACANT","UNDP OP8 COB - Vacant",
       "UNDP","UNDP OP8 COB - UNDP CO",
       "UN COMPOUND","UNDP OP8 COB - UN Compound",
       "UNDP - WFH","UNDP OP8 COB - UNDP WFH",
"UNICEF","UNDP OP8 COB - UNICEF",
       "NHI","n.End of June 2026",
       "PRIVATE LEASE","k.End of Mar 2026",
       ""
     )
   )
)</f>
        <v>UNDP OP8 COB - UNDP CO</v>
      </c>
      <c r="N107" s="77" t="str">
        <f t="shared" si="8"/>
        <v>UNDP Action</v>
      </c>
      <c r="O107" s="79">
        <v>6600</v>
      </c>
      <c r="P107" s="79">
        <f>IFERROR((VLOOKUP($C107,'[15]2024 COBs'!$AA:$AK,8,0)+VLOOKUP($C107,'[15]2024 COBs'!$AA:$AK,9,0)+VLOOKUP($C107,'[15]2024 COBs'!$AA:$AK,10,0)+VLOOKUP($C107,'[15]2024 COBs'!$AA:$AK,11,0))*5%,"")</f>
        <v>0</v>
      </c>
      <c r="Q107" s="79">
        <f>IFERROR((VLOOKUP($C107,'[15]2024 COBs'!$AA:$AK,8,0)+VLOOKUP($C107,'[15]2024 COBs'!$AA:$AK,9,0)+VLOOKUP($C107,'[15]2024 COBs'!$AA:$AK,10,0)+VLOOKUP($C107,'[15]2024 COBs'!$AA:$AK,11,0))*16%,"")</f>
        <v>0</v>
      </c>
      <c r="R107" s="79"/>
      <c r="S107" s="79">
        <f>IFERROR(VLOOKUP($C107,'[15]2024 COBs'!$AA:$AK,7,0),"")</f>
        <v>120</v>
      </c>
      <c r="T107" s="79">
        <f>IFERROR((VLOOKUP($C107,'[15]2024 COBs'!$AA:$AK,8,0)+VLOOKUP($C107,'[15]2024 COBs'!$AA:$AK,9,0)+VLOOKUP($C107,'[15]2024 COBs'!$AA:$AK,10,0)+VLOOKUP($C107,'[15]2024 COBs'!$AA:$AK,11,0))*20%,"")</f>
        <v>0</v>
      </c>
      <c r="U107" s="79">
        <f>IFERROR(VLOOKUP($C107,'[15]2024 COBs'!$AA:$AK,6,0),"")</f>
        <v>11077.199999999999</v>
      </c>
      <c r="V107" s="79">
        <f>IFERROR((VLOOKUP($C107,'[15]2024 COBs'!$AA:$AK,8,0)+VLOOKUP($C107,'[15]2024 COBs'!$AA:$AK,9,0)+VLOOKUP($C107,'[15]2024 COBs'!$AA:$AK,10,0)+VLOOKUP($C107,'[15]2024 COBs'!$AA:$AK,11,0))*18%,"")</f>
        <v>0</v>
      </c>
      <c r="W107" s="79">
        <f>IFERROR((VLOOKUP($C107,'[15]2024 COBs'!$AA:$AK,8,0)+VLOOKUP($C107,'[15]2024 COBs'!$AA:$AK,9,0)+VLOOKUP($C107,'[15]2024 COBs'!$AA:$AK,10,0)+VLOOKUP($C107,'[15]2024 COBs'!$AA:$AK,11,0))*27%,"")</f>
        <v>0</v>
      </c>
      <c r="X107" s="79">
        <f>IFERROR((VLOOKUP($C107,'[15]2024 COBs'!$AA:$AK,8,0)+VLOOKUP($C107,'[15]2024 COBs'!$AA:$AK,9,0)+VLOOKUP($C107,'[15]2024 COBs'!$AA:$AK,10,0)+VLOOKUP($C107,'[15]2024 COBs'!$AA:$AK,11,0))*14%,"")</f>
        <v>0</v>
      </c>
      <c r="Y107" s="79">
        <f>IFERROR(VLOOKUP($C107,'[15]2024 COBs'!$AA:$AK,4,0),"")</f>
        <v>2099.9999999999995</v>
      </c>
      <c r="Z107" s="80">
        <f t="shared" ref="Z107:Z145" si="10">SUM(O107:Y107)</f>
        <v>19897.199999999997</v>
      </c>
      <c r="AF107" s="76" t="s">
        <v>587</v>
      </c>
      <c r="AG107" s="76" t="s">
        <v>587</v>
      </c>
      <c r="AH107" s="78" t="s">
        <v>588</v>
      </c>
      <c r="AI107" s="78" t="s">
        <v>400</v>
      </c>
      <c r="AJ107" s="78"/>
      <c r="AK107" s="78"/>
      <c r="AL107" s="78">
        <v>3</v>
      </c>
      <c r="AM107" s="77" t="s">
        <v>389</v>
      </c>
      <c r="AN107" s="77" t="s">
        <v>395</v>
      </c>
      <c r="AO107" s="79"/>
      <c r="AP107" s="79"/>
      <c r="AQ107" s="79"/>
      <c r="AR107" s="79"/>
      <c r="AS107" s="79"/>
      <c r="AT107" s="79"/>
      <c r="AU107" s="79"/>
      <c r="AV107" s="79"/>
      <c r="AW107" s="79"/>
      <c r="AX107" s="79"/>
      <c r="AY107" s="79"/>
      <c r="AZ107" s="80">
        <f t="shared" si="9"/>
        <v>0</v>
      </c>
      <c r="BK107" s="65" t="s">
        <v>234</v>
      </c>
      <c r="BL107" s="65" t="s">
        <v>411</v>
      </c>
      <c r="BM107" s="65" t="s">
        <v>497</v>
      </c>
      <c r="BN107" s="65">
        <v>1</v>
      </c>
    </row>
    <row r="108" spans="2:66" x14ac:dyDescent="0.25">
      <c r="B108" s="76" t="s">
        <v>234</v>
      </c>
      <c r="C108" s="76" t="s">
        <v>234</v>
      </c>
      <c r="D108" s="77" t="s">
        <v>569</v>
      </c>
      <c r="E108" s="77" t="s">
        <v>388</v>
      </c>
      <c r="F108" s="77" t="s">
        <v>432</v>
      </c>
      <c r="G108" s="77"/>
      <c r="H108" s="77">
        <v>1</v>
      </c>
      <c r="I108" s="77" t="s">
        <v>401</v>
      </c>
      <c r="J108" s="77" t="s">
        <v>390</v>
      </c>
      <c r="K108" s="77" t="s">
        <v>17</v>
      </c>
      <c r="L108" s="78" t="str">
        <f t="shared" si="7"/>
        <v>Yes</v>
      </c>
      <c r="M108" s="77" t="str" cm="1">
        <f t="array" ref="M108">IF(OR(UPPER(TRIM($C108))="BRAZIL",UPPER(TRIM($C108))="INDIA",UPPER(TRIM($C108))="PHILIPPINES"),
   "UNDP OP8 COB - RPA",
   IFERROR(
     VLOOKUP($C108,$BF:$BG,2,0),
     _xlfn.SWITCH(UPPER(TRIM($K108)),
       "N/A","N/A",
       "VACANT","UNDP OP8 COB - Vacant",
       "UNDP","UNDP OP8 COB - UNDP CO",
       "UN COMPOUND","UNDP OP8 COB - UN Compound",
       "UNDP - WFH","UNDP OP8 COB - UNDP WFH",
"UNICEF","UNDP OP8 COB - UNICEF",
       "NHI","n.End of June 2026",
       "PRIVATE LEASE","k.End of Mar 2026",
       ""
     )
   )
)</f>
        <v>i.End of Jan 2026</v>
      </c>
      <c r="N108" s="77" t="str">
        <f t="shared" si="8"/>
        <v>UNOPS Action</v>
      </c>
      <c r="O108" s="79">
        <f>IFERROR(VLOOKUP($C108,'[15]2024 COBs'!$AA:$AK,5,0),"")</f>
        <v>13535.25</v>
      </c>
      <c r="P108" s="79">
        <f>IFERROR((VLOOKUP($C108,'[15]2024 COBs'!$AA:$AK,8,0)+VLOOKUP($C108,'[15]2024 COBs'!$AA:$AK,9,0)+VLOOKUP($C108,'[15]2024 COBs'!$AA:$AK,10,0)+VLOOKUP($C108,'[15]2024 COBs'!$AA:$AK,11,0))*5%,"")</f>
        <v>468</v>
      </c>
      <c r="Q108" s="79">
        <f>IFERROR((VLOOKUP($C108,'[15]2024 COBs'!$AA:$AK,8,0)+VLOOKUP($C108,'[15]2024 COBs'!$AA:$AK,9,0)+VLOOKUP($C108,'[15]2024 COBs'!$AA:$AK,10,0)+VLOOKUP($C108,'[15]2024 COBs'!$AA:$AK,11,0))*16%,"")</f>
        <v>1497.6000000000001</v>
      </c>
      <c r="R108" s="79"/>
      <c r="S108" s="79">
        <f>IFERROR(VLOOKUP($C108,'[15]2024 COBs'!$AA:$AK,7,0),"")</f>
        <v>0</v>
      </c>
      <c r="T108" s="79">
        <f>IFERROR((VLOOKUP($C108,'[15]2024 COBs'!$AA:$AK,8,0)+VLOOKUP($C108,'[15]2024 COBs'!$AA:$AK,9,0)+VLOOKUP($C108,'[15]2024 COBs'!$AA:$AK,10,0)+VLOOKUP($C108,'[15]2024 COBs'!$AA:$AK,11,0))*20%,"")</f>
        <v>1872</v>
      </c>
      <c r="U108" s="79">
        <f>IFERROR(VLOOKUP($C108,'[15]2024 COBs'!$AA:$AK,6,0),"")</f>
        <v>5907</v>
      </c>
      <c r="V108" s="79">
        <f>IFERROR((VLOOKUP($C108,'[15]2024 COBs'!$AA:$AK,8,0)+VLOOKUP($C108,'[15]2024 COBs'!$AA:$AK,9,0)+VLOOKUP($C108,'[15]2024 COBs'!$AA:$AK,10,0)+VLOOKUP($C108,'[15]2024 COBs'!$AA:$AK,11,0))*18%,"")</f>
        <v>1684.8</v>
      </c>
      <c r="W108" s="79">
        <f>IFERROR((VLOOKUP($C108,'[15]2024 COBs'!$AA:$AK,8,0)+VLOOKUP($C108,'[15]2024 COBs'!$AA:$AK,9,0)+VLOOKUP($C108,'[15]2024 COBs'!$AA:$AK,10,0)+VLOOKUP($C108,'[15]2024 COBs'!$AA:$AK,11,0))*27%,"")</f>
        <v>2527.2000000000003</v>
      </c>
      <c r="X108" s="79">
        <f>IFERROR((VLOOKUP($C108,'[15]2024 COBs'!$AA:$AK,8,0)+VLOOKUP($C108,'[15]2024 COBs'!$AA:$AK,9,0)+VLOOKUP($C108,'[15]2024 COBs'!$AA:$AK,10,0)+VLOOKUP($C108,'[15]2024 COBs'!$AA:$AK,11,0))*14%,"")</f>
        <v>1310.4000000000001</v>
      </c>
      <c r="Y108" s="79">
        <f>IFERROR(VLOOKUP($C108,'[15]2024 COBs'!$AA:$AK,4,0),"")</f>
        <v>6225</v>
      </c>
      <c r="Z108" s="80">
        <f t="shared" si="10"/>
        <v>35027.25</v>
      </c>
      <c r="AF108" s="76" t="s">
        <v>602</v>
      </c>
      <c r="AG108" s="76" t="s">
        <v>602</v>
      </c>
      <c r="AH108" s="78" t="s">
        <v>603</v>
      </c>
      <c r="AI108" s="78" t="s">
        <v>400</v>
      </c>
      <c r="AJ108" s="78"/>
      <c r="AK108" s="78"/>
      <c r="AL108" s="78">
        <v>5</v>
      </c>
      <c r="AM108" s="77" t="s">
        <v>421</v>
      </c>
      <c r="AN108" s="77" t="s">
        <v>439</v>
      </c>
      <c r="AO108" s="79"/>
      <c r="AP108" s="79"/>
      <c r="AQ108" s="79"/>
      <c r="AR108" s="79"/>
      <c r="AS108" s="79"/>
      <c r="AT108" s="79"/>
      <c r="AU108" s="79"/>
      <c r="AV108" s="79"/>
      <c r="AW108" s="79"/>
      <c r="AX108" s="79"/>
      <c r="AY108" s="79"/>
      <c r="AZ108" s="80">
        <f t="shared" si="9"/>
        <v>0</v>
      </c>
      <c r="BK108" s="65" t="s">
        <v>235</v>
      </c>
      <c r="BL108" s="65" t="s">
        <v>397</v>
      </c>
      <c r="BM108" s="65" t="s">
        <v>416</v>
      </c>
      <c r="BN108" s="65">
        <v>1</v>
      </c>
    </row>
    <row r="109" spans="2:66" x14ac:dyDescent="0.25">
      <c r="B109" s="76" t="s">
        <v>502</v>
      </c>
      <c r="C109" s="76" t="s">
        <v>502</v>
      </c>
      <c r="D109" s="77" t="s">
        <v>503</v>
      </c>
      <c r="E109" s="77" t="s">
        <v>394</v>
      </c>
      <c r="F109" s="77"/>
      <c r="G109" s="77"/>
      <c r="H109" s="77">
        <v>3</v>
      </c>
      <c r="I109" s="77" t="s">
        <v>389</v>
      </c>
      <c r="J109" s="77" t="s">
        <v>395</v>
      </c>
      <c r="K109" s="77" t="s">
        <v>391</v>
      </c>
      <c r="L109" s="78" t="str">
        <f t="shared" si="7"/>
        <v/>
      </c>
      <c r="M109" s="77" t="str" cm="1">
        <f t="array" ref="M109">IF(OR(UPPER(TRIM($C109))="BRAZIL",UPPER(TRIM($C109))="INDIA",UPPER(TRIM($C109))="PHILIPPINES"),
   "UNDP OP8 COB - RPA",
   IFERROR(
     VLOOKUP($C109,$BF:$BG,2,0),
     _xlfn.SWITCH(UPPER(TRIM($K109)),
       "N/A","N/A",
       "VACANT","UNDP OP8 COB - Vacant",
       "UNDP","UNDP OP8 COB - UNDP CO",
       "UN COMPOUND","UNDP OP8 COB - UN Compound",
       "UNDP - WFH","UNDP OP8 COB - UNDP WFH",
"UNICEF","UNDP OP8 COB - UNICEF",
       "NHI","n.End of June 2026",
       "PRIVATE LEASE","k.End of Mar 2026",
       ""
     )
   )
)</f>
        <v>UNDP OP8 COB - Vacant</v>
      </c>
      <c r="N109" s="77" t="str">
        <f t="shared" si="8"/>
        <v>UNDP Action</v>
      </c>
      <c r="O109" s="79">
        <f>IFERROR(VLOOKUP($C109,'[15]2024 COBs'!$AA:$AK,5,0),"")</f>
        <v>8604.9880036294471</v>
      </c>
      <c r="P109" s="79">
        <f>IFERROR((VLOOKUP($C109,'[15]2024 COBs'!$AA:$AK,8,0)+VLOOKUP($C109,'[15]2024 COBs'!$AA:$AK,9,0)+VLOOKUP($C109,'[15]2024 COBs'!$AA:$AK,10,0)+VLOOKUP($C109,'[15]2024 COBs'!$AA:$AK,11,0))*5%,"")</f>
        <v>275.52134280621465</v>
      </c>
      <c r="Q109" s="79">
        <f>IFERROR((VLOOKUP($C109,'[15]2024 COBs'!$AA:$AK,8,0)+VLOOKUP($C109,'[15]2024 COBs'!$AA:$AK,9,0)+VLOOKUP($C109,'[15]2024 COBs'!$AA:$AK,10,0)+VLOOKUP($C109,'[15]2024 COBs'!$AA:$AK,11,0))*16%,"")</f>
        <v>881.6682969798868</v>
      </c>
      <c r="R109" s="79"/>
      <c r="S109" s="79">
        <f>IFERROR(VLOOKUP($C109,'[15]2024 COBs'!$AA:$AK,7,0),"")</f>
        <v>455.77703546194442</v>
      </c>
      <c r="T109" s="79">
        <f>IFERROR((VLOOKUP($C109,'[15]2024 COBs'!$AA:$AK,8,0)+VLOOKUP($C109,'[15]2024 COBs'!$AA:$AK,9,0)+VLOOKUP($C109,'[15]2024 COBs'!$AA:$AK,10,0)+VLOOKUP($C109,'[15]2024 COBs'!$AA:$AK,11,0))*20%,"")</f>
        <v>1102.0853712248586</v>
      </c>
      <c r="U109" s="79">
        <f>IFERROR(VLOOKUP($C109,'[15]2024 COBs'!$AA:$AK,6,0),"")</f>
        <v>11234.887044752235</v>
      </c>
      <c r="V109" s="79">
        <f>IFERROR((VLOOKUP($C109,'[15]2024 COBs'!$AA:$AK,8,0)+VLOOKUP($C109,'[15]2024 COBs'!$AA:$AK,9,0)+VLOOKUP($C109,'[15]2024 COBs'!$AA:$AK,10,0)+VLOOKUP($C109,'[15]2024 COBs'!$AA:$AK,11,0))*18%,"")</f>
        <v>991.87683410237264</v>
      </c>
      <c r="W109" s="79">
        <f>IFERROR((VLOOKUP($C109,'[15]2024 COBs'!$AA:$AK,8,0)+VLOOKUP($C109,'[15]2024 COBs'!$AA:$AK,9,0)+VLOOKUP($C109,'[15]2024 COBs'!$AA:$AK,10,0)+VLOOKUP($C109,'[15]2024 COBs'!$AA:$AK,11,0))*27%,"")</f>
        <v>1487.8152511535591</v>
      </c>
      <c r="X109" s="79">
        <f>IFERROR((VLOOKUP($C109,'[15]2024 COBs'!$AA:$AK,8,0)+VLOOKUP($C109,'[15]2024 COBs'!$AA:$AK,9,0)+VLOOKUP($C109,'[15]2024 COBs'!$AA:$AK,10,0)+VLOOKUP($C109,'[15]2024 COBs'!$AA:$AK,11,0))*14%,"")</f>
        <v>771.45975985740097</v>
      </c>
      <c r="Y109" s="79">
        <f>IFERROR(VLOOKUP($C109,'[15]2024 COBs'!$AA:$AK,4,0),"")</f>
        <v>3665.7119680711562</v>
      </c>
      <c r="Z109" s="80">
        <f t="shared" si="10"/>
        <v>29471.790908039075</v>
      </c>
      <c r="AF109" s="76" t="s">
        <v>604</v>
      </c>
      <c r="AG109" s="76" t="s">
        <v>604</v>
      </c>
      <c r="AH109" s="78" t="s">
        <v>605</v>
      </c>
      <c r="AI109" s="78" t="s">
        <v>400</v>
      </c>
      <c r="AJ109" s="78"/>
      <c r="AK109" s="78"/>
      <c r="AL109" s="78">
        <v>5</v>
      </c>
      <c r="AM109" s="77" t="s">
        <v>421</v>
      </c>
      <c r="AN109" s="77" t="s">
        <v>439</v>
      </c>
      <c r="AO109" s="79"/>
      <c r="AP109" s="79"/>
      <c r="AQ109" s="79"/>
      <c r="AR109" s="79"/>
      <c r="AS109" s="79"/>
      <c r="AT109" s="79"/>
      <c r="AU109" s="79"/>
      <c r="AV109" s="79"/>
      <c r="AW109" s="79"/>
      <c r="AX109" s="79"/>
      <c r="AY109" s="79"/>
      <c r="AZ109" s="80">
        <f t="shared" si="9"/>
        <v>0</v>
      </c>
      <c r="BK109" s="65" t="s">
        <v>235</v>
      </c>
      <c r="BL109" s="65" t="s">
        <v>397</v>
      </c>
      <c r="BM109" s="65" t="s">
        <v>398</v>
      </c>
      <c r="BN109" s="65">
        <v>1</v>
      </c>
    </row>
    <row r="110" spans="2:66" x14ac:dyDescent="0.25">
      <c r="B110" s="76" t="s">
        <v>235</v>
      </c>
      <c r="C110" s="81" t="s">
        <v>235</v>
      </c>
      <c r="D110" s="77" t="s">
        <v>505</v>
      </c>
      <c r="E110" s="77" t="s">
        <v>394</v>
      </c>
      <c r="F110" s="77"/>
      <c r="G110" s="77"/>
      <c r="H110" s="77">
        <v>1</v>
      </c>
      <c r="I110" s="77" t="s">
        <v>401</v>
      </c>
      <c r="J110" s="77" t="s">
        <v>390</v>
      </c>
      <c r="K110" s="77" t="s">
        <v>606</v>
      </c>
      <c r="L110" s="78" t="str">
        <f t="shared" si="7"/>
        <v/>
      </c>
      <c r="M110" s="77" t="str" cm="1">
        <f t="array" ref="M110">IF(OR(UPPER(TRIM($C110))="BRAZIL",UPPER(TRIM($C110))="INDIA",UPPER(TRIM($C110))="PHILIPPINES"),
   "UNDP OP8 COB - RPA",
   IFERROR(
     VLOOKUP($C110,$BF:$BG,2,0),
     _xlfn.SWITCH(UPPER(TRIM($K110)),
       "N/A","N/A",
       "VACANT","UNDP OP8 COB - Vacant",
       "UNDP","UNDP OP8 COB - UNDP CO",
       "UN COMPOUND","UNDP OP8 COB - UN Compound",
       "UNDP - WFH","UNDP OP8 COB - UNDP WFH",
"UNICEF","UNDP OP8 COB - UNICEF",
       "NHI","n.End of June 2026",
       "PRIVATE LEASE","k.End of Mar 2026",
       ""
     )
   )
)</f>
        <v>UNDP OP8 COB - UNDP WFH</v>
      </c>
      <c r="N110" s="77" t="str">
        <f t="shared" si="8"/>
        <v>UNDP Action</v>
      </c>
      <c r="O110" s="79">
        <f>IFERROR(VLOOKUP($C110,'[15]2024 COBs'!$AA:$AK,5,0),"")</f>
        <v>10800</v>
      </c>
      <c r="P110" s="79">
        <v>3000</v>
      </c>
      <c r="Q110" s="79">
        <f>IFERROR((VLOOKUP($C110,'[15]2024 COBs'!$AA:$AK,8,0)+VLOOKUP($C110,'[15]2024 COBs'!$AA:$AK,9,0)+VLOOKUP($C110,'[15]2024 COBs'!$AA:$AK,10,0)+VLOOKUP($C110,'[15]2024 COBs'!$AA:$AK,11,0))*16%,"")</f>
        <v>1099.0079999999998</v>
      </c>
      <c r="R110" s="79"/>
      <c r="S110" s="79">
        <f>IFERROR(VLOOKUP($C110,'[15]2024 COBs'!$AA:$AK,7,0),"")</f>
        <v>512.4</v>
      </c>
      <c r="T110" s="79">
        <f>IFERROR((VLOOKUP($C110,'[15]2024 COBs'!$AA:$AK,8,0)+VLOOKUP($C110,'[15]2024 COBs'!$AA:$AK,9,0)+VLOOKUP($C110,'[15]2024 COBs'!$AA:$AK,10,0)+VLOOKUP($C110,'[15]2024 COBs'!$AA:$AK,11,0))*20%,"")</f>
        <v>1373.76</v>
      </c>
      <c r="U110" s="79">
        <v>12000</v>
      </c>
      <c r="V110" s="79">
        <f>IFERROR((VLOOKUP($C110,'[15]2024 COBs'!$AA:$AK,8,0)+VLOOKUP($C110,'[15]2024 COBs'!$AA:$AK,9,0)+VLOOKUP($C110,'[15]2024 COBs'!$AA:$AK,10,0)+VLOOKUP($C110,'[15]2024 COBs'!$AA:$AK,11,0))*18%,"")</f>
        <v>1236.3839999999998</v>
      </c>
      <c r="W110" s="79">
        <f>IFERROR((VLOOKUP($C110,'[15]2024 COBs'!$AA:$AK,8,0)+VLOOKUP($C110,'[15]2024 COBs'!$AA:$AK,9,0)+VLOOKUP($C110,'[15]2024 COBs'!$AA:$AK,10,0)+VLOOKUP($C110,'[15]2024 COBs'!$AA:$AK,11,0))*27%,"")</f>
        <v>1854.576</v>
      </c>
      <c r="X110" s="79">
        <f>IFERROR((VLOOKUP($C110,'[15]2024 COBs'!$AA:$AK,8,0)+VLOOKUP($C110,'[15]2024 COBs'!$AA:$AK,9,0)+VLOOKUP($C110,'[15]2024 COBs'!$AA:$AK,10,0)+VLOOKUP($C110,'[15]2024 COBs'!$AA:$AK,11,0))*14%,"")</f>
        <v>961.63199999999995</v>
      </c>
      <c r="Y110" s="79">
        <f>IFERROR(VLOOKUP($C110,'[15]2024 COBs'!$AA:$AK,4,0),"")</f>
        <v>2803.7999999999997</v>
      </c>
      <c r="Z110" s="80">
        <f t="shared" si="10"/>
        <v>35641.56</v>
      </c>
      <c r="AF110" s="76" t="s">
        <v>249</v>
      </c>
      <c r="AG110" s="76" t="s">
        <v>249</v>
      </c>
      <c r="AH110" s="78" t="s">
        <v>607</v>
      </c>
      <c r="AI110" s="78" t="s">
        <v>400</v>
      </c>
      <c r="AJ110" s="78"/>
      <c r="AK110" s="78"/>
      <c r="AL110" s="78">
        <v>3</v>
      </c>
      <c r="AM110" s="77" t="s">
        <v>401</v>
      </c>
      <c r="AN110" s="77" t="s">
        <v>390</v>
      </c>
      <c r="AO110" s="79"/>
      <c r="AP110" s="79"/>
      <c r="AQ110" s="79"/>
      <c r="AR110" s="79"/>
      <c r="AS110" s="79"/>
      <c r="AT110" s="79"/>
      <c r="AU110" s="79"/>
      <c r="AV110" s="79"/>
      <c r="AW110" s="79"/>
      <c r="AX110" s="79"/>
      <c r="AY110" s="79"/>
      <c r="AZ110" s="80">
        <f t="shared" si="9"/>
        <v>0</v>
      </c>
      <c r="BK110" s="65" t="s">
        <v>236</v>
      </c>
      <c r="BL110" s="65" t="s">
        <v>397</v>
      </c>
      <c r="BM110" s="65" t="s">
        <v>398</v>
      </c>
      <c r="BN110" s="65">
        <v>1</v>
      </c>
    </row>
    <row r="111" spans="2:66" x14ac:dyDescent="0.25">
      <c r="B111" s="76" t="s">
        <v>602</v>
      </c>
      <c r="C111" s="76" t="s">
        <v>602</v>
      </c>
      <c r="D111" s="77" t="s">
        <v>603</v>
      </c>
      <c r="E111" s="77" t="s">
        <v>400</v>
      </c>
      <c r="F111" s="77"/>
      <c r="G111" s="77"/>
      <c r="H111" s="77">
        <v>5</v>
      </c>
      <c r="I111" s="77" t="s">
        <v>421</v>
      </c>
      <c r="J111" s="77" t="s">
        <v>439</v>
      </c>
      <c r="K111" s="77" t="s">
        <v>422</v>
      </c>
      <c r="L111" s="78" t="str">
        <f t="shared" si="7"/>
        <v/>
      </c>
      <c r="M111" s="77" t="str" cm="1">
        <f t="array" ref="M111">IF(OR(UPPER(TRIM($C111))="BRAZIL",UPPER(TRIM($C111))="INDIA",UPPER(TRIM($C111))="PHILIPPINES"),
   "UNDP OP8 COB - RPA",
   IFERROR(
     VLOOKUP($C111,$BF:$BG,2,0),
     _xlfn.SWITCH(UPPER(TRIM($K111)),
       "N/A","N/A",
       "VACANT","UNDP OP8 COB - Vacant",
       "UNDP","UNDP OP8 COB - UNDP CO",
       "UN COMPOUND","UNDP OP8 COB - UN Compound",
       "UNDP - WFH","UNDP OP8 COB - UNDP WFH",
"UNICEF","UNDP OP8 COB - UNICEF",
       "NHI","n.End of June 2026",
       "PRIVATE LEASE","k.End of Mar 2026",
       ""
     )
   )
)</f>
        <v>N/A</v>
      </c>
      <c r="N111" s="77" t="str">
        <f t="shared" si="8"/>
        <v>N/A</v>
      </c>
      <c r="O111" s="79" t="str">
        <f>IFERROR(VLOOKUP($C111,'[15]2024 COBs'!$AA:$AK,5,0),"")</f>
        <v/>
      </c>
      <c r="P111" s="79" t="str">
        <f>IFERROR((VLOOKUP($C111,'[15]2024 COBs'!$AA:$AK,8,0)+VLOOKUP($C111,'[15]2024 COBs'!$AA:$AK,9,0)+VLOOKUP($C111,'[15]2024 COBs'!$AA:$AK,10,0)+VLOOKUP($C111,'[15]2024 COBs'!$AA:$AK,11,0))*5%,"")</f>
        <v/>
      </c>
      <c r="Q111" s="79" t="str">
        <f>IFERROR((VLOOKUP($C111,'[15]2024 COBs'!$AA:$AK,8,0)+VLOOKUP($C111,'[15]2024 COBs'!$AA:$AK,9,0)+VLOOKUP($C111,'[15]2024 COBs'!$AA:$AK,10,0)+VLOOKUP($C111,'[15]2024 COBs'!$AA:$AK,11,0))*16%,"")</f>
        <v/>
      </c>
      <c r="R111" s="79"/>
      <c r="S111" s="79" t="str">
        <f>IFERROR(VLOOKUP($C111,'[15]2024 COBs'!$AA:$AK,7,0),"")</f>
        <v/>
      </c>
      <c r="T111" s="79" t="str">
        <f>IFERROR((VLOOKUP($C111,'[15]2024 COBs'!$AA:$AK,8,0)+VLOOKUP($C111,'[15]2024 COBs'!$AA:$AK,9,0)+VLOOKUP($C111,'[15]2024 COBs'!$AA:$AK,10,0)+VLOOKUP($C111,'[15]2024 COBs'!$AA:$AK,11,0))*20%,"")</f>
        <v/>
      </c>
      <c r="U111" s="79" t="str">
        <f>IFERROR(VLOOKUP($C111,'[15]2024 COBs'!$AA:$AK,6,0),"")</f>
        <v/>
      </c>
      <c r="V111" s="79" t="str">
        <f>IFERROR((VLOOKUP($C111,'[15]2024 COBs'!$AA:$AK,8,0)+VLOOKUP($C111,'[15]2024 COBs'!$AA:$AK,9,0)+VLOOKUP($C111,'[15]2024 COBs'!$AA:$AK,10,0)+VLOOKUP($C111,'[15]2024 COBs'!$AA:$AK,11,0))*18%,"")</f>
        <v/>
      </c>
      <c r="W111" s="79" t="str">
        <f>IFERROR((VLOOKUP($C111,'[15]2024 COBs'!$AA:$AK,8,0)+VLOOKUP($C111,'[15]2024 COBs'!$AA:$AK,9,0)+VLOOKUP($C111,'[15]2024 COBs'!$AA:$AK,10,0)+VLOOKUP($C111,'[15]2024 COBs'!$AA:$AK,11,0))*27%,"")</f>
        <v/>
      </c>
      <c r="X111" s="79" t="str">
        <f>IFERROR((VLOOKUP($C111,'[15]2024 COBs'!$AA:$AK,8,0)+VLOOKUP($C111,'[15]2024 COBs'!$AA:$AK,9,0)+VLOOKUP($C111,'[15]2024 COBs'!$AA:$AK,10,0)+VLOOKUP($C111,'[15]2024 COBs'!$AA:$AK,11,0))*14%,"")</f>
        <v/>
      </c>
      <c r="Y111" s="79" t="str">
        <f>IFERROR(VLOOKUP($C111,'[15]2024 COBs'!$AA:$AK,4,0),"")</f>
        <v/>
      </c>
      <c r="Z111" s="80">
        <f t="shared" si="10"/>
        <v>0</v>
      </c>
      <c r="AF111" s="76" t="s">
        <v>608</v>
      </c>
      <c r="AG111" s="76" t="s">
        <v>608</v>
      </c>
      <c r="AH111" s="78" t="s">
        <v>609</v>
      </c>
      <c r="AI111" s="78" t="s">
        <v>400</v>
      </c>
      <c r="AJ111" s="78"/>
      <c r="AK111" s="78"/>
      <c r="AL111" s="78">
        <v>5</v>
      </c>
      <c r="AM111" s="77" t="s">
        <v>421</v>
      </c>
      <c r="AN111" s="77" t="s">
        <v>439</v>
      </c>
      <c r="AO111" s="79"/>
      <c r="AP111" s="79"/>
      <c r="AQ111" s="79"/>
      <c r="AR111" s="79"/>
      <c r="AS111" s="79"/>
      <c r="AT111" s="79"/>
      <c r="AU111" s="79"/>
      <c r="AV111" s="79"/>
      <c r="AW111" s="79"/>
      <c r="AX111" s="79"/>
      <c r="AY111" s="79"/>
      <c r="AZ111" s="80">
        <f t="shared" si="9"/>
        <v>0</v>
      </c>
      <c r="BK111" s="65" t="s">
        <v>237</v>
      </c>
      <c r="BL111" s="65" t="s">
        <v>397</v>
      </c>
      <c r="BM111" s="65" t="s">
        <v>398</v>
      </c>
      <c r="BN111" s="65">
        <v>1</v>
      </c>
    </row>
    <row r="112" spans="2:66" x14ac:dyDescent="0.25">
      <c r="B112" s="76" t="s">
        <v>236</v>
      </c>
      <c r="C112" s="76" t="s">
        <v>236</v>
      </c>
      <c r="D112" s="77" t="s">
        <v>507</v>
      </c>
      <c r="E112" s="77" t="s">
        <v>394</v>
      </c>
      <c r="F112" s="77" t="s">
        <v>409</v>
      </c>
      <c r="G112" s="77"/>
      <c r="H112" s="77">
        <v>2</v>
      </c>
      <c r="I112" s="77" t="s">
        <v>401</v>
      </c>
      <c r="J112" s="77" t="s">
        <v>390</v>
      </c>
      <c r="K112" s="77" t="s">
        <v>17</v>
      </c>
      <c r="L112" s="78" t="str">
        <f t="shared" si="7"/>
        <v/>
      </c>
      <c r="M112" s="77" t="str" cm="1">
        <f t="array" ref="M112">IF(OR(UPPER(TRIM($C112))="BRAZIL",UPPER(TRIM($C112))="INDIA",UPPER(TRIM($C112))="PHILIPPINES"),
   "UNDP OP8 COB - RPA",
   IFERROR(
     VLOOKUP($C112,$BF:$BG,2,0),
     _xlfn.SWITCH(UPPER(TRIM($K112)),
       "N/A","N/A",
       "VACANT","UNDP OP8 COB - Vacant",
       "UNDP","UNDP OP8 COB - UNDP CO",
       "UN COMPOUND","UNDP OP8 COB - UN Compound",
       "UNDP - WFH","UNDP OP8 COB - UNDP WFH",
"UNICEF","UNDP OP8 COB - UNICEF",
       "NHI","n.End of June 2026",
       "PRIVATE LEASE","k.End of Mar 2026",
       ""
     )
   )
)</f>
        <v>UNDP OP8 COB - UNDP CO</v>
      </c>
      <c r="N112" s="77" t="str">
        <f t="shared" si="8"/>
        <v>UNDP Action</v>
      </c>
      <c r="O112" s="79">
        <f>IFERROR(VLOOKUP($C112,'[15]2024 COBs'!$AA:$AK,5,0),"")</f>
        <v>4680</v>
      </c>
      <c r="P112" s="79">
        <f>IFERROR((VLOOKUP($C112,'[15]2024 COBs'!$AA:$AK,8,0)+VLOOKUP($C112,'[15]2024 COBs'!$AA:$AK,9,0)+VLOOKUP($C112,'[15]2024 COBs'!$AA:$AK,10,0)+VLOOKUP($C112,'[15]2024 COBs'!$AA:$AK,11,0))*5%,"")</f>
        <v>254.49</v>
      </c>
      <c r="Q112" s="79">
        <f>IFERROR((VLOOKUP($C112,'[15]2024 COBs'!$AA:$AK,8,0)+VLOOKUP($C112,'[15]2024 COBs'!$AA:$AK,9,0)+VLOOKUP($C112,'[15]2024 COBs'!$AA:$AK,10,0)+VLOOKUP($C112,'[15]2024 COBs'!$AA:$AK,11,0))*16%,"")</f>
        <v>814.36800000000005</v>
      </c>
      <c r="R112" s="79"/>
      <c r="S112" s="79">
        <f>IFERROR(VLOOKUP($C112,'[15]2024 COBs'!$AA:$AK,7,0),"")</f>
        <v>180</v>
      </c>
      <c r="T112" s="79">
        <f>IFERROR((VLOOKUP($C112,'[15]2024 COBs'!$AA:$AK,8,0)+VLOOKUP($C112,'[15]2024 COBs'!$AA:$AK,9,0)+VLOOKUP($C112,'[15]2024 COBs'!$AA:$AK,10,0)+VLOOKUP($C112,'[15]2024 COBs'!$AA:$AK,11,0))*20%,"")</f>
        <v>1017.96</v>
      </c>
      <c r="U112" s="79">
        <f>IFERROR(VLOOKUP($C112,'[15]2024 COBs'!$AA:$AK,6,0),"")</f>
        <v>4173</v>
      </c>
      <c r="V112" s="79">
        <f>IFERROR((VLOOKUP($C112,'[15]2024 COBs'!$AA:$AK,8,0)+VLOOKUP($C112,'[15]2024 COBs'!$AA:$AK,9,0)+VLOOKUP($C112,'[15]2024 COBs'!$AA:$AK,10,0)+VLOOKUP($C112,'[15]2024 COBs'!$AA:$AK,11,0))*18%,"")</f>
        <v>916.16399999999999</v>
      </c>
      <c r="W112" s="79">
        <f>IFERROR((VLOOKUP($C112,'[15]2024 COBs'!$AA:$AK,8,0)+VLOOKUP($C112,'[15]2024 COBs'!$AA:$AK,9,0)+VLOOKUP($C112,'[15]2024 COBs'!$AA:$AK,10,0)+VLOOKUP($C112,'[15]2024 COBs'!$AA:$AK,11,0))*27%,"")</f>
        <v>1374.2460000000001</v>
      </c>
      <c r="X112" s="79">
        <f>IFERROR((VLOOKUP($C112,'[15]2024 COBs'!$AA:$AK,8,0)+VLOOKUP($C112,'[15]2024 COBs'!$AA:$AK,9,0)+VLOOKUP($C112,'[15]2024 COBs'!$AA:$AK,10,0)+VLOOKUP($C112,'[15]2024 COBs'!$AA:$AK,11,0))*14%,"")</f>
        <v>712.57200000000012</v>
      </c>
      <c r="Y112" s="79">
        <f>IFERROR(VLOOKUP($C112,'[15]2024 COBs'!$AA:$AK,4,0),"")</f>
        <v>1079.9999999999998</v>
      </c>
      <c r="Z112" s="80">
        <f t="shared" si="10"/>
        <v>15202.8</v>
      </c>
      <c r="AF112" s="76" t="s">
        <v>251</v>
      </c>
      <c r="AG112" s="76" t="s">
        <v>251</v>
      </c>
      <c r="AH112" s="78" t="s">
        <v>610</v>
      </c>
      <c r="AI112" s="78" t="s">
        <v>400</v>
      </c>
      <c r="AJ112" s="78"/>
      <c r="AK112" s="78"/>
      <c r="AL112" s="78">
        <v>2</v>
      </c>
      <c r="AM112" s="77" t="s">
        <v>401</v>
      </c>
      <c r="AN112" s="77" t="s">
        <v>390</v>
      </c>
      <c r="AO112" s="79"/>
      <c r="AP112" s="79"/>
      <c r="AQ112" s="79"/>
      <c r="AR112" s="79"/>
      <c r="AS112" s="79"/>
      <c r="AT112" s="79"/>
      <c r="AU112" s="79"/>
      <c r="AV112" s="79"/>
      <c r="AW112" s="79"/>
      <c r="AX112" s="79"/>
      <c r="AY112" s="79"/>
      <c r="AZ112" s="80">
        <f t="shared" si="9"/>
        <v>0</v>
      </c>
      <c r="BK112" s="65" t="s">
        <v>238</v>
      </c>
      <c r="BL112" s="65" t="s">
        <v>397</v>
      </c>
      <c r="BM112" s="65" t="s">
        <v>461</v>
      </c>
      <c r="BN112" s="65">
        <v>1</v>
      </c>
    </row>
    <row r="113" spans="2:66" x14ac:dyDescent="0.25">
      <c r="B113" s="76" t="s">
        <v>237</v>
      </c>
      <c r="C113" s="76" t="s">
        <v>237</v>
      </c>
      <c r="D113" s="77" t="s">
        <v>509</v>
      </c>
      <c r="E113" s="77" t="s">
        <v>394</v>
      </c>
      <c r="F113" s="77"/>
      <c r="G113" s="77"/>
      <c r="H113" s="77">
        <v>2</v>
      </c>
      <c r="I113" s="77" t="s">
        <v>401</v>
      </c>
      <c r="J113" s="77" t="s">
        <v>390</v>
      </c>
      <c r="K113" s="77" t="s">
        <v>17</v>
      </c>
      <c r="L113" s="78" t="str">
        <f t="shared" si="7"/>
        <v/>
      </c>
      <c r="M113" s="77" t="str" cm="1">
        <f t="array" ref="M113">IF(OR(UPPER(TRIM($C113))="BRAZIL",UPPER(TRIM($C113))="INDIA",UPPER(TRIM($C113))="PHILIPPINES"),
   "UNDP OP8 COB - RPA",
   IFERROR(
     VLOOKUP($C113,$BF:$BG,2,0),
     _xlfn.SWITCH(UPPER(TRIM($K113)),
       "N/A","N/A",
       "VACANT","UNDP OP8 COB - Vacant",
       "UNDP","UNDP OP8 COB - UNDP CO",
       "UN COMPOUND","UNDP OP8 COB - UN Compound",
       "UNDP - WFH","UNDP OP8 COB - UNDP WFH",
"UNICEF","UNDP OP8 COB - UNICEF",
       "NHI","n.End of June 2026",
       "PRIVATE LEASE","k.End of Mar 2026",
       ""
     )
   )
)</f>
        <v>UNDP OP8 COB - UNDP CO</v>
      </c>
      <c r="N113" s="77" t="str">
        <f t="shared" si="8"/>
        <v>UNDP Action</v>
      </c>
      <c r="O113" s="79">
        <f>IFERROR(VLOOKUP($C113,'[15]2024 COBs'!$AA:$AK,5,0),"")</f>
        <v>8805</v>
      </c>
      <c r="P113" s="79">
        <f>IFERROR((VLOOKUP($C113,'[15]2024 COBs'!$AA:$AK,8,0)+VLOOKUP($C113,'[15]2024 COBs'!$AA:$AK,9,0)+VLOOKUP($C113,'[15]2024 COBs'!$AA:$AK,10,0)+VLOOKUP($C113,'[15]2024 COBs'!$AA:$AK,11,0))*5%,"")</f>
        <v>94.575000000000003</v>
      </c>
      <c r="Q113" s="79">
        <f>IFERROR((VLOOKUP($C113,'[15]2024 COBs'!$AA:$AK,8,0)+VLOOKUP($C113,'[15]2024 COBs'!$AA:$AK,9,0)+VLOOKUP($C113,'[15]2024 COBs'!$AA:$AK,10,0)+VLOOKUP($C113,'[15]2024 COBs'!$AA:$AK,11,0))*16%,"")</f>
        <v>302.64</v>
      </c>
      <c r="R113" s="79"/>
      <c r="S113" s="79">
        <f>IFERROR(VLOOKUP($C113,'[15]2024 COBs'!$AA:$AK,7,0),"")</f>
        <v>1500</v>
      </c>
      <c r="T113" s="79">
        <f>IFERROR((VLOOKUP($C113,'[15]2024 COBs'!$AA:$AK,8,0)+VLOOKUP($C113,'[15]2024 COBs'!$AA:$AK,9,0)+VLOOKUP($C113,'[15]2024 COBs'!$AA:$AK,10,0)+VLOOKUP($C113,'[15]2024 COBs'!$AA:$AK,11,0))*20%,"")</f>
        <v>378.3</v>
      </c>
      <c r="U113" s="79">
        <f>IFERROR(VLOOKUP($C113,'[15]2024 COBs'!$AA:$AK,6,0),"")</f>
        <v>13173</v>
      </c>
      <c r="V113" s="79">
        <f>IFERROR((VLOOKUP($C113,'[15]2024 COBs'!$AA:$AK,8,0)+VLOOKUP($C113,'[15]2024 COBs'!$AA:$AK,9,0)+VLOOKUP($C113,'[15]2024 COBs'!$AA:$AK,10,0)+VLOOKUP($C113,'[15]2024 COBs'!$AA:$AK,11,0))*18%,"")</f>
        <v>340.46999999999997</v>
      </c>
      <c r="W113" s="79">
        <f>IFERROR((VLOOKUP($C113,'[15]2024 COBs'!$AA:$AK,8,0)+VLOOKUP($C113,'[15]2024 COBs'!$AA:$AK,9,0)+VLOOKUP($C113,'[15]2024 COBs'!$AA:$AK,10,0)+VLOOKUP($C113,'[15]2024 COBs'!$AA:$AK,11,0))*27%,"")</f>
        <v>510.70500000000004</v>
      </c>
      <c r="X113" s="79">
        <f>IFERROR((VLOOKUP($C113,'[15]2024 COBs'!$AA:$AK,8,0)+VLOOKUP($C113,'[15]2024 COBs'!$AA:$AK,9,0)+VLOOKUP($C113,'[15]2024 COBs'!$AA:$AK,10,0)+VLOOKUP($C113,'[15]2024 COBs'!$AA:$AK,11,0))*14%,"")</f>
        <v>264.81</v>
      </c>
      <c r="Y113" s="79">
        <f>IFERROR(VLOOKUP($C113,'[15]2024 COBs'!$AA:$AK,4,0),"")</f>
        <v>2541</v>
      </c>
      <c r="Z113" s="80">
        <f t="shared" si="10"/>
        <v>27910.500000000004</v>
      </c>
      <c r="AF113" s="76" t="s">
        <v>530</v>
      </c>
      <c r="AG113" s="76" t="s">
        <v>530</v>
      </c>
      <c r="AH113" s="78" t="s">
        <v>611</v>
      </c>
      <c r="AI113" s="78" t="s">
        <v>400</v>
      </c>
      <c r="AJ113" s="78"/>
      <c r="AK113" s="78"/>
      <c r="AL113" s="78">
        <v>3</v>
      </c>
      <c r="AM113" s="77" t="s">
        <v>389</v>
      </c>
      <c r="AN113" s="77" t="s">
        <v>390</v>
      </c>
      <c r="AO113" s="79"/>
      <c r="AP113" s="79"/>
      <c r="AQ113" s="79"/>
      <c r="AR113" s="79"/>
      <c r="AS113" s="79"/>
      <c r="AT113" s="79"/>
      <c r="AU113" s="79"/>
      <c r="AV113" s="79"/>
      <c r="AW113" s="79"/>
      <c r="AX113" s="79"/>
      <c r="AY113" s="79"/>
      <c r="AZ113" s="80">
        <f t="shared" si="9"/>
        <v>0</v>
      </c>
      <c r="BK113" s="65" t="s">
        <v>238</v>
      </c>
      <c r="BL113" s="65" t="s">
        <v>397</v>
      </c>
      <c r="BM113" s="65" t="s">
        <v>398</v>
      </c>
      <c r="BN113" s="65">
        <v>1</v>
      </c>
    </row>
    <row r="114" spans="2:66" x14ac:dyDescent="0.25">
      <c r="B114" s="76" t="s">
        <v>238</v>
      </c>
      <c r="C114" s="76" t="s">
        <v>238</v>
      </c>
      <c r="D114" s="77" t="s">
        <v>570</v>
      </c>
      <c r="E114" s="77" t="s">
        <v>388</v>
      </c>
      <c r="F114" s="77" t="s">
        <v>409</v>
      </c>
      <c r="G114" s="77"/>
      <c r="H114" s="77">
        <v>2</v>
      </c>
      <c r="I114" s="77" t="s">
        <v>401</v>
      </c>
      <c r="J114" s="77" t="s">
        <v>390</v>
      </c>
      <c r="K114" s="77" t="s">
        <v>17</v>
      </c>
      <c r="L114" s="78" t="str">
        <f t="shared" si="7"/>
        <v/>
      </c>
      <c r="M114" s="77" t="str" cm="1">
        <f t="array" ref="M114">IF(OR(UPPER(TRIM($C114))="BRAZIL",UPPER(TRIM($C114))="INDIA",UPPER(TRIM($C114))="PHILIPPINES"),
   "UNDP OP8 COB - RPA",
   IFERROR(
     VLOOKUP($C114,$BF:$BG,2,0),
     _xlfn.SWITCH(UPPER(TRIM($K114)),
       "N/A","N/A",
       "VACANT","UNDP OP8 COB - Vacant",
       "UNDP","UNDP OP8 COB - UNDP CO",
       "UN COMPOUND","UNDP OP8 COB - UN Compound",
       "UNDP - WFH","UNDP OP8 COB - UNDP WFH",
"UNICEF","UNDP OP8 COB - UNICEF",
       "NHI","n.End of June 2026",
       "PRIVATE LEASE","k.End of Mar 2026",
       ""
     )
   )
)</f>
        <v>UNDP OP8 COB - UNDP CO</v>
      </c>
      <c r="N114" s="77" t="str">
        <f t="shared" si="8"/>
        <v>UNDP Action</v>
      </c>
      <c r="O114" s="79">
        <f>IFERROR(VLOOKUP($C114,'[15]2024 COBs'!$AA:$AK,5,0),"")</f>
        <v>18000</v>
      </c>
      <c r="P114" s="79">
        <f>IFERROR((VLOOKUP($C114,'[15]2024 COBs'!$AA:$AK,8,0)+VLOOKUP($C114,'[15]2024 COBs'!$AA:$AK,9,0)+VLOOKUP($C114,'[15]2024 COBs'!$AA:$AK,10,0)+VLOOKUP($C114,'[15]2024 COBs'!$AA:$AK,11,0))*5%,"")</f>
        <v>80</v>
      </c>
      <c r="Q114" s="79">
        <f>IFERROR((VLOOKUP($C114,'[15]2024 COBs'!$AA:$AK,8,0)+VLOOKUP($C114,'[15]2024 COBs'!$AA:$AK,9,0)+VLOOKUP($C114,'[15]2024 COBs'!$AA:$AK,10,0)+VLOOKUP($C114,'[15]2024 COBs'!$AA:$AK,11,0))*16%,"")</f>
        <v>256</v>
      </c>
      <c r="R114" s="79"/>
      <c r="S114" s="79">
        <f>IFERROR(VLOOKUP($C114,'[15]2024 COBs'!$AA:$AK,7,0),"")</f>
        <v>250</v>
      </c>
      <c r="T114" s="79">
        <f>IFERROR((VLOOKUP($C114,'[15]2024 COBs'!$AA:$AK,8,0)+VLOOKUP($C114,'[15]2024 COBs'!$AA:$AK,9,0)+VLOOKUP($C114,'[15]2024 COBs'!$AA:$AK,10,0)+VLOOKUP($C114,'[15]2024 COBs'!$AA:$AK,11,0))*20%,"")</f>
        <v>320</v>
      </c>
      <c r="U114" s="79">
        <f>IFERROR(VLOOKUP($C114,'[15]2024 COBs'!$AA:$AK,6,0),"")</f>
        <v>17150</v>
      </c>
      <c r="V114" s="79">
        <f>IFERROR((VLOOKUP($C114,'[15]2024 COBs'!$AA:$AK,8,0)+VLOOKUP($C114,'[15]2024 COBs'!$AA:$AK,9,0)+VLOOKUP($C114,'[15]2024 COBs'!$AA:$AK,10,0)+VLOOKUP($C114,'[15]2024 COBs'!$AA:$AK,11,0))*18%,"")</f>
        <v>288</v>
      </c>
      <c r="W114" s="79">
        <f>IFERROR((VLOOKUP($C114,'[15]2024 COBs'!$AA:$AK,8,0)+VLOOKUP($C114,'[15]2024 COBs'!$AA:$AK,9,0)+VLOOKUP($C114,'[15]2024 COBs'!$AA:$AK,10,0)+VLOOKUP($C114,'[15]2024 COBs'!$AA:$AK,11,0))*27%,"")</f>
        <v>432</v>
      </c>
      <c r="X114" s="79">
        <f>IFERROR((VLOOKUP($C114,'[15]2024 COBs'!$AA:$AK,8,0)+VLOOKUP($C114,'[15]2024 COBs'!$AA:$AK,9,0)+VLOOKUP($C114,'[15]2024 COBs'!$AA:$AK,10,0)+VLOOKUP($C114,'[15]2024 COBs'!$AA:$AK,11,0))*14%,"")</f>
        <v>224.00000000000003</v>
      </c>
      <c r="Y114" s="79">
        <f>IFERROR(VLOOKUP($C114,'[15]2024 COBs'!$AA:$AK,4,0),"")</f>
        <v>800</v>
      </c>
      <c r="Z114" s="80">
        <f t="shared" si="10"/>
        <v>37800</v>
      </c>
      <c r="AF114" s="76" t="s">
        <v>162</v>
      </c>
      <c r="AG114" s="76" t="s">
        <v>162</v>
      </c>
      <c r="AH114" s="78" t="s">
        <v>407</v>
      </c>
      <c r="AI114" s="78" t="s">
        <v>408</v>
      </c>
      <c r="AJ114" s="78" t="s">
        <v>409</v>
      </c>
      <c r="AK114" s="78"/>
      <c r="AL114" s="78">
        <v>3</v>
      </c>
      <c r="AM114" s="77" t="s">
        <v>401</v>
      </c>
      <c r="AN114" s="77" t="s">
        <v>390</v>
      </c>
      <c r="AO114" s="79"/>
      <c r="AP114" s="79"/>
      <c r="AQ114" s="79"/>
      <c r="AR114" s="79"/>
      <c r="AS114" s="79"/>
      <c r="AT114" s="79"/>
      <c r="AU114" s="79"/>
      <c r="AV114" s="79"/>
      <c r="AW114" s="79"/>
      <c r="AX114" s="79"/>
      <c r="AY114" s="79"/>
      <c r="AZ114" s="80">
        <f t="shared" si="9"/>
        <v>0</v>
      </c>
      <c r="BK114" s="65" t="s">
        <v>239</v>
      </c>
      <c r="BL114" s="65" t="s">
        <v>397</v>
      </c>
      <c r="BM114" s="65" t="s">
        <v>398</v>
      </c>
      <c r="BN114" s="65">
        <v>1</v>
      </c>
    </row>
    <row r="115" spans="2:66" x14ac:dyDescent="0.25">
      <c r="B115" s="76" t="s">
        <v>593</v>
      </c>
      <c r="C115" s="76" t="s">
        <v>593</v>
      </c>
      <c r="D115" s="77" t="s">
        <v>594</v>
      </c>
      <c r="E115" s="77" t="s">
        <v>404</v>
      </c>
      <c r="F115" s="77"/>
      <c r="G115" s="77"/>
      <c r="H115" s="77">
        <v>3</v>
      </c>
      <c r="I115" s="77" t="s">
        <v>389</v>
      </c>
      <c r="J115" s="77" t="s">
        <v>390</v>
      </c>
      <c r="K115" s="77" t="s">
        <v>391</v>
      </c>
      <c r="L115" s="78" t="str">
        <f t="shared" si="7"/>
        <v/>
      </c>
      <c r="M115" s="77" t="str" cm="1">
        <f t="array" ref="M115">IF(OR(UPPER(TRIM($C115))="BRAZIL",UPPER(TRIM($C115))="INDIA",UPPER(TRIM($C115))="PHILIPPINES"),
   "UNDP OP8 COB - RPA",
   IFERROR(
     VLOOKUP($C115,$BF:$BG,2,0),
     _xlfn.SWITCH(UPPER(TRIM($K115)),
       "N/A","N/A",
       "VACANT","UNDP OP8 COB - Vacant",
       "UNDP","UNDP OP8 COB - UNDP CO",
       "UN COMPOUND","UNDP OP8 COB - UN Compound",
       "UNDP - WFH","UNDP OP8 COB - UNDP WFH",
"UNICEF","UNDP OP8 COB - UNICEF",
       "NHI","n.End of June 2026",
       "PRIVATE LEASE","k.End of Mar 2026",
       ""
     )
   )
)</f>
        <v>UNDP OP8 COB - Vacant</v>
      </c>
      <c r="N115" s="77" t="str">
        <f t="shared" si="8"/>
        <v>UNDP Action</v>
      </c>
      <c r="O115" s="79">
        <f>IFERROR(VLOOKUP($C115,'[15]2024 COBs'!$AA:$AK,5,0),"")</f>
        <v>8604.9880036294471</v>
      </c>
      <c r="P115" s="79">
        <f>IFERROR((VLOOKUP($C115,'[15]2024 COBs'!$AA:$AK,8,0)+VLOOKUP($C115,'[15]2024 COBs'!$AA:$AK,9,0)+VLOOKUP($C115,'[15]2024 COBs'!$AA:$AK,10,0)+VLOOKUP($C115,'[15]2024 COBs'!$AA:$AK,11,0))*5%,"")</f>
        <v>275.52134280621465</v>
      </c>
      <c r="Q115" s="79">
        <f>IFERROR((VLOOKUP($C115,'[15]2024 COBs'!$AA:$AK,8,0)+VLOOKUP($C115,'[15]2024 COBs'!$AA:$AK,9,0)+VLOOKUP($C115,'[15]2024 COBs'!$AA:$AK,10,0)+VLOOKUP($C115,'[15]2024 COBs'!$AA:$AK,11,0))*16%,"")</f>
        <v>881.6682969798868</v>
      </c>
      <c r="R115" s="79"/>
      <c r="S115" s="79">
        <f>IFERROR(VLOOKUP($C115,'[15]2024 COBs'!$AA:$AK,7,0),"")</f>
        <v>455.77703546194442</v>
      </c>
      <c r="T115" s="79">
        <f>IFERROR((VLOOKUP($C115,'[15]2024 COBs'!$AA:$AK,8,0)+VLOOKUP($C115,'[15]2024 COBs'!$AA:$AK,9,0)+VLOOKUP($C115,'[15]2024 COBs'!$AA:$AK,10,0)+VLOOKUP($C115,'[15]2024 COBs'!$AA:$AK,11,0))*20%,"")</f>
        <v>1102.0853712248586</v>
      </c>
      <c r="U115" s="79">
        <f>IFERROR(VLOOKUP($C115,'[15]2024 COBs'!$AA:$AK,6,0),"")</f>
        <v>11234.887044752235</v>
      </c>
      <c r="V115" s="79">
        <f>IFERROR((VLOOKUP($C115,'[15]2024 COBs'!$AA:$AK,8,0)+VLOOKUP($C115,'[15]2024 COBs'!$AA:$AK,9,0)+VLOOKUP($C115,'[15]2024 COBs'!$AA:$AK,10,0)+VLOOKUP($C115,'[15]2024 COBs'!$AA:$AK,11,0))*18%,"")</f>
        <v>991.87683410237264</v>
      </c>
      <c r="W115" s="79">
        <f>IFERROR((VLOOKUP($C115,'[15]2024 COBs'!$AA:$AK,8,0)+VLOOKUP($C115,'[15]2024 COBs'!$AA:$AK,9,0)+VLOOKUP($C115,'[15]2024 COBs'!$AA:$AK,10,0)+VLOOKUP($C115,'[15]2024 COBs'!$AA:$AK,11,0))*27%,"")</f>
        <v>1487.8152511535591</v>
      </c>
      <c r="X115" s="79">
        <f>IFERROR((VLOOKUP($C115,'[15]2024 COBs'!$AA:$AK,8,0)+VLOOKUP($C115,'[15]2024 COBs'!$AA:$AK,9,0)+VLOOKUP($C115,'[15]2024 COBs'!$AA:$AK,10,0)+VLOOKUP($C115,'[15]2024 COBs'!$AA:$AK,11,0))*14%,"")</f>
        <v>771.45975985740097</v>
      </c>
      <c r="Y115" s="79">
        <f>IFERROR(VLOOKUP($C115,'[15]2024 COBs'!$AA:$AK,4,0),"")</f>
        <v>3665.7119680711562</v>
      </c>
      <c r="Z115" s="80">
        <f t="shared" si="10"/>
        <v>29471.790908039075</v>
      </c>
      <c r="AF115" s="76" t="s">
        <v>163</v>
      </c>
      <c r="AG115" s="76" t="s">
        <v>163</v>
      </c>
      <c r="AH115" s="78" t="s">
        <v>412</v>
      </c>
      <c r="AI115" s="78" t="s">
        <v>408</v>
      </c>
      <c r="AJ115" s="78"/>
      <c r="AK115" s="78"/>
      <c r="AL115" s="78">
        <v>1</v>
      </c>
      <c r="AM115" s="77" t="s">
        <v>401</v>
      </c>
      <c r="AN115" s="77" t="s">
        <v>390</v>
      </c>
      <c r="AO115" s="79"/>
      <c r="AP115" s="79"/>
      <c r="AQ115" s="79"/>
      <c r="AR115" s="79"/>
      <c r="AS115" s="79"/>
      <c r="AT115" s="79"/>
      <c r="AU115" s="79"/>
      <c r="AV115" s="79"/>
      <c r="AW115" s="79"/>
      <c r="AX115" s="79"/>
      <c r="AY115" s="79"/>
      <c r="AZ115" s="80">
        <f t="shared" si="9"/>
        <v>0</v>
      </c>
      <c r="BK115" s="65" t="s">
        <v>239</v>
      </c>
      <c r="BL115" s="65" t="s">
        <v>411</v>
      </c>
      <c r="BM115" s="65" t="s">
        <v>415</v>
      </c>
      <c r="BN115" s="65">
        <v>1</v>
      </c>
    </row>
    <row r="116" spans="2:66" x14ac:dyDescent="0.25">
      <c r="B116" s="76" t="s">
        <v>239</v>
      </c>
      <c r="C116" s="76" t="s">
        <v>239</v>
      </c>
      <c r="D116" s="77" t="s">
        <v>511</v>
      </c>
      <c r="E116" s="77" t="s">
        <v>394</v>
      </c>
      <c r="F116" s="77"/>
      <c r="G116" s="77"/>
      <c r="H116" s="77">
        <v>2</v>
      </c>
      <c r="I116" s="77" t="s">
        <v>401</v>
      </c>
      <c r="J116" s="77" t="s">
        <v>390</v>
      </c>
      <c r="K116" s="77" t="s">
        <v>425</v>
      </c>
      <c r="L116" s="78" t="str">
        <f t="shared" si="7"/>
        <v>Yes</v>
      </c>
      <c r="M116" s="77" t="str" cm="1">
        <f t="array" ref="M116">IF(OR(UPPER(TRIM($C116))="BRAZIL",UPPER(TRIM($C116))="INDIA",UPPER(TRIM($C116))="PHILIPPINES"),
   "UNDP OP8 COB - RPA",
   IFERROR(
     VLOOKUP($C116,$BF:$BG,2,0),
     _xlfn.SWITCH(UPPER(TRIM($K116)),
       "N/A","N/A",
       "VACANT","UNDP OP8 COB - Vacant",
       "UNDP","UNDP OP8 COB - UNDP CO",
       "UN COMPOUND","UNDP OP8 COB - UN Compound",
       "UNDP - WFH","UNDP OP8 COB - UNDP WFH",
"UNICEF","UNDP OP8 COB - UNICEF",
       "NHI","n.End of June 2026",
       "PRIVATE LEASE","k.End of Mar 2026",
       ""
     )
   )
)</f>
        <v>k.End of Mar 2026</v>
      </c>
      <c r="N116" s="77" t="str">
        <f t="shared" si="8"/>
        <v>UNOPS Action</v>
      </c>
      <c r="O116" s="79">
        <f>IFERROR(VLOOKUP($C116,'[15]2024 COBs'!$AA:$AK,5,0),"")</f>
        <v>7586.3162790697679</v>
      </c>
      <c r="P116" s="79">
        <f>IFERROR((VLOOKUP($C116,'[15]2024 COBs'!$AA:$AK,8,0)+VLOOKUP($C116,'[15]2024 COBs'!$AA:$AK,9,0)+VLOOKUP($C116,'[15]2024 COBs'!$AA:$AK,10,0)+VLOOKUP($C116,'[15]2024 COBs'!$AA:$AK,11,0))*5%,"")</f>
        <v>160.47976744186047</v>
      </c>
      <c r="Q116" s="79">
        <f>IFERROR((VLOOKUP($C116,'[15]2024 COBs'!$AA:$AK,8,0)+VLOOKUP($C116,'[15]2024 COBs'!$AA:$AK,9,0)+VLOOKUP($C116,'[15]2024 COBs'!$AA:$AK,10,0)+VLOOKUP($C116,'[15]2024 COBs'!$AA:$AK,11,0))*16%,"")</f>
        <v>513.53525581395354</v>
      </c>
      <c r="R116" s="79"/>
      <c r="S116" s="79">
        <f>IFERROR(VLOOKUP($C116,'[15]2024 COBs'!$AA:$AK,7,0),"")</f>
        <v>476.57627906976739</v>
      </c>
      <c r="T116" s="79">
        <f>IFERROR((VLOOKUP($C116,'[15]2024 COBs'!$AA:$AK,8,0)+VLOOKUP($C116,'[15]2024 COBs'!$AA:$AK,9,0)+VLOOKUP($C116,'[15]2024 COBs'!$AA:$AK,10,0)+VLOOKUP($C116,'[15]2024 COBs'!$AA:$AK,11,0))*20%,"")</f>
        <v>641.9190697674419</v>
      </c>
      <c r="U116" s="79">
        <f>IFERROR(VLOOKUP($C116,'[15]2024 COBs'!$AA:$AK,6,0),"")</f>
        <v>13723.451627906978</v>
      </c>
      <c r="V116" s="79">
        <f>IFERROR((VLOOKUP($C116,'[15]2024 COBs'!$AA:$AK,8,0)+VLOOKUP($C116,'[15]2024 COBs'!$AA:$AK,9,0)+VLOOKUP($C116,'[15]2024 COBs'!$AA:$AK,10,0)+VLOOKUP($C116,'[15]2024 COBs'!$AA:$AK,11,0))*18%,"")</f>
        <v>577.72716279069766</v>
      </c>
      <c r="W116" s="79">
        <f>IFERROR((VLOOKUP($C116,'[15]2024 COBs'!$AA:$AK,8,0)+VLOOKUP($C116,'[15]2024 COBs'!$AA:$AK,9,0)+VLOOKUP($C116,'[15]2024 COBs'!$AA:$AK,10,0)+VLOOKUP($C116,'[15]2024 COBs'!$AA:$AK,11,0))*27%,"")</f>
        <v>866.59074418604655</v>
      </c>
      <c r="X116" s="79">
        <f>IFERROR((VLOOKUP($C116,'[15]2024 COBs'!$AA:$AK,8,0)+VLOOKUP($C116,'[15]2024 COBs'!$AA:$AK,9,0)+VLOOKUP($C116,'[15]2024 COBs'!$AA:$AK,10,0)+VLOOKUP($C116,'[15]2024 COBs'!$AA:$AK,11,0))*14%,"")</f>
        <v>449.34334883720936</v>
      </c>
      <c r="Y116" s="79">
        <f>IFERROR(VLOOKUP($C116,'[15]2024 COBs'!$AA:$AK,4,0),"")</f>
        <v>16826.060465116279</v>
      </c>
      <c r="Z116" s="80">
        <f t="shared" si="10"/>
        <v>41822</v>
      </c>
      <c r="AF116" s="76" t="s">
        <v>165</v>
      </c>
      <c r="AG116" s="76" t="s">
        <v>165</v>
      </c>
      <c r="AH116" s="78" t="s">
        <v>424</v>
      </c>
      <c r="AI116" s="78" t="s">
        <v>408</v>
      </c>
      <c r="AJ116" s="78" t="s">
        <v>409</v>
      </c>
      <c r="AK116" s="78"/>
      <c r="AL116" s="78">
        <v>2</v>
      </c>
      <c r="AM116" s="77" t="s">
        <v>401</v>
      </c>
      <c r="AN116" s="77" t="s">
        <v>390</v>
      </c>
      <c r="AO116" s="79"/>
      <c r="AP116" s="79"/>
      <c r="AQ116" s="79"/>
      <c r="AR116" s="79"/>
      <c r="AS116" s="79"/>
      <c r="AT116" s="79"/>
      <c r="AU116" s="79">
        <v>5000</v>
      </c>
      <c r="AV116" s="79"/>
      <c r="AW116" s="79"/>
      <c r="AX116" s="79"/>
      <c r="AY116" s="79"/>
      <c r="AZ116" s="80">
        <f t="shared" si="9"/>
        <v>5000</v>
      </c>
      <c r="BK116" s="65" t="s">
        <v>520</v>
      </c>
      <c r="BL116" s="65" t="s">
        <v>411</v>
      </c>
      <c r="BM116" s="65" t="s">
        <v>396</v>
      </c>
      <c r="BN116" s="65">
        <v>2</v>
      </c>
    </row>
    <row r="117" spans="2:66" x14ac:dyDescent="0.25">
      <c r="B117" s="76" t="s">
        <v>513</v>
      </c>
      <c r="C117" s="76" t="s">
        <v>513</v>
      </c>
      <c r="D117" s="77" t="s">
        <v>514</v>
      </c>
      <c r="E117" s="77" t="s">
        <v>394</v>
      </c>
      <c r="F117" s="77"/>
      <c r="G117" s="77"/>
      <c r="H117" s="77">
        <v>5</v>
      </c>
      <c r="I117" s="77" t="s">
        <v>421</v>
      </c>
      <c r="J117" s="77" t="s">
        <v>439</v>
      </c>
      <c r="K117" s="77" t="s">
        <v>422</v>
      </c>
      <c r="L117" s="78" t="str">
        <f t="shared" si="7"/>
        <v/>
      </c>
      <c r="M117" s="77" t="str" cm="1">
        <f t="array" ref="M117">IF(OR(UPPER(TRIM($C117))="BRAZIL",UPPER(TRIM($C117))="INDIA",UPPER(TRIM($C117))="PHILIPPINES"),
   "UNDP OP8 COB - RPA",
   IFERROR(
     VLOOKUP($C117,$BF:$BG,2,0),
     _xlfn.SWITCH(UPPER(TRIM($K117)),
       "N/A","N/A",
       "VACANT","UNDP OP8 COB - Vacant",
       "UNDP","UNDP OP8 COB - UNDP CO",
       "UN COMPOUND","UNDP OP8 COB - UN Compound",
       "UNDP - WFH","UNDP OP8 COB - UNDP WFH",
"UNICEF","UNDP OP8 COB - UNICEF",
       "NHI","n.End of June 2026",
       "PRIVATE LEASE","k.End of Mar 2026",
       ""
     )
   )
)</f>
        <v>N/A</v>
      </c>
      <c r="N117" s="77" t="str">
        <f t="shared" si="8"/>
        <v>N/A</v>
      </c>
      <c r="O117" s="79" t="str">
        <f>IFERROR(VLOOKUP($C117,'[15]2024 COBs'!$AA:$AK,5,0),"")</f>
        <v/>
      </c>
      <c r="P117" s="79" t="str">
        <f>IFERROR((VLOOKUP($C117,'[15]2024 COBs'!$AA:$AK,8,0)+VLOOKUP($C117,'[15]2024 COBs'!$AA:$AK,9,0)+VLOOKUP($C117,'[15]2024 COBs'!$AA:$AK,10,0)+VLOOKUP($C117,'[15]2024 COBs'!$AA:$AK,11,0))*5%,"")</f>
        <v/>
      </c>
      <c r="Q117" s="79" t="str">
        <f>IFERROR((VLOOKUP($C117,'[15]2024 COBs'!$AA:$AK,8,0)+VLOOKUP($C117,'[15]2024 COBs'!$AA:$AK,9,0)+VLOOKUP($C117,'[15]2024 COBs'!$AA:$AK,10,0)+VLOOKUP($C117,'[15]2024 COBs'!$AA:$AK,11,0))*16%,"")</f>
        <v/>
      </c>
      <c r="R117" s="79"/>
      <c r="S117" s="79" t="str">
        <f>IFERROR(VLOOKUP($C117,'[15]2024 COBs'!$AA:$AK,7,0),"")</f>
        <v/>
      </c>
      <c r="T117" s="79" t="str">
        <f>IFERROR((VLOOKUP($C117,'[15]2024 COBs'!$AA:$AK,8,0)+VLOOKUP($C117,'[15]2024 COBs'!$AA:$AK,9,0)+VLOOKUP($C117,'[15]2024 COBs'!$AA:$AK,10,0)+VLOOKUP($C117,'[15]2024 COBs'!$AA:$AK,11,0))*20%,"")</f>
        <v/>
      </c>
      <c r="U117" s="79" t="str">
        <f>IFERROR(VLOOKUP($C117,'[15]2024 COBs'!$AA:$AK,6,0),"")</f>
        <v/>
      </c>
      <c r="V117" s="79" t="str">
        <f>IFERROR((VLOOKUP($C117,'[15]2024 COBs'!$AA:$AK,8,0)+VLOOKUP($C117,'[15]2024 COBs'!$AA:$AK,9,0)+VLOOKUP($C117,'[15]2024 COBs'!$AA:$AK,10,0)+VLOOKUP($C117,'[15]2024 COBs'!$AA:$AK,11,0))*18%,"")</f>
        <v/>
      </c>
      <c r="W117" s="79" t="str">
        <f>IFERROR((VLOOKUP($C117,'[15]2024 COBs'!$AA:$AK,8,0)+VLOOKUP($C117,'[15]2024 COBs'!$AA:$AK,9,0)+VLOOKUP($C117,'[15]2024 COBs'!$AA:$AK,10,0)+VLOOKUP($C117,'[15]2024 COBs'!$AA:$AK,11,0))*27%,"")</f>
        <v/>
      </c>
      <c r="X117" s="79" t="str">
        <f>IFERROR((VLOOKUP($C117,'[15]2024 COBs'!$AA:$AK,8,0)+VLOOKUP($C117,'[15]2024 COBs'!$AA:$AK,9,0)+VLOOKUP($C117,'[15]2024 COBs'!$AA:$AK,10,0)+VLOOKUP($C117,'[15]2024 COBs'!$AA:$AK,11,0))*14%,"")</f>
        <v/>
      </c>
      <c r="Y117" s="79" t="str">
        <f>IFERROR(VLOOKUP($C117,'[15]2024 COBs'!$AA:$AK,4,0),"")</f>
        <v/>
      </c>
      <c r="Z117" s="80">
        <f t="shared" si="10"/>
        <v>0</v>
      </c>
      <c r="AF117" s="76" t="s">
        <v>167</v>
      </c>
      <c r="AG117" s="76" t="s">
        <v>167</v>
      </c>
      <c r="AH117" s="78" t="s">
        <v>431</v>
      </c>
      <c r="AI117" s="78" t="s">
        <v>408</v>
      </c>
      <c r="AJ117" s="78" t="s">
        <v>432</v>
      </c>
      <c r="AK117" s="78"/>
      <c r="AL117" s="78">
        <v>1</v>
      </c>
      <c r="AM117" s="77" t="s">
        <v>401</v>
      </c>
      <c r="AN117" s="77" t="s">
        <v>390</v>
      </c>
      <c r="AO117" s="79"/>
      <c r="AP117" s="79"/>
      <c r="AQ117" s="79"/>
      <c r="AR117" s="79"/>
      <c r="AS117" s="79"/>
      <c r="AT117" s="79"/>
      <c r="AU117" s="79"/>
      <c r="AV117" s="79"/>
      <c r="AW117" s="79"/>
      <c r="AX117" s="79"/>
      <c r="AY117" s="79"/>
      <c r="AZ117" s="80">
        <f t="shared" si="9"/>
        <v>0</v>
      </c>
      <c r="BK117" s="65" t="s">
        <v>522</v>
      </c>
      <c r="BL117" s="65" t="s">
        <v>411</v>
      </c>
      <c r="BM117" s="65" t="s">
        <v>415</v>
      </c>
      <c r="BN117" s="65">
        <v>1</v>
      </c>
    </row>
    <row r="118" spans="2:66" x14ac:dyDescent="0.25">
      <c r="B118" s="76" t="s">
        <v>520</v>
      </c>
      <c r="C118" s="76" t="s">
        <v>520</v>
      </c>
      <c r="D118" s="77" t="s">
        <v>571</v>
      </c>
      <c r="E118" s="77" t="s">
        <v>388</v>
      </c>
      <c r="F118" s="77"/>
      <c r="G118" s="77"/>
      <c r="H118" s="77">
        <v>2</v>
      </c>
      <c r="I118" s="77" t="s">
        <v>389</v>
      </c>
      <c r="J118" s="77" t="s">
        <v>390</v>
      </c>
      <c r="K118" s="77" t="s">
        <v>17</v>
      </c>
      <c r="L118" s="78" t="str">
        <f t="shared" si="7"/>
        <v>Yes</v>
      </c>
      <c r="M118" s="77" t="str" cm="1">
        <f t="array" ref="M118">IF(OR(UPPER(TRIM($C118))="BRAZIL",UPPER(TRIM($C118))="INDIA",UPPER(TRIM($C118))="PHILIPPINES"),
   "UNDP OP8 COB - RPA",
   IFERROR(
     VLOOKUP($C118,$BF:$BG,2,0),
     _xlfn.SWITCH(UPPER(TRIM($K118)),
       "N/A","N/A",
       "VACANT","UNDP OP8 COB - Vacant",
       "UNDP","UNDP OP8 COB - UNDP CO",
       "UN COMPOUND","UNDP OP8 COB - UN Compound",
       "UNDP - WFH","UNDP OP8 COB - UNDP WFH",
"UNICEF","UNDP OP8 COB - UNICEF",
       "NHI","n.End of June 2026",
       "PRIVATE LEASE","k.End of Mar 2026",
       ""
     )
   )
)</f>
        <v>n.End of June 2026</v>
      </c>
      <c r="N118" s="77" t="str">
        <f t="shared" si="8"/>
        <v>UNOPS Action</v>
      </c>
      <c r="O118" s="79">
        <f>IFERROR(VLOOKUP($C118,'[15]2024 COBs'!$AA:$AK,5,0),"")</f>
        <v>12907.48200544417</v>
      </c>
      <c r="P118" s="79">
        <f>IFERROR((VLOOKUP($C118,'[15]2024 COBs'!$AA:$AK,8,0)+VLOOKUP($C118,'[15]2024 COBs'!$AA:$AK,9,0)+VLOOKUP($C118,'[15]2024 COBs'!$AA:$AK,10,0)+VLOOKUP($C118,'[15]2024 COBs'!$AA:$AK,11,0))*5%,"")</f>
        <v>413.28201420932191</v>
      </c>
      <c r="Q118" s="79">
        <f>IFERROR((VLOOKUP($C118,'[15]2024 COBs'!$AA:$AK,8,0)+VLOOKUP($C118,'[15]2024 COBs'!$AA:$AK,9,0)+VLOOKUP($C118,'[15]2024 COBs'!$AA:$AK,10,0)+VLOOKUP($C118,'[15]2024 COBs'!$AA:$AK,11,0))*16%,"")</f>
        <v>1322.5024454698303</v>
      </c>
      <c r="R118" s="79"/>
      <c r="S118" s="79">
        <f>IFERROR(VLOOKUP($C118,'[15]2024 COBs'!$AA:$AK,7,0),"")</f>
        <v>683.66555319291672</v>
      </c>
      <c r="T118" s="79">
        <f>IFERROR((VLOOKUP($C118,'[15]2024 COBs'!$AA:$AK,8,0)+VLOOKUP($C118,'[15]2024 COBs'!$AA:$AK,9,0)+VLOOKUP($C118,'[15]2024 COBs'!$AA:$AK,10,0)+VLOOKUP($C118,'[15]2024 COBs'!$AA:$AK,11,0))*20%,"")</f>
        <v>1653.1280568372877</v>
      </c>
      <c r="U118" s="79">
        <f>IFERROR(VLOOKUP($C118,'[15]2024 COBs'!$AA:$AK,6,0),"")</f>
        <v>16852.330567128352</v>
      </c>
      <c r="V118" s="79">
        <f>IFERROR((VLOOKUP($C118,'[15]2024 COBs'!$AA:$AK,8,0)+VLOOKUP($C118,'[15]2024 COBs'!$AA:$AK,9,0)+VLOOKUP($C118,'[15]2024 COBs'!$AA:$AK,10,0)+VLOOKUP($C118,'[15]2024 COBs'!$AA:$AK,11,0))*18%,"")</f>
        <v>1487.8152511535588</v>
      </c>
      <c r="W118" s="79">
        <f>IFERROR((VLOOKUP($C118,'[15]2024 COBs'!$AA:$AK,8,0)+VLOOKUP($C118,'[15]2024 COBs'!$AA:$AK,9,0)+VLOOKUP($C118,'[15]2024 COBs'!$AA:$AK,10,0)+VLOOKUP($C118,'[15]2024 COBs'!$AA:$AK,11,0))*27%,"")</f>
        <v>2231.7228767303386</v>
      </c>
      <c r="X118" s="79">
        <f>IFERROR((VLOOKUP($C118,'[15]2024 COBs'!$AA:$AK,8,0)+VLOOKUP($C118,'[15]2024 COBs'!$AA:$AK,9,0)+VLOOKUP($C118,'[15]2024 COBs'!$AA:$AK,10,0)+VLOOKUP($C118,'[15]2024 COBs'!$AA:$AK,11,0))*14%,"")</f>
        <v>1157.1896397861015</v>
      </c>
      <c r="Y118" s="79">
        <f>IFERROR(VLOOKUP($C118,'[15]2024 COBs'!$AA:$AK,4,0),"")</f>
        <v>5498.567952106735</v>
      </c>
      <c r="Z118" s="80">
        <f t="shared" si="10"/>
        <v>44207.686362058615</v>
      </c>
      <c r="AF118" s="76" t="s">
        <v>168</v>
      </c>
      <c r="AG118" s="76" t="s">
        <v>168</v>
      </c>
      <c r="AH118" s="78" t="s">
        <v>442</v>
      </c>
      <c r="AI118" s="78" t="s">
        <v>408</v>
      </c>
      <c r="AJ118" s="78"/>
      <c r="AK118" s="78"/>
      <c r="AL118" s="78">
        <v>2</v>
      </c>
      <c r="AM118" s="77" t="s">
        <v>401</v>
      </c>
      <c r="AN118" s="77" t="s">
        <v>390</v>
      </c>
      <c r="AO118" s="79"/>
      <c r="AP118" s="79"/>
      <c r="AQ118" s="79"/>
      <c r="AR118" s="79"/>
      <c r="AS118" s="79"/>
      <c r="AT118" s="79"/>
      <c r="AU118" s="79"/>
      <c r="AV118" s="79"/>
      <c r="AW118" s="79"/>
      <c r="AX118" s="79"/>
      <c r="AY118" s="79"/>
      <c r="AZ118" s="80">
        <f t="shared" si="9"/>
        <v>0</v>
      </c>
      <c r="BK118" s="65" t="s">
        <v>240</v>
      </c>
      <c r="BL118" s="65" t="s">
        <v>397</v>
      </c>
      <c r="BM118" s="65" t="s">
        <v>398</v>
      </c>
      <c r="BN118" s="65">
        <v>1</v>
      </c>
    </row>
    <row r="119" spans="2:66" x14ac:dyDescent="0.25">
      <c r="B119" s="76" t="s">
        <v>612</v>
      </c>
      <c r="C119" s="76" t="s">
        <v>522</v>
      </c>
      <c r="D119" s="77" t="s">
        <v>613</v>
      </c>
      <c r="E119" s="77" t="s">
        <v>408</v>
      </c>
      <c r="F119" s="77" t="s">
        <v>409</v>
      </c>
      <c r="G119" s="77"/>
      <c r="H119" s="77">
        <v>3</v>
      </c>
      <c r="I119" s="77" t="s">
        <v>389</v>
      </c>
      <c r="J119" s="77" t="s">
        <v>390</v>
      </c>
      <c r="K119" s="77" t="s">
        <v>425</v>
      </c>
      <c r="L119" s="78" t="str">
        <f t="shared" si="7"/>
        <v>Yes</v>
      </c>
      <c r="M119" s="77" t="str" cm="1">
        <f t="array" ref="M119">IF(OR(UPPER(TRIM($C119))="BRAZIL",UPPER(TRIM($C119))="INDIA",UPPER(TRIM($C119))="PHILIPPINES"),
   "UNDP OP8 COB - RPA",
   IFERROR(
     VLOOKUP($C119,$BF:$BG,2,0),
     _xlfn.SWITCH(UPPER(TRIM($K119)),
       "N/A","N/A",
       "VACANT","UNDP OP8 COB - Vacant",
       "UNDP","UNDP OP8 COB - UNDP CO",
       "UN COMPOUND","UNDP OP8 COB - UN Compound",
       "UNDP - WFH","UNDP OP8 COB - UNDP WFH",
"UNICEF","UNDP OP8 COB - UNICEF",
       "NHI","n.End of June 2026",
       "PRIVATE LEASE","k.End of Mar 2026",
       ""
     )
   )
)</f>
        <v>k.End of Mar 2026</v>
      </c>
      <c r="N119" s="77" t="str">
        <f t="shared" si="8"/>
        <v>UNOPS Action</v>
      </c>
      <c r="O119" s="79">
        <f>IFERROR(VLOOKUP($C119,'[15]2024 COBs'!$AA:$AK,5,0),"")</f>
        <v>2250</v>
      </c>
      <c r="P119" s="79">
        <f>IFERROR((VLOOKUP($C119,'[15]2024 COBs'!$AA:$AK,8,0)+VLOOKUP($C119,'[15]2024 COBs'!$AA:$AK,9,0)+VLOOKUP($C119,'[15]2024 COBs'!$AA:$AK,10,0)+VLOOKUP($C119,'[15]2024 COBs'!$AA:$AK,11,0))*5%,"")</f>
        <v>146.25</v>
      </c>
      <c r="Q119" s="79">
        <f>IFERROR((VLOOKUP($C119,'[15]2024 COBs'!$AA:$AK,8,0)+VLOOKUP($C119,'[15]2024 COBs'!$AA:$AK,9,0)+VLOOKUP($C119,'[15]2024 COBs'!$AA:$AK,10,0)+VLOOKUP($C119,'[15]2024 COBs'!$AA:$AK,11,0))*16%,"")</f>
        <v>468</v>
      </c>
      <c r="R119" s="79"/>
      <c r="S119" s="79">
        <f>IFERROR(VLOOKUP($C119,'[15]2024 COBs'!$AA:$AK,7,0),"")</f>
        <v>375</v>
      </c>
      <c r="T119" s="79">
        <f>IFERROR((VLOOKUP($C119,'[15]2024 COBs'!$AA:$AK,8,0)+VLOOKUP($C119,'[15]2024 COBs'!$AA:$AK,9,0)+VLOOKUP($C119,'[15]2024 COBs'!$AA:$AK,10,0)+VLOOKUP($C119,'[15]2024 COBs'!$AA:$AK,11,0))*20%,"")</f>
        <v>585</v>
      </c>
      <c r="U119" s="79">
        <f>IFERROR(VLOOKUP($C119,'[15]2024 COBs'!$AA:$AK,6,0),"")</f>
        <v>11565</v>
      </c>
      <c r="V119" s="79">
        <f>IFERROR((VLOOKUP($C119,'[15]2024 COBs'!$AA:$AK,8,0)+VLOOKUP($C119,'[15]2024 COBs'!$AA:$AK,9,0)+VLOOKUP($C119,'[15]2024 COBs'!$AA:$AK,10,0)+VLOOKUP($C119,'[15]2024 COBs'!$AA:$AK,11,0))*18%,"")</f>
        <v>526.5</v>
      </c>
      <c r="W119" s="79">
        <f>IFERROR((VLOOKUP($C119,'[15]2024 COBs'!$AA:$AK,8,0)+VLOOKUP($C119,'[15]2024 COBs'!$AA:$AK,9,0)+VLOOKUP($C119,'[15]2024 COBs'!$AA:$AK,10,0)+VLOOKUP($C119,'[15]2024 COBs'!$AA:$AK,11,0))*27%,"")</f>
        <v>789.75</v>
      </c>
      <c r="X119" s="79">
        <f>IFERROR((VLOOKUP($C119,'[15]2024 COBs'!$AA:$AK,8,0)+VLOOKUP($C119,'[15]2024 COBs'!$AA:$AK,9,0)+VLOOKUP($C119,'[15]2024 COBs'!$AA:$AK,10,0)+VLOOKUP($C119,'[15]2024 COBs'!$AA:$AK,11,0))*14%,"")</f>
        <v>409.50000000000006</v>
      </c>
      <c r="Y119" s="79">
        <f>IFERROR(VLOOKUP($C119,'[15]2024 COBs'!$AA:$AK,4,0),"")</f>
        <v>1125</v>
      </c>
      <c r="Z119" s="80">
        <f t="shared" si="10"/>
        <v>18240</v>
      </c>
      <c r="AF119" s="76" t="s">
        <v>450</v>
      </c>
      <c r="AG119" s="76" t="s">
        <v>450</v>
      </c>
      <c r="AH119" s="78" t="s">
        <v>451</v>
      </c>
      <c r="AI119" s="78" t="s">
        <v>408</v>
      </c>
      <c r="AJ119" s="78"/>
      <c r="AK119" s="78"/>
      <c r="AL119" s="78">
        <v>2</v>
      </c>
      <c r="AM119" s="77" t="s">
        <v>389</v>
      </c>
      <c r="AN119" s="77" t="s">
        <v>390</v>
      </c>
      <c r="AO119" s="79"/>
      <c r="AP119" s="79"/>
      <c r="AQ119" s="79"/>
      <c r="AR119" s="79"/>
      <c r="AS119" s="79"/>
      <c r="AT119" s="79"/>
      <c r="AU119" s="79"/>
      <c r="AV119" s="79"/>
      <c r="AW119" s="79"/>
      <c r="AX119" s="79"/>
      <c r="AY119" s="79"/>
      <c r="AZ119" s="80">
        <f t="shared" si="9"/>
        <v>0</v>
      </c>
      <c r="BK119" s="65" t="s">
        <v>614</v>
      </c>
      <c r="BL119" s="65" t="s">
        <v>397</v>
      </c>
      <c r="BM119" s="65" t="s">
        <v>398</v>
      </c>
      <c r="BN119" s="65">
        <v>1</v>
      </c>
    </row>
    <row r="120" spans="2:66" x14ac:dyDescent="0.25">
      <c r="B120" s="76" t="s">
        <v>240</v>
      </c>
      <c r="C120" s="76" t="s">
        <v>240</v>
      </c>
      <c r="D120" s="77" t="s">
        <v>615</v>
      </c>
      <c r="E120" s="77" t="s">
        <v>408</v>
      </c>
      <c r="F120" s="77" t="s">
        <v>409</v>
      </c>
      <c r="G120" s="77"/>
      <c r="H120" s="77">
        <v>2</v>
      </c>
      <c r="I120" s="77" t="s">
        <v>401</v>
      </c>
      <c r="J120" s="77" t="s">
        <v>390</v>
      </c>
      <c r="K120" s="77" t="s">
        <v>425</v>
      </c>
      <c r="L120" s="78" t="str">
        <f t="shared" si="7"/>
        <v/>
      </c>
      <c r="M120" s="77" t="str" cm="1">
        <f t="array" ref="M120">IF(OR(UPPER(TRIM($C120))="BRAZIL",UPPER(TRIM($C120))="INDIA",UPPER(TRIM($C120))="PHILIPPINES"),
   "UNDP OP8 COB - RPA",
   IFERROR(
     VLOOKUP($C120,$BF:$BG,2,0),
     _xlfn.SWITCH(UPPER(TRIM($K120)),
       "N/A","N/A",
       "VACANT","UNDP OP8 COB - Vacant",
       "UNDP","UNDP OP8 COB - UNDP CO",
       "UN COMPOUND","UNDP OP8 COB - UN Compound",
       "UNDP - WFH","UNDP OP8 COB - UNDP WFH",
"UNICEF","UNDP OP8 COB - UNICEF",
       "NHI","n.End of June 2026",
       "PRIVATE LEASE","k.End of Mar 2026",
       ""
     )
   )
)</f>
        <v>k.End of Mar 2026</v>
      </c>
      <c r="N120" s="77" t="str">
        <f t="shared" si="8"/>
        <v>UNOPS Action</v>
      </c>
      <c r="O120" s="79">
        <f>IFERROR(VLOOKUP($C120,'[15]2024 COBs'!$AA:$AK,5,0),"")</f>
        <v>616.27935416701087</v>
      </c>
      <c r="P120" s="79">
        <f>IFERROR((VLOOKUP($C120,'[15]2024 COBs'!$AA:$AK,8,0)+VLOOKUP($C120,'[15]2024 COBs'!$AA:$AK,9,0)+VLOOKUP($C120,'[15]2024 COBs'!$AA:$AK,10,0)+VLOOKUP($C120,'[15]2024 COBs'!$AA:$AK,11,0))*5%,"")</f>
        <v>472.04430698550669</v>
      </c>
      <c r="Q120" s="79">
        <f>IFERROR((VLOOKUP($C120,'[15]2024 COBs'!$AA:$AK,8,0)+VLOOKUP($C120,'[15]2024 COBs'!$AA:$AK,9,0)+VLOOKUP($C120,'[15]2024 COBs'!$AA:$AK,10,0)+VLOOKUP($C120,'[15]2024 COBs'!$AA:$AK,11,0))*16%,"")</f>
        <v>1510.5417823536213</v>
      </c>
      <c r="R120" s="79"/>
      <c r="S120" s="79">
        <f>IFERROR(VLOOKUP($C120,'[15]2024 COBs'!$AA:$AK,7,0),"")</f>
        <v>616.27935416701087</v>
      </c>
      <c r="T120" s="79">
        <f>IFERROR((VLOOKUP($C120,'[15]2024 COBs'!$AA:$AK,8,0)+VLOOKUP($C120,'[15]2024 COBs'!$AA:$AK,9,0)+VLOOKUP($C120,'[15]2024 COBs'!$AA:$AK,10,0)+VLOOKUP($C120,'[15]2024 COBs'!$AA:$AK,11,0))*20%,"")</f>
        <v>1888.1772279420268</v>
      </c>
      <c r="U120" s="79">
        <f>IFERROR(VLOOKUP($C120,'[15]2024 COBs'!$AA:$AK,6,0),"")</f>
        <v>19312.654261208703</v>
      </c>
      <c r="V120" s="79">
        <f>IFERROR((VLOOKUP($C120,'[15]2024 COBs'!$AA:$AK,8,0)+VLOOKUP($C120,'[15]2024 COBs'!$AA:$AK,9,0)+VLOOKUP($C120,'[15]2024 COBs'!$AA:$AK,10,0)+VLOOKUP($C120,'[15]2024 COBs'!$AA:$AK,11,0))*18%,"")</f>
        <v>1699.3595051478239</v>
      </c>
      <c r="W120" s="79">
        <f>IFERROR((VLOOKUP($C120,'[15]2024 COBs'!$AA:$AK,8,0)+VLOOKUP($C120,'[15]2024 COBs'!$AA:$AK,9,0)+VLOOKUP($C120,'[15]2024 COBs'!$AA:$AK,10,0)+VLOOKUP($C120,'[15]2024 COBs'!$AA:$AK,11,0))*27%,"")</f>
        <v>2549.0392577217362</v>
      </c>
      <c r="X120" s="79">
        <f>IFERROR((VLOOKUP($C120,'[15]2024 COBs'!$AA:$AK,8,0)+VLOOKUP($C120,'[15]2024 COBs'!$AA:$AK,9,0)+VLOOKUP($C120,'[15]2024 COBs'!$AA:$AK,10,0)+VLOOKUP($C120,'[15]2024 COBs'!$AA:$AK,11,0))*14%,"")</f>
        <v>1321.7240595594189</v>
      </c>
      <c r="Y120" s="79">
        <f>IFERROR(VLOOKUP($C120,'[15]2024 COBs'!$AA:$AK,4,0),"")</f>
        <v>1090.3008907471369</v>
      </c>
      <c r="Z120" s="80">
        <f t="shared" si="10"/>
        <v>31076.399999999994</v>
      </c>
      <c r="AF120" s="76" t="s">
        <v>126</v>
      </c>
      <c r="AG120" s="76" t="s">
        <v>126</v>
      </c>
      <c r="AH120" s="78" t="s">
        <v>462</v>
      </c>
      <c r="AI120" s="78" t="s">
        <v>408</v>
      </c>
      <c r="AJ120" s="78"/>
      <c r="AK120" s="78" t="s">
        <v>463</v>
      </c>
      <c r="AL120" s="78">
        <v>4</v>
      </c>
      <c r="AM120" s="77" t="s">
        <v>401</v>
      </c>
      <c r="AN120" s="77" t="s">
        <v>390</v>
      </c>
      <c r="AO120" s="79"/>
      <c r="AP120" s="79"/>
      <c r="AQ120" s="79"/>
      <c r="AR120" s="79"/>
      <c r="AS120" s="79"/>
      <c r="AT120" s="79"/>
      <c r="AU120" s="79"/>
      <c r="AV120" s="79"/>
      <c r="AW120" s="79"/>
      <c r="AX120" s="79"/>
      <c r="AY120" s="79"/>
      <c r="AZ120" s="80" t="s">
        <v>464</v>
      </c>
      <c r="BK120" s="65" t="s">
        <v>241</v>
      </c>
      <c r="BL120" s="65" t="s">
        <v>397</v>
      </c>
      <c r="BM120" s="65" t="s">
        <v>398</v>
      </c>
      <c r="BN120" s="65">
        <v>2</v>
      </c>
    </row>
    <row r="121" spans="2:66" x14ac:dyDescent="0.25">
      <c r="B121" s="76" t="s">
        <v>616</v>
      </c>
      <c r="C121" s="76" t="s">
        <v>614</v>
      </c>
      <c r="D121" s="77" t="s">
        <v>617</v>
      </c>
      <c r="E121" s="77" t="s">
        <v>408</v>
      </c>
      <c r="F121" s="77" t="s">
        <v>409</v>
      </c>
      <c r="G121" s="77"/>
      <c r="H121" s="77">
        <v>5</v>
      </c>
      <c r="I121" s="77" t="s">
        <v>421</v>
      </c>
      <c r="J121" s="77" t="s">
        <v>439</v>
      </c>
      <c r="K121" s="77" t="s">
        <v>425</v>
      </c>
      <c r="L121" s="78" t="str">
        <f t="shared" si="7"/>
        <v/>
      </c>
      <c r="M121" s="77" t="str" cm="1">
        <f t="array" ref="M121">IF(OR(UPPER(TRIM($C121))="BRAZIL",UPPER(TRIM($C121))="INDIA",UPPER(TRIM($C121))="PHILIPPINES"),
   "UNDP OP8 COB - RPA",
   IFERROR(
     VLOOKUP($C121,$BF:$BG,2,0),
     _xlfn.SWITCH(UPPER(TRIM($K121)),
       "N/A","N/A",
       "VACANT","UNDP OP8 COB - Vacant",
       "UNDP","UNDP OP8 COB - UNDP CO",
       "UN COMPOUND","UNDP OP8 COB - UN Compound",
       "UNDP - WFH","UNDP OP8 COB - UNDP WFH",
"UNICEF","UNDP OP8 COB - UNICEF",
       "NHI","n.End of June 2026",
       "PRIVATE LEASE","k.End of Mar 2026",
       ""
     )
   )
)</f>
        <v>k.End of Mar 2026</v>
      </c>
      <c r="N121" s="77" t="str">
        <f t="shared" si="8"/>
        <v>UNOPS Action</v>
      </c>
      <c r="O121" s="79">
        <f>IFERROR(VLOOKUP($C121,'[15]2024 COBs'!$AA:$AK,5,0),"")</f>
        <v>6375</v>
      </c>
      <c r="P121" s="79">
        <f>IFERROR((VLOOKUP($C121,'[15]2024 COBs'!$AA:$AK,8,0)+VLOOKUP($C121,'[15]2024 COBs'!$AA:$AK,9,0)+VLOOKUP($C121,'[15]2024 COBs'!$AA:$AK,10,0)+VLOOKUP($C121,'[15]2024 COBs'!$AA:$AK,11,0))*5%,"")</f>
        <v>618.75</v>
      </c>
      <c r="Q121" s="79">
        <f>IFERROR((VLOOKUP($C121,'[15]2024 COBs'!$AA:$AK,8,0)+VLOOKUP($C121,'[15]2024 COBs'!$AA:$AK,9,0)+VLOOKUP($C121,'[15]2024 COBs'!$AA:$AK,10,0)+VLOOKUP($C121,'[15]2024 COBs'!$AA:$AK,11,0))*16%,"")</f>
        <v>1980</v>
      </c>
      <c r="R121" s="79"/>
      <c r="S121" s="79">
        <f>IFERROR(VLOOKUP($C121,'[15]2024 COBs'!$AA:$AK,7,0),"")</f>
        <v>1500</v>
      </c>
      <c r="T121" s="79">
        <f>IFERROR((VLOOKUP($C121,'[15]2024 COBs'!$AA:$AK,8,0)+VLOOKUP($C121,'[15]2024 COBs'!$AA:$AK,9,0)+VLOOKUP($C121,'[15]2024 COBs'!$AA:$AK,10,0)+VLOOKUP($C121,'[15]2024 COBs'!$AA:$AK,11,0))*20%,"")</f>
        <v>2475</v>
      </c>
      <c r="U121" s="79">
        <f>IFERROR(VLOOKUP($C121,'[15]2024 COBs'!$AA:$AK,6,0),"")</f>
        <v>12375</v>
      </c>
      <c r="V121" s="79">
        <f>IFERROR((VLOOKUP($C121,'[15]2024 COBs'!$AA:$AK,8,0)+VLOOKUP($C121,'[15]2024 COBs'!$AA:$AK,9,0)+VLOOKUP($C121,'[15]2024 COBs'!$AA:$AK,10,0)+VLOOKUP($C121,'[15]2024 COBs'!$AA:$AK,11,0))*18%,"")</f>
        <v>2227.5</v>
      </c>
      <c r="W121" s="79">
        <f>IFERROR((VLOOKUP($C121,'[15]2024 COBs'!$AA:$AK,8,0)+VLOOKUP($C121,'[15]2024 COBs'!$AA:$AK,9,0)+VLOOKUP($C121,'[15]2024 COBs'!$AA:$AK,10,0)+VLOOKUP($C121,'[15]2024 COBs'!$AA:$AK,11,0))*27%,"")</f>
        <v>3341.25</v>
      </c>
      <c r="X121" s="79">
        <f>IFERROR((VLOOKUP($C121,'[15]2024 COBs'!$AA:$AK,8,0)+VLOOKUP($C121,'[15]2024 COBs'!$AA:$AK,9,0)+VLOOKUP($C121,'[15]2024 COBs'!$AA:$AK,10,0)+VLOOKUP($C121,'[15]2024 COBs'!$AA:$AK,11,0))*14%,"")</f>
        <v>1732.5000000000002</v>
      </c>
      <c r="Y121" s="79">
        <f>IFERROR(VLOOKUP($C121,'[15]2024 COBs'!$AA:$AK,4,0),"")</f>
        <v>3375</v>
      </c>
      <c r="Z121" s="80">
        <f t="shared" si="10"/>
        <v>36000</v>
      </c>
      <c r="AF121" s="76" t="s">
        <v>481</v>
      </c>
      <c r="AG121" s="76" t="s">
        <v>481</v>
      </c>
      <c r="AH121" s="78" t="s">
        <v>482</v>
      </c>
      <c r="AI121" s="78" t="s">
        <v>408</v>
      </c>
      <c r="AJ121" s="78"/>
      <c r="AK121" s="78"/>
      <c r="AL121" s="78">
        <v>5</v>
      </c>
      <c r="AM121" s="77" t="s">
        <v>421</v>
      </c>
      <c r="AN121" s="77" t="s">
        <v>439</v>
      </c>
      <c r="AO121" s="79"/>
      <c r="AP121" s="79"/>
      <c r="AQ121" s="79"/>
      <c r="AR121" s="79"/>
      <c r="AS121" s="79"/>
      <c r="AT121" s="79"/>
      <c r="AU121" s="79"/>
      <c r="AV121" s="79"/>
      <c r="AW121" s="79"/>
      <c r="AX121" s="79"/>
      <c r="AY121" s="79"/>
      <c r="AZ121" s="80">
        <f t="shared" ref="AZ121:AZ145" si="11">SUM(AO121:AY121)</f>
        <v>0</v>
      </c>
      <c r="BK121" s="65" t="s">
        <v>242</v>
      </c>
      <c r="BL121" s="65" t="s">
        <v>397</v>
      </c>
      <c r="BM121" s="65" t="s">
        <v>398</v>
      </c>
      <c r="BN121" s="65">
        <v>1</v>
      </c>
    </row>
    <row r="122" spans="2:66" x14ac:dyDescent="0.25">
      <c r="B122" s="76" t="s">
        <v>595</v>
      </c>
      <c r="C122" s="76" t="s">
        <v>595</v>
      </c>
      <c r="D122" s="77" t="s">
        <v>596</v>
      </c>
      <c r="E122" s="77" t="s">
        <v>404</v>
      </c>
      <c r="F122" s="77"/>
      <c r="G122" s="77"/>
      <c r="H122" s="77">
        <v>5</v>
      </c>
      <c r="I122" s="77" t="s">
        <v>421</v>
      </c>
      <c r="J122" s="77" t="s">
        <v>439</v>
      </c>
      <c r="K122" s="77" t="s">
        <v>422</v>
      </c>
      <c r="L122" s="78" t="str">
        <f t="shared" si="7"/>
        <v/>
      </c>
      <c r="M122" s="77" t="str" cm="1">
        <f t="array" ref="M122">IF(OR(UPPER(TRIM($C122))="BRAZIL",UPPER(TRIM($C122))="INDIA",UPPER(TRIM($C122))="PHILIPPINES"),
   "UNDP OP8 COB - RPA",
   IFERROR(
     VLOOKUP($C122,$BF:$BG,2,0),
     _xlfn.SWITCH(UPPER(TRIM($K122)),
       "N/A","N/A",
       "VACANT","UNDP OP8 COB - Vacant",
       "UNDP","UNDP OP8 COB - UNDP CO",
       "UN COMPOUND","UNDP OP8 COB - UN Compound",
       "UNDP - WFH","UNDP OP8 COB - UNDP WFH",
"UNICEF","UNDP OP8 COB - UNICEF",
       "NHI","n.End of June 2026",
       "PRIVATE LEASE","k.End of Mar 2026",
       ""
     )
   )
)</f>
        <v>N/A</v>
      </c>
      <c r="N122" s="77" t="str">
        <f t="shared" si="8"/>
        <v>N/A</v>
      </c>
      <c r="O122" s="79" t="str">
        <f>IFERROR(VLOOKUP($C122,'[15]2024 COBs'!$AA:$AK,5,0),"")</f>
        <v/>
      </c>
      <c r="P122" s="79" t="str">
        <f>IFERROR((VLOOKUP($C122,'[15]2024 COBs'!$AA:$AK,8,0)+VLOOKUP($C122,'[15]2024 COBs'!$AA:$AK,9,0)+VLOOKUP($C122,'[15]2024 COBs'!$AA:$AK,10,0)+VLOOKUP($C122,'[15]2024 COBs'!$AA:$AK,11,0))*5%,"")</f>
        <v/>
      </c>
      <c r="Q122" s="79" t="str">
        <f>IFERROR((VLOOKUP($C122,'[15]2024 COBs'!$AA:$AK,8,0)+VLOOKUP($C122,'[15]2024 COBs'!$AA:$AK,9,0)+VLOOKUP($C122,'[15]2024 COBs'!$AA:$AK,10,0)+VLOOKUP($C122,'[15]2024 COBs'!$AA:$AK,11,0))*16%,"")</f>
        <v/>
      </c>
      <c r="R122" s="79"/>
      <c r="S122" s="79" t="str">
        <f>IFERROR(VLOOKUP($C122,'[15]2024 COBs'!$AA:$AK,7,0),"")</f>
        <v/>
      </c>
      <c r="T122" s="79" t="str">
        <f>IFERROR((VLOOKUP($C122,'[15]2024 COBs'!$AA:$AK,8,0)+VLOOKUP($C122,'[15]2024 COBs'!$AA:$AK,9,0)+VLOOKUP($C122,'[15]2024 COBs'!$AA:$AK,10,0)+VLOOKUP($C122,'[15]2024 COBs'!$AA:$AK,11,0))*20%,"")</f>
        <v/>
      </c>
      <c r="U122" s="79" t="str">
        <f>IFERROR(VLOOKUP($C122,'[15]2024 COBs'!$AA:$AK,6,0),"")</f>
        <v/>
      </c>
      <c r="V122" s="79" t="str">
        <f>IFERROR((VLOOKUP($C122,'[15]2024 COBs'!$AA:$AK,8,0)+VLOOKUP($C122,'[15]2024 COBs'!$AA:$AK,9,0)+VLOOKUP($C122,'[15]2024 COBs'!$AA:$AK,10,0)+VLOOKUP($C122,'[15]2024 COBs'!$AA:$AK,11,0))*18%,"")</f>
        <v/>
      </c>
      <c r="W122" s="79" t="str">
        <f>IFERROR((VLOOKUP($C122,'[15]2024 COBs'!$AA:$AK,8,0)+VLOOKUP($C122,'[15]2024 COBs'!$AA:$AK,9,0)+VLOOKUP($C122,'[15]2024 COBs'!$AA:$AK,10,0)+VLOOKUP($C122,'[15]2024 COBs'!$AA:$AK,11,0))*27%,"")</f>
        <v/>
      </c>
      <c r="X122" s="79" t="str">
        <f>IFERROR((VLOOKUP($C122,'[15]2024 COBs'!$AA:$AK,8,0)+VLOOKUP($C122,'[15]2024 COBs'!$AA:$AK,9,0)+VLOOKUP($C122,'[15]2024 COBs'!$AA:$AK,10,0)+VLOOKUP($C122,'[15]2024 COBs'!$AA:$AK,11,0))*14%,"")</f>
        <v/>
      </c>
      <c r="Y122" s="79" t="str">
        <f>IFERROR(VLOOKUP($C122,'[15]2024 COBs'!$AA:$AK,4,0),"")</f>
        <v/>
      </c>
      <c r="Z122" s="80">
        <f t="shared" si="10"/>
        <v>0</v>
      </c>
      <c r="AF122" s="76" t="s">
        <v>179</v>
      </c>
      <c r="AG122" s="76" t="s">
        <v>179</v>
      </c>
      <c r="AH122" s="78" t="s">
        <v>487</v>
      </c>
      <c r="AI122" s="78" t="s">
        <v>408</v>
      </c>
      <c r="AJ122" s="78"/>
      <c r="AK122" s="78"/>
      <c r="AL122" s="78">
        <v>1</v>
      </c>
      <c r="AM122" s="77" t="s">
        <v>401</v>
      </c>
      <c r="AN122" s="77" t="s">
        <v>390</v>
      </c>
      <c r="AO122" s="79"/>
      <c r="AP122" s="79"/>
      <c r="AQ122" s="79"/>
      <c r="AR122" s="79"/>
      <c r="AS122" s="79"/>
      <c r="AT122" s="79"/>
      <c r="AU122" s="79"/>
      <c r="AV122" s="79"/>
      <c r="AW122" s="79"/>
      <c r="AX122" s="79"/>
      <c r="AY122" s="79"/>
      <c r="AZ122" s="80">
        <f t="shared" si="11"/>
        <v>0</v>
      </c>
      <c r="BK122" s="65" t="s">
        <v>244</v>
      </c>
      <c r="BL122" s="65" t="s">
        <v>397</v>
      </c>
      <c r="BM122" s="65" t="s">
        <v>398</v>
      </c>
      <c r="BN122" s="65">
        <v>1</v>
      </c>
    </row>
    <row r="123" spans="2:66" x14ac:dyDescent="0.25">
      <c r="B123" s="76" t="s">
        <v>241</v>
      </c>
      <c r="C123" s="76" t="s">
        <v>241</v>
      </c>
      <c r="D123" s="77" t="s">
        <v>618</v>
      </c>
      <c r="E123" s="77" t="s">
        <v>408</v>
      </c>
      <c r="F123" s="77"/>
      <c r="G123" s="77"/>
      <c r="H123" s="77">
        <v>2</v>
      </c>
      <c r="I123" s="77" t="s">
        <v>401</v>
      </c>
      <c r="J123" s="77" t="s">
        <v>390</v>
      </c>
      <c r="K123" s="77" t="s">
        <v>17</v>
      </c>
      <c r="L123" s="78" t="str">
        <f t="shared" si="7"/>
        <v/>
      </c>
      <c r="M123" s="77" t="str" cm="1">
        <f t="array" ref="M123">IF(OR(UPPER(TRIM($C123))="BRAZIL",UPPER(TRIM($C123))="INDIA",UPPER(TRIM($C123))="PHILIPPINES"),
   "UNDP OP8 COB - RPA",
   IFERROR(
     VLOOKUP($C123,$BF:$BG,2,0),
     _xlfn.SWITCH(UPPER(TRIM($K123)),
       "N/A","N/A",
       "VACANT","UNDP OP8 COB - Vacant",
       "UNDP","UNDP OP8 COB - UNDP CO",
       "UN COMPOUND","UNDP OP8 COB - UN Compound",
       "UNDP - WFH","UNDP OP8 COB - UNDP WFH",
"UNICEF","UNDP OP8 COB - UNICEF",
       "NHI","n.End of June 2026",
       "PRIVATE LEASE","k.End of Mar 2026",
       ""
     )
   )
)</f>
        <v>UNDP OP8 COB - UNDP CO</v>
      </c>
      <c r="N123" s="77" t="str">
        <f t="shared" si="8"/>
        <v>UNDP Action</v>
      </c>
      <c r="O123" s="79">
        <f>IFERROR(VLOOKUP($C123,'[15]2024 COBs'!$AA:$AK,5,0),"")</f>
        <v>1500</v>
      </c>
      <c r="P123" s="79">
        <f>IFERROR((VLOOKUP($C123,'[15]2024 COBs'!$AA:$AK,8,0)+VLOOKUP($C123,'[15]2024 COBs'!$AA:$AK,9,0)+VLOOKUP($C123,'[15]2024 COBs'!$AA:$AK,10,0)+VLOOKUP($C123,'[15]2024 COBs'!$AA:$AK,11,0))*5%,"")</f>
        <v>390</v>
      </c>
      <c r="Q123" s="79">
        <f>IFERROR((VLOOKUP($C123,'[15]2024 COBs'!$AA:$AK,8,0)+VLOOKUP($C123,'[15]2024 COBs'!$AA:$AK,9,0)+VLOOKUP($C123,'[15]2024 COBs'!$AA:$AK,10,0)+VLOOKUP($C123,'[15]2024 COBs'!$AA:$AK,11,0))*16%,"")</f>
        <v>1248</v>
      </c>
      <c r="R123" s="79"/>
      <c r="S123" s="79">
        <f>IFERROR(VLOOKUP($C123,'[15]2024 COBs'!$AA:$AK,7,0),"")</f>
        <v>720</v>
      </c>
      <c r="T123" s="79">
        <f>IFERROR((VLOOKUP($C123,'[15]2024 COBs'!$AA:$AK,8,0)+VLOOKUP($C123,'[15]2024 COBs'!$AA:$AK,9,0)+VLOOKUP($C123,'[15]2024 COBs'!$AA:$AK,10,0)+VLOOKUP($C123,'[15]2024 COBs'!$AA:$AK,11,0))*20%,"")</f>
        <v>1560</v>
      </c>
      <c r="U123" s="79">
        <f>IFERROR(VLOOKUP($C123,'[15]2024 COBs'!$AA:$AK,6,0),"")</f>
        <v>12000</v>
      </c>
      <c r="V123" s="79">
        <f>IFERROR((VLOOKUP($C123,'[15]2024 COBs'!$AA:$AK,8,0)+VLOOKUP($C123,'[15]2024 COBs'!$AA:$AK,9,0)+VLOOKUP($C123,'[15]2024 COBs'!$AA:$AK,10,0)+VLOOKUP($C123,'[15]2024 COBs'!$AA:$AK,11,0))*18%,"")</f>
        <v>1404</v>
      </c>
      <c r="W123" s="79">
        <f>IFERROR((VLOOKUP($C123,'[15]2024 COBs'!$AA:$AK,8,0)+VLOOKUP($C123,'[15]2024 COBs'!$AA:$AK,9,0)+VLOOKUP($C123,'[15]2024 COBs'!$AA:$AK,10,0)+VLOOKUP($C123,'[15]2024 COBs'!$AA:$AK,11,0))*27%,"")</f>
        <v>2106</v>
      </c>
      <c r="X123" s="79">
        <f>IFERROR((VLOOKUP($C123,'[15]2024 COBs'!$AA:$AK,8,0)+VLOOKUP($C123,'[15]2024 COBs'!$AA:$AK,9,0)+VLOOKUP($C123,'[15]2024 COBs'!$AA:$AK,10,0)+VLOOKUP($C123,'[15]2024 COBs'!$AA:$AK,11,0))*14%,"")</f>
        <v>1092</v>
      </c>
      <c r="Y123" s="79">
        <f>IFERROR(VLOOKUP($C123,'[15]2024 COBs'!$AA:$AK,4,0),"")</f>
        <v>2400</v>
      </c>
      <c r="Z123" s="80">
        <f t="shared" si="10"/>
        <v>24420</v>
      </c>
      <c r="AF123" s="82" t="s">
        <v>441</v>
      </c>
      <c r="AG123" s="82" t="s">
        <v>441</v>
      </c>
      <c r="AH123" s="83" t="s">
        <v>498</v>
      </c>
      <c r="AI123" s="83" t="s">
        <v>408</v>
      </c>
      <c r="AJ123" s="83"/>
      <c r="AK123" s="83"/>
      <c r="AL123" s="83">
        <v>1</v>
      </c>
      <c r="AM123" s="84" t="s">
        <v>401</v>
      </c>
      <c r="AN123" s="84" t="s">
        <v>390</v>
      </c>
      <c r="AO123" s="85"/>
      <c r="AP123" s="85"/>
      <c r="AQ123" s="85"/>
      <c r="AR123" s="85"/>
      <c r="AS123" s="85"/>
      <c r="AT123" s="85"/>
      <c r="AU123" s="85">
        <v>12000</v>
      </c>
      <c r="AV123" s="85"/>
      <c r="AW123" s="85"/>
      <c r="AX123" s="85"/>
      <c r="AY123" s="85"/>
      <c r="AZ123" s="86">
        <f t="shared" si="11"/>
        <v>12000</v>
      </c>
      <c r="BK123" s="65" t="s">
        <v>244</v>
      </c>
      <c r="BL123" s="65" t="s">
        <v>411</v>
      </c>
      <c r="BM123" s="65" t="s">
        <v>396</v>
      </c>
      <c r="BN123" s="65">
        <v>1</v>
      </c>
    </row>
    <row r="124" spans="2:66" x14ac:dyDescent="0.25">
      <c r="B124" s="76" t="s">
        <v>604</v>
      </c>
      <c r="C124" s="76" t="s">
        <v>604</v>
      </c>
      <c r="D124" s="77" t="s">
        <v>605</v>
      </c>
      <c r="E124" s="77" t="s">
        <v>400</v>
      </c>
      <c r="F124" s="77"/>
      <c r="G124" s="77"/>
      <c r="H124" s="77">
        <v>5</v>
      </c>
      <c r="I124" s="77" t="s">
        <v>421</v>
      </c>
      <c r="J124" s="77" t="s">
        <v>439</v>
      </c>
      <c r="K124" s="77" t="s">
        <v>422</v>
      </c>
      <c r="L124" s="78" t="str">
        <f t="shared" si="7"/>
        <v/>
      </c>
      <c r="M124" s="77" t="str" cm="1">
        <f t="array" ref="M124">IF(OR(UPPER(TRIM($C124))="BRAZIL",UPPER(TRIM($C124))="INDIA",UPPER(TRIM($C124))="PHILIPPINES"),
   "UNDP OP8 COB - RPA",
   IFERROR(
     VLOOKUP($C124,$BF:$BG,2,0),
     _xlfn.SWITCH(UPPER(TRIM($K124)),
       "N/A","N/A",
       "VACANT","UNDP OP8 COB - Vacant",
       "UNDP","UNDP OP8 COB - UNDP CO",
       "UN COMPOUND","UNDP OP8 COB - UN Compound",
       "UNDP - WFH","UNDP OP8 COB - UNDP WFH",
"UNICEF","UNDP OP8 COB - UNICEF",
       "NHI","n.End of June 2026",
       "PRIVATE LEASE","k.End of Mar 2026",
       ""
     )
   )
)</f>
        <v>N/A</v>
      </c>
      <c r="N124" s="77" t="str">
        <f t="shared" si="8"/>
        <v>N/A</v>
      </c>
      <c r="O124" s="79">
        <f>IFERROR(VLOOKUP($C124,'[15]2024 COBs'!$AA:$AK,5,0),"")</f>
        <v>8700</v>
      </c>
      <c r="P124" s="79">
        <f>IFERROR((VLOOKUP($C124,'[15]2024 COBs'!$AA:$AK,8,0)+VLOOKUP($C124,'[15]2024 COBs'!$AA:$AK,9,0)+VLOOKUP($C124,'[15]2024 COBs'!$AA:$AK,10,0)+VLOOKUP($C124,'[15]2024 COBs'!$AA:$AK,11,0))*5%,"")</f>
        <v>270</v>
      </c>
      <c r="Q124" s="79">
        <f>IFERROR((VLOOKUP($C124,'[15]2024 COBs'!$AA:$AK,8,0)+VLOOKUP($C124,'[15]2024 COBs'!$AA:$AK,9,0)+VLOOKUP($C124,'[15]2024 COBs'!$AA:$AK,10,0)+VLOOKUP($C124,'[15]2024 COBs'!$AA:$AK,11,0))*16%,"")</f>
        <v>864</v>
      </c>
      <c r="R124" s="79"/>
      <c r="S124" s="79">
        <f>IFERROR(VLOOKUP($C124,'[15]2024 COBs'!$AA:$AK,7,0),"")</f>
        <v>600</v>
      </c>
      <c r="T124" s="79">
        <f>IFERROR((VLOOKUP($C124,'[15]2024 COBs'!$AA:$AK,8,0)+VLOOKUP($C124,'[15]2024 COBs'!$AA:$AK,9,0)+VLOOKUP($C124,'[15]2024 COBs'!$AA:$AK,10,0)+VLOOKUP($C124,'[15]2024 COBs'!$AA:$AK,11,0))*20%,"")</f>
        <v>1080</v>
      </c>
      <c r="U124" s="79">
        <f>IFERROR(VLOOKUP($C124,'[15]2024 COBs'!$AA:$AK,6,0),"")</f>
        <v>11100</v>
      </c>
      <c r="V124" s="79">
        <f>IFERROR((VLOOKUP($C124,'[15]2024 COBs'!$AA:$AK,8,0)+VLOOKUP($C124,'[15]2024 COBs'!$AA:$AK,9,0)+VLOOKUP($C124,'[15]2024 COBs'!$AA:$AK,10,0)+VLOOKUP($C124,'[15]2024 COBs'!$AA:$AK,11,0))*18%,"")</f>
        <v>972</v>
      </c>
      <c r="W124" s="79">
        <f>IFERROR((VLOOKUP($C124,'[15]2024 COBs'!$AA:$AK,8,0)+VLOOKUP($C124,'[15]2024 COBs'!$AA:$AK,9,0)+VLOOKUP($C124,'[15]2024 COBs'!$AA:$AK,10,0)+VLOOKUP($C124,'[15]2024 COBs'!$AA:$AK,11,0))*27%,"")</f>
        <v>1458</v>
      </c>
      <c r="X124" s="79">
        <f>IFERROR((VLOOKUP($C124,'[15]2024 COBs'!$AA:$AK,8,0)+VLOOKUP($C124,'[15]2024 COBs'!$AA:$AK,9,0)+VLOOKUP($C124,'[15]2024 COBs'!$AA:$AK,10,0)+VLOOKUP($C124,'[15]2024 COBs'!$AA:$AK,11,0))*14%,"")</f>
        <v>756.00000000000011</v>
      </c>
      <c r="Y124" s="79">
        <f>IFERROR(VLOOKUP($C124,'[15]2024 COBs'!$AA:$AK,4,0),"")</f>
        <v>3600</v>
      </c>
      <c r="Z124" s="80">
        <f t="shared" si="10"/>
        <v>29400</v>
      </c>
      <c r="AF124" s="76" t="s">
        <v>185</v>
      </c>
      <c r="AG124" s="76" t="s">
        <v>185</v>
      </c>
      <c r="AH124" s="78" t="s">
        <v>501</v>
      </c>
      <c r="AI124" s="78" t="s">
        <v>408</v>
      </c>
      <c r="AJ124" s="78"/>
      <c r="AK124" s="78"/>
      <c r="AL124" s="78">
        <v>3</v>
      </c>
      <c r="AM124" s="77" t="s">
        <v>401</v>
      </c>
      <c r="AN124" s="77" t="s">
        <v>390</v>
      </c>
      <c r="AO124" s="79"/>
      <c r="AP124" s="79"/>
      <c r="AQ124" s="79"/>
      <c r="AR124" s="79"/>
      <c r="AS124" s="79"/>
      <c r="AT124" s="79"/>
      <c r="AU124" s="79"/>
      <c r="AV124" s="79"/>
      <c r="AW124" s="79"/>
      <c r="AX124" s="79"/>
      <c r="AY124" s="79"/>
      <c r="AZ124" s="80">
        <f t="shared" si="11"/>
        <v>0</v>
      </c>
      <c r="BK124" s="65" t="s">
        <v>245</v>
      </c>
      <c r="BL124" s="65" t="s">
        <v>397</v>
      </c>
      <c r="BM124" s="65" t="s">
        <v>398</v>
      </c>
      <c r="BN124" s="65">
        <v>1</v>
      </c>
    </row>
    <row r="125" spans="2:66" x14ac:dyDescent="0.25">
      <c r="B125" s="76" t="s">
        <v>242</v>
      </c>
      <c r="C125" s="76" t="s">
        <v>242</v>
      </c>
      <c r="D125" s="77" t="s">
        <v>517</v>
      </c>
      <c r="E125" s="77" t="s">
        <v>394</v>
      </c>
      <c r="F125" s="77"/>
      <c r="G125" s="77"/>
      <c r="H125" s="77">
        <v>1</v>
      </c>
      <c r="I125" s="77" t="s">
        <v>401</v>
      </c>
      <c r="J125" s="77" t="s">
        <v>390</v>
      </c>
      <c r="K125" s="77" t="s">
        <v>17</v>
      </c>
      <c r="L125" s="78" t="str">
        <f t="shared" si="7"/>
        <v/>
      </c>
      <c r="M125" s="77" t="str" cm="1">
        <f t="array" ref="M125">IF(OR(UPPER(TRIM($C125))="BRAZIL",UPPER(TRIM($C125))="INDIA",UPPER(TRIM($C125))="PHILIPPINES"),
   "UNDP OP8 COB - RPA",
   IFERROR(
     VLOOKUP($C125,$BF:$BG,2,0),
     _xlfn.SWITCH(UPPER(TRIM($K125)),
       "N/A","N/A",
       "VACANT","UNDP OP8 COB - Vacant",
       "UNDP","UNDP OP8 COB - UNDP CO",
       "UN COMPOUND","UNDP OP8 COB - UN Compound",
       "UNDP - WFH","UNDP OP8 COB - UNDP WFH",
"UNICEF","UNDP OP8 COB - UNICEF",
       "NHI","n.End of June 2026",
       "PRIVATE LEASE","k.End of Mar 2026",
       ""
     )
   )
)</f>
        <v>UNDP OP8 COB - UNDP CO</v>
      </c>
      <c r="N125" s="77" t="str">
        <f t="shared" si="8"/>
        <v>UNDP Action</v>
      </c>
      <c r="O125" s="79">
        <f>IFERROR(VLOOKUP($C125,'[15]2024 COBs'!$AA:$AK,5,0),"")</f>
        <v>8136</v>
      </c>
      <c r="P125" s="79">
        <f>IFERROR((VLOOKUP($C125,'[15]2024 COBs'!$AA:$AK,8,0)+VLOOKUP($C125,'[15]2024 COBs'!$AA:$AK,9,0)+VLOOKUP($C125,'[15]2024 COBs'!$AA:$AK,10,0)+VLOOKUP($C125,'[15]2024 COBs'!$AA:$AK,11,0))*5%,"")</f>
        <v>117</v>
      </c>
      <c r="Q125" s="79">
        <f>IFERROR((VLOOKUP($C125,'[15]2024 COBs'!$AA:$AK,8,0)+VLOOKUP($C125,'[15]2024 COBs'!$AA:$AK,9,0)+VLOOKUP($C125,'[15]2024 COBs'!$AA:$AK,10,0)+VLOOKUP($C125,'[15]2024 COBs'!$AA:$AK,11,0))*16%,"")</f>
        <v>374.40000000000003</v>
      </c>
      <c r="R125" s="79"/>
      <c r="S125" s="79">
        <f>IFERROR(VLOOKUP($C125,'[15]2024 COBs'!$AA:$AK,7,0),"")</f>
        <v>0</v>
      </c>
      <c r="T125" s="79">
        <f>IFERROR((VLOOKUP($C125,'[15]2024 COBs'!$AA:$AK,8,0)+VLOOKUP($C125,'[15]2024 COBs'!$AA:$AK,9,0)+VLOOKUP($C125,'[15]2024 COBs'!$AA:$AK,10,0)+VLOOKUP($C125,'[15]2024 COBs'!$AA:$AK,11,0))*20%,"")</f>
        <v>468</v>
      </c>
      <c r="U125" s="79">
        <f>IFERROR(VLOOKUP($C125,'[15]2024 COBs'!$AA:$AK,6,0),"")</f>
        <v>3770.4</v>
      </c>
      <c r="V125" s="79">
        <f>IFERROR((VLOOKUP($C125,'[15]2024 COBs'!$AA:$AK,8,0)+VLOOKUP($C125,'[15]2024 COBs'!$AA:$AK,9,0)+VLOOKUP($C125,'[15]2024 COBs'!$AA:$AK,10,0)+VLOOKUP($C125,'[15]2024 COBs'!$AA:$AK,11,0))*18%,"")</f>
        <v>421.2</v>
      </c>
      <c r="W125" s="79">
        <f>IFERROR((VLOOKUP($C125,'[15]2024 COBs'!$AA:$AK,8,0)+VLOOKUP($C125,'[15]2024 COBs'!$AA:$AK,9,0)+VLOOKUP($C125,'[15]2024 COBs'!$AA:$AK,10,0)+VLOOKUP($C125,'[15]2024 COBs'!$AA:$AK,11,0))*27%,"")</f>
        <v>631.80000000000007</v>
      </c>
      <c r="X125" s="79">
        <f>IFERROR((VLOOKUP($C125,'[15]2024 COBs'!$AA:$AK,8,0)+VLOOKUP($C125,'[15]2024 COBs'!$AA:$AK,9,0)+VLOOKUP($C125,'[15]2024 COBs'!$AA:$AK,10,0)+VLOOKUP($C125,'[15]2024 COBs'!$AA:$AK,11,0))*14%,"")</f>
        <v>327.60000000000002</v>
      </c>
      <c r="Y125" s="79">
        <f>IFERROR(VLOOKUP($C125,'[15]2024 COBs'!$AA:$AK,4,0),"")</f>
        <v>3855.6</v>
      </c>
      <c r="Z125" s="80">
        <f t="shared" si="10"/>
        <v>18102</v>
      </c>
      <c r="AF125" s="76" t="s">
        <v>187</v>
      </c>
      <c r="AG125" s="76" t="s">
        <v>187</v>
      </c>
      <c r="AH125" s="78" t="s">
        <v>506</v>
      </c>
      <c r="AI125" s="78" t="s">
        <v>408</v>
      </c>
      <c r="AJ125" s="78" t="s">
        <v>409</v>
      </c>
      <c r="AK125" s="78"/>
      <c r="AL125" s="78">
        <v>3</v>
      </c>
      <c r="AM125" s="77" t="s">
        <v>401</v>
      </c>
      <c r="AN125" s="77" t="s">
        <v>390</v>
      </c>
      <c r="AO125" s="79"/>
      <c r="AP125" s="79"/>
      <c r="AQ125" s="79"/>
      <c r="AR125" s="79"/>
      <c r="AS125" s="79"/>
      <c r="AT125" s="79"/>
      <c r="AU125" s="79"/>
      <c r="AV125" s="79"/>
      <c r="AW125" s="79"/>
      <c r="AX125" s="79"/>
      <c r="AY125" s="79"/>
      <c r="AZ125" s="80">
        <f t="shared" si="11"/>
        <v>0</v>
      </c>
      <c r="BK125" s="65" t="s">
        <v>246</v>
      </c>
      <c r="BL125" s="65" t="s">
        <v>411</v>
      </c>
      <c r="BM125" s="65" t="s">
        <v>396</v>
      </c>
      <c r="BN125" s="65">
        <v>1</v>
      </c>
    </row>
    <row r="126" spans="2:66" x14ac:dyDescent="0.25">
      <c r="B126" s="76" t="s">
        <v>243</v>
      </c>
      <c r="C126" s="76" t="s">
        <v>574</v>
      </c>
      <c r="D126" s="77" t="s">
        <v>575</v>
      </c>
      <c r="E126" s="77" t="s">
        <v>388</v>
      </c>
      <c r="F126" s="77"/>
      <c r="G126" s="77"/>
      <c r="H126" s="77">
        <v>3</v>
      </c>
      <c r="I126" s="77" t="s">
        <v>401</v>
      </c>
      <c r="J126" s="77" t="s">
        <v>395</v>
      </c>
      <c r="K126" s="77" t="s">
        <v>17</v>
      </c>
      <c r="L126" s="78" t="str">
        <f t="shared" si="7"/>
        <v/>
      </c>
      <c r="M126" s="77" t="str" cm="1">
        <f t="array" ref="M126">IF(OR(UPPER(TRIM($C126))="BRAZIL",UPPER(TRIM($C126))="INDIA",UPPER(TRIM($C126))="PHILIPPINES"),
   "UNDP OP8 COB - RPA",
   IFERROR(
     VLOOKUP($C126,$BF:$BG,2,0),
     _xlfn.SWITCH(UPPER(TRIM($K126)),
       "N/A","N/A",
       "VACANT","UNDP OP8 COB - Vacant",
       "UNDP","UNDP OP8 COB - UNDP CO",
       "UN COMPOUND","UNDP OP8 COB - UN Compound",
       "UNDP - WFH","UNDP OP8 COB - UNDP WFH",
"UNICEF","UNDP OP8 COB - UNICEF",
       "NHI","n.End of June 2026",
       "PRIVATE LEASE","k.End of Mar 2026",
       ""
     )
   )
)</f>
        <v>UNDP OP8 COB - UNDP CO</v>
      </c>
      <c r="N126" s="77" t="str">
        <f t="shared" si="8"/>
        <v>UNDP Action</v>
      </c>
      <c r="O126" s="79">
        <f>IFERROR(VLOOKUP($C126,'[15]2024 COBs'!$AA:$AK,5,0),"")</f>
        <v>8604.9880036294471</v>
      </c>
      <c r="P126" s="79">
        <f>IFERROR((VLOOKUP($C126,'[15]2024 COBs'!$AA:$AK,8,0)+VLOOKUP($C126,'[15]2024 COBs'!$AA:$AK,9,0)+VLOOKUP($C126,'[15]2024 COBs'!$AA:$AK,10,0)+VLOOKUP($C126,'[15]2024 COBs'!$AA:$AK,11,0))*5%,"")</f>
        <v>275.52134280621465</v>
      </c>
      <c r="Q126" s="79">
        <f>IFERROR((VLOOKUP($C126,'[15]2024 COBs'!$AA:$AK,8,0)+VLOOKUP($C126,'[15]2024 COBs'!$AA:$AK,9,0)+VLOOKUP($C126,'[15]2024 COBs'!$AA:$AK,10,0)+VLOOKUP($C126,'[15]2024 COBs'!$AA:$AK,11,0))*16%,"")</f>
        <v>881.6682969798868</v>
      </c>
      <c r="R126" s="79"/>
      <c r="S126" s="79">
        <f>IFERROR(VLOOKUP($C126,'[15]2024 COBs'!$AA:$AK,7,0),"")</f>
        <v>455.77703546194442</v>
      </c>
      <c r="T126" s="79">
        <f>IFERROR((VLOOKUP($C126,'[15]2024 COBs'!$AA:$AK,8,0)+VLOOKUP($C126,'[15]2024 COBs'!$AA:$AK,9,0)+VLOOKUP($C126,'[15]2024 COBs'!$AA:$AK,10,0)+VLOOKUP($C126,'[15]2024 COBs'!$AA:$AK,11,0))*20%,"")</f>
        <v>1102.0853712248586</v>
      </c>
      <c r="U126" s="79">
        <f>IFERROR(VLOOKUP($C126,'[15]2024 COBs'!$AA:$AK,6,0),"")</f>
        <v>11234.887044752235</v>
      </c>
      <c r="V126" s="79">
        <f>IFERROR((VLOOKUP($C126,'[15]2024 COBs'!$AA:$AK,8,0)+VLOOKUP($C126,'[15]2024 COBs'!$AA:$AK,9,0)+VLOOKUP($C126,'[15]2024 COBs'!$AA:$AK,10,0)+VLOOKUP($C126,'[15]2024 COBs'!$AA:$AK,11,0))*18%,"")</f>
        <v>991.87683410237264</v>
      </c>
      <c r="W126" s="79">
        <f>IFERROR((VLOOKUP($C126,'[15]2024 COBs'!$AA:$AK,8,0)+VLOOKUP($C126,'[15]2024 COBs'!$AA:$AK,9,0)+VLOOKUP($C126,'[15]2024 COBs'!$AA:$AK,10,0)+VLOOKUP($C126,'[15]2024 COBs'!$AA:$AK,11,0))*27%,"")</f>
        <v>1487.8152511535591</v>
      </c>
      <c r="X126" s="79">
        <f>IFERROR((VLOOKUP($C126,'[15]2024 COBs'!$AA:$AK,8,0)+VLOOKUP($C126,'[15]2024 COBs'!$AA:$AK,9,0)+VLOOKUP($C126,'[15]2024 COBs'!$AA:$AK,10,0)+VLOOKUP($C126,'[15]2024 COBs'!$AA:$AK,11,0))*14%,"")</f>
        <v>771.45975985740097</v>
      </c>
      <c r="Y126" s="79">
        <f>IFERROR(VLOOKUP($C126,'[15]2024 COBs'!$AA:$AK,4,0),"")</f>
        <v>3665.7119680711562</v>
      </c>
      <c r="Z126" s="80">
        <f t="shared" si="10"/>
        <v>29471.790908039075</v>
      </c>
      <c r="AF126" s="76" t="s">
        <v>188</v>
      </c>
      <c r="AG126" s="76" t="s">
        <v>188</v>
      </c>
      <c r="AH126" s="78" t="s">
        <v>508</v>
      </c>
      <c r="AI126" s="78" t="s">
        <v>408</v>
      </c>
      <c r="AJ126" s="78"/>
      <c r="AK126" s="78"/>
      <c r="AL126" s="78">
        <v>2</v>
      </c>
      <c r="AM126" s="77" t="s">
        <v>401</v>
      </c>
      <c r="AN126" s="77" t="s">
        <v>390</v>
      </c>
      <c r="AO126" s="79"/>
      <c r="AP126" s="79"/>
      <c r="AQ126" s="79"/>
      <c r="AR126" s="79"/>
      <c r="AS126" s="79"/>
      <c r="AT126" s="79"/>
      <c r="AU126" s="79"/>
      <c r="AV126" s="79"/>
      <c r="AW126" s="79"/>
      <c r="AX126" s="79"/>
      <c r="AY126" s="79"/>
      <c r="AZ126" s="80">
        <f t="shared" si="11"/>
        <v>0</v>
      </c>
      <c r="BK126" s="65" t="s">
        <v>247</v>
      </c>
      <c r="BL126" s="65" t="s">
        <v>411</v>
      </c>
      <c r="BM126" s="65" t="s">
        <v>396</v>
      </c>
      <c r="BN126" s="65">
        <v>1</v>
      </c>
    </row>
    <row r="127" spans="2:66" x14ac:dyDescent="0.25">
      <c r="B127" s="76" t="s">
        <v>244</v>
      </c>
      <c r="C127" s="76" t="s">
        <v>244</v>
      </c>
      <c r="D127" s="77" t="s">
        <v>578</v>
      </c>
      <c r="E127" s="77" t="s">
        <v>388</v>
      </c>
      <c r="F127" s="77"/>
      <c r="G127" s="77"/>
      <c r="H127" s="77">
        <v>2</v>
      </c>
      <c r="I127" s="77" t="s">
        <v>401</v>
      </c>
      <c r="J127" s="77" t="s">
        <v>390</v>
      </c>
      <c r="K127" s="77" t="s">
        <v>17</v>
      </c>
      <c r="L127" s="78" t="str">
        <f t="shared" si="7"/>
        <v>Yes</v>
      </c>
      <c r="M127" s="77" t="str" cm="1">
        <f t="array" ref="M127">IF(OR(UPPER(TRIM($C127))="BRAZIL",UPPER(TRIM($C127))="INDIA",UPPER(TRIM($C127))="PHILIPPINES"),
   "UNDP OP8 COB - RPA",
   IFERROR(
     VLOOKUP($C127,$BF:$BG,2,0),
     _xlfn.SWITCH(UPPER(TRIM($K127)),
       "N/A","N/A",
       "VACANT","UNDP OP8 COB - Vacant",
       "UNDP","UNDP OP8 COB - UNDP CO",
       "UN COMPOUND","UNDP OP8 COB - UN Compound",
       "UNDP - WFH","UNDP OP8 COB - UNDP WFH",
"UNICEF","UNDP OP8 COB - UNICEF",
       "NHI","n.End of June 2026",
       "PRIVATE LEASE","k.End of Mar 2026",
       ""
     )
   )
)</f>
        <v>n.End of June 2026</v>
      </c>
      <c r="N127" s="77" t="str">
        <f t="shared" si="8"/>
        <v>UNOPS Action</v>
      </c>
      <c r="O127" s="79">
        <f>IFERROR(VLOOKUP($C127,'[15]2024 COBs'!$AA:$AK,5,0),"")</f>
        <v>5673.75</v>
      </c>
      <c r="P127" s="79">
        <f>IFERROR((VLOOKUP($C127,'[15]2024 COBs'!$AA:$AK,8,0)+VLOOKUP($C127,'[15]2024 COBs'!$AA:$AK,9,0)+VLOOKUP($C127,'[15]2024 COBs'!$AA:$AK,10,0)+VLOOKUP($C127,'[15]2024 COBs'!$AA:$AK,11,0))*5%,"")</f>
        <v>122.4</v>
      </c>
      <c r="Q127" s="79">
        <f>IFERROR((VLOOKUP($C127,'[15]2024 COBs'!$AA:$AK,8,0)+VLOOKUP($C127,'[15]2024 COBs'!$AA:$AK,9,0)+VLOOKUP($C127,'[15]2024 COBs'!$AA:$AK,10,0)+VLOOKUP($C127,'[15]2024 COBs'!$AA:$AK,11,0))*16%,"")</f>
        <v>391.68</v>
      </c>
      <c r="R127" s="79"/>
      <c r="S127" s="79">
        <f>IFERROR(VLOOKUP($C127,'[15]2024 COBs'!$AA:$AK,7,0),"")</f>
        <v>375</v>
      </c>
      <c r="T127" s="79">
        <f>IFERROR((VLOOKUP($C127,'[15]2024 COBs'!$AA:$AK,8,0)+VLOOKUP($C127,'[15]2024 COBs'!$AA:$AK,9,0)+VLOOKUP($C127,'[15]2024 COBs'!$AA:$AK,10,0)+VLOOKUP($C127,'[15]2024 COBs'!$AA:$AK,11,0))*20%,"")</f>
        <v>489.6</v>
      </c>
      <c r="U127" s="79">
        <f>IFERROR(VLOOKUP($C127,'[15]2024 COBs'!$AA:$AK,6,0),"")</f>
        <v>4479</v>
      </c>
      <c r="V127" s="79">
        <f>IFERROR((VLOOKUP($C127,'[15]2024 COBs'!$AA:$AK,8,0)+VLOOKUP($C127,'[15]2024 COBs'!$AA:$AK,9,0)+VLOOKUP($C127,'[15]2024 COBs'!$AA:$AK,10,0)+VLOOKUP($C127,'[15]2024 COBs'!$AA:$AK,11,0))*18%,"")</f>
        <v>440.64</v>
      </c>
      <c r="W127" s="79">
        <f>IFERROR((VLOOKUP($C127,'[15]2024 COBs'!$AA:$AK,8,0)+VLOOKUP($C127,'[15]2024 COBs'!$AA:$AK,9,0)+VLOOKUP($C127,'[15]2024 COBs'!$AA:$AK,10,0)+VLOOKUP($C127,'[15]2024 COBs'!$AA:$AK,11,0))*27%,"")</f>
        <v>660.96</v>
      </c>
      <c r="X127" s="79">
        <f>IFERROR((VLOOKUP($C127,'[15]2024 COBs'!$AA:$AK,8,0)+VLOOKUP($C127,'[15]2024 COBs'!$AA:$AK,9,0)+VLOOKUP($C127,'[15]2024 COBs'!$AA:$AK,10,0)+VLOOKUP($C127,'[15]2024 COBs'!$AA:$AK,11,0))*14%,"")</f>
        <v>342.72</v>
      </c>
      <c r="Y127" s="79">
        <f>IFERROR(VLOOKUP($C127,'[15]2024 COBs'!$AA:$AK,4,0),"")</f>
        <v>1943.25</v>
      </c>
      <c r="Z127" s="80">
        <f t="shared" si="10"/>
        <v>14918.999999999998</v>
      </c>
      <c r="AF127" s="76" t="s">
        <v>189</v>
      </c>
      <c r="AG127" s="76" t="s">
        <v>189</v>
      </c>
      <c r="AH127" s="78" t="s">
        <v>510</v>
      </c>
      <c r="AI127" s="78" t="s">
        <v>408</v>
      </c>
      <c r="AJ127" s="78"/>
      <c r="AK127" s="78"/>
      <c r="AL127" s="78">
        <v>2</v>
      </c>
      <c r="AM127" s="77" t="s">
        <v>401</v>
      </c>
      <c r="AN127" s="77" t="s">
        <v>390</v>
      </c>
      <c r="AO127" s="79"/>
      <c r="AP127" s="79"/>
      <c r="AQ127" s="79"/>
      <c r="AR127" s="79"/>
      <c r="AS127" s="79"/>
      <c r="AT127" s="79"/>
      <c r="AU127" s="79"/>
      <c r="AV127" s="79"/>
      <c r="AW127" s="79"/>
      <c r="AX127" s="79"/>
      <c r="AY127" s="79"/>
      <c r="AZ127" s="80">
        <f t="shared" si="11"/>
        <v>0</v>
      </c>
      <c r="BK127" s="65" t="s">
        <v>248</v>
      </c>
      <c r="BL127" s="65" t="s">
        <v>411</v>
      </c>
      <c r="BM127" s="65" t="s">
        <v>396</v>
      </c>
      <c r="BN127" s="65">
        <v>1</v>
      </c>
    </row>
    <row r="128" spans="2:66" x14ac:dyDescent="0.25">
      <c r="B128" s="76" t="s">
        <v>245</v>
      </c>
      <c r="C128" s="76" t="s">
        <v>245</v>
      </c>
      <c r="D128" s="77" t="s">
        <v>518</v>
      </c>
      <c r="E128" s="77" t="s">
        <v>394</v>
      </c>
      <c r="F128" s="77"/>
      <c r="G128" s="77"/>
      <c r="H128" s="77">
        <v>2</v>
      </c>
      <c r="I128" s="77" t="s">
        <v>401</v>
      </c>
      <c r="J128" s="77" t="s">
        <v>390</v>
      </c>
      <c r="K128" s="77" t="s">
        <v>17</v>
      </c>
      <c r="L128" s="78" t="str">
        <f t="shared" si="7"/>
        <v/>
      </c>
      <c r="M128" s="77" t="str" cm="1">
        <f t="array" ref="M128">IF(OR(UPPER(TRIM($C128))="BRAZIL",UPPER(TRIM($C128))="INDIA",UPPER(TRIM($C128))="PHILIPPINES"),
   "UNDP OP8 COB - RPA",
   IFERROR(
     VLOOKUP($C128,$BF:$BG,2,0),
     _xlfn.SWITCH(UPPER(TRIM($K128)),
       "N/A","N/A",
       "VACANT","UNDP OP8 COB - Vacant",
       "UNDP","UNDP OP8 COB - UNDP CO",
       "UN COMPOUND","UNDP OP8 COB - UN Compound",
       "UNDP - WFH","UNDP OP8 COB - UNDP WFH",
"UNICEF","UNDP OP8 COB - UNICEF",
       "NHI","n.End of June 2026",
       "PRIVATE LEASE","k.End of Mar 2026",
       ""
     )
   )
)</f>
        <v>UNDP OP8 COB - UNDP CO</v>
      </c>
      <c r="N128" s="77" t="str">
        <f t="shared" si="8"/>
        <v>UNDP Action</v>
      </c>
      <c r="O128" s="79">
        <f>IFERROR(VLOOKUP($C128,'[15]2024 COBs'!$AA:$AK,5,0),"")</f>
        <v>10500</v>
      </c>
      <c r="P128" s="79">
        <f>IFERROR((VLOOKUP($C128,'[15]2024 COBs'!$AA:$AK,8,0)+VLOOKUP($C128,'[15]2024 COBs'!$AA:$AK,9,0)+VLOOKUP($C128,'[15]2024 COBs'!$AA:$AK,10,0)+VLOOKUP($C128,'[15]2024 COBs'!$AA:$AK,11,0))*5%,"")</f>
        <v>262.5</v>
      </c>
      <c r="Q128" s="79">
        <f>IFERROR((VLOOKUP($C128,'[15]2024 COBs'!$AA:$AK,8,0)+VLOOKUP($C128,'[15]2024 COBs'!$AA:$AK,9,0)+VLOOKUP($C128,'[15]2024 COBs'!$AA:$AK,10,0)+VLOOKUP($C128,'[15]2024 COBs'!$AA:$AK,11,0))*16%,"")</f>
        <v>840</v>
      </c>
      <c r="R128" s="79"/>
      <c r="S128" s="79">
        <f>IFERROR(VLOOKUP($C128,'[15]2024 COBs'!$AA:$AK,7,0),"")</f>
        <v>600</v>
      </c>
      <c r="T128" s="79">
        <f>IFERROR((VLOOKUP($C128,'[15]2024 COBs'!$AA:$AK,8,0)+VLOOKUP($C128,'[15]2024 COBs'!$AA:$AK,9,0)+VLOOKUP($C128,'[15]2024 COBs'!$AA:$AK,10,0)+VLOOKUP($C128,'[15]2024 COBs'!$AA:$AK,11,0))*20%,"")</f>
        <v>1050</v>
      </c>
      <c r="U128" s="79">
        <f>IFERROR(VLOOKUP($C128,'[15]2024 COBs'!$AA:$AK,6,0),"")</f>
        <v>7500</v>
      </c>
      <c r="V128" s="79">
        <f>IFERROR((VLOOKUP($C128,'[15]2024 COBs'!$AA:$AK,8,0)+VLOOKUP($C128,'[15]2024 COBs'!$AA:$AK,9,0)+VLOOKUP($C128,'[15]2024 COBs'!$AA:$AK,10,0)+VLOOKUP($C128,'[15]2024 COBs'!$AA:$AK,11,0))*18%,"")</f>
        <v>945</v>
      </c>
      <c r="W128" s="79">
        <f>IFERROR((VLOOKUP($C128,'[15]2024 COBs'!$AA:$AK,8,0)+VLOOKUP($C128,'[15]2024 COBs'!$AA:$AK,9,0)+VLOOKUP($C128,'[15]2024 COBs'!$AA:$AK,10,0)+VLOOKUP($C128,'[15]2024 COBs'!$AA:$AK,11,0))*27%,"")</f>
        <v>1417.5</v>
      </c>
      <c r="X128" s="79">
        <f>IFERROR((VLOOKUP($C128,'[15]2024 COBs'!$AA:$AK,8,0)+VLOOKUP($C128,'[15]2024 COBs'!$AA:$AK,9,0)+VLOOKUP($C128,'[15]2024 COBs'!$AA:$AK,10,0)+VLOOKUP($C128,'[15]2024 COBs'!$AA:$AK,11,0))*14%,"")</f>
        <v>735.00000000000011</v>
      </c>
      <c r="Y128" s="79">
        <f>IFERROR(VLOOKUP($C128,'[15]2024 COBs'!$AA:$AK,4,0),"")</f>
        <v>1500</v>
      </c>
      <c r="Z128" s="80">
        <f t="shared" si="10"/>
        <v>25350</v>
      </c>
      <c r="AF128" s="76" t="s">
        <v>190</v>
      </c>
      <c r="AG128" s="76" t="s">
        <v>190</v>
      </c>
      <c r="AH128" s="78" t="s">
        <v>516</v>
      </c>
      <c r="AI128" s="78" t="s">
        <v>408</v>
      </c>
      <c r="AJ128" s="78"/>
      <c r="AK128" s="78"/>
      <c r="AL128" s="78">
        <v>3</v>
      </c>
      <c r="AM128" s="77" t="s">
        <v>401</v>
      </c>
      <c r="AN128" s="77" t="s">
        <v>395</v>
      </c>
      <c r="AO128" s="79"/>
      <c r="AP128" s="79"/>
      <c r="AQ128" s="79"/>
      <c r="AR128" s="79"/>
      <c r="AS128" s="79"/>
      <c r="AT128" s="79"/>
      <c r="AU128" s="79"/>
      <c r="AV128" s="79"/>
      <c r="AW128" s="79"/>
      <c r="AX128" s="79"/>
      <c r="AY128" s="79"/>
      <c r="AZ128" s="80">
        <f t="shared" si="11"/>
        <v>0</v>
      </c>
      <c r="BK128" s="65" t="s">
        <v>249</v>
      </c>
      <c r="BL128" s="65" t="s">
        <v>397</v>
      </c>
      <c r="BM128" s="65" t="s">
        <v>398</v>
      </c>
      <c r="BN128" s="65">
        <v>1</v>
      </c>
    </row>
    <row r="129" spans="2:66" x14ac:dyDescent="0.25">
      <c r="B129" s="76" t="s">
        <v>579</v>
      </c>
      <c r="C129" s="76" t="s">
        <v>579</v>
      </c>
      <c r="D129" s="77" t="s">
        <v>580</v>
      </c>
      <c r="E129" s="77" t="s">
        <v>388</v>
      </c>
      <c r="F129" s="77" t="s">
        <v>409</v>
      </c>
      <c r="G129" s="77"/>
      <c r="H129" s="77">
        <v>5</v>
      </c>
      <c r="I129" s="77" t="s">
        <v>421</v>
      </c>
      <c r="J129" s="77" t="s">
        <v>439</v>
      </c>
      <c r="K129" s="77" t="s">
        <v>422</v>
      </c>
      <c r="L129" s="78" t="str">
        <f t="shared" si="7"/>
        <v/>
      </c>
      <c r="M129" s="77" t="str" cm="1">
        <f t="array" ref="M129">IF(OR(UPPER(TRIM($C129))="BRAZIL",UPPER(TRIM($C129))="INDIA",UPPER(TRIM($C129))="PHILIPPINES"),
   "UNDP OP8 COB - RPA",
   IFERROR(
     VLOOKUP($C129,$BF:$BG,2,0),
     _xlfn.SWITCH(UPPER(TRIM($K129)),
       "N/A","N/A",
       "VACANT","UNDP OP8 COB - Vacant",
       "UNDP","UNDP OP8 COB - UNDP CO",
       "UN COMPOUND","UNDP OP8 COB - UN Compound",
       "UNDP - WFH","UNDP OP8 COB - UNDP WFH",
"UNICEF","UNDP OP8 COB - UNICEF",
       "NHI","n.End of June 2026",
       "PRIVATE LEASE","k.End of Mar 2026",
       ""
     )
   )
)</f>
        <v>N/A</v>
      </c>
      <c r="N129" s="77" t="str">
        <f t="shared" si="8"/>
        <v>N/A</v>
      </c>
      <c r="O129" s="79" t="str">
        <f>IFERROR(VLOOKUP($C129,'[15]2024 COBs'!$AA:$AK,5,0),"")</f>
        <v/>
      </c>
      <c r="P129" s="79" t="str">
        <f>IFERROR((VLOOKUP($C129,'[15]2024 COBs'!$AA:$AK,8,0)+VLOOKUP($C129,'[15]2024 COBs'!$AA:$AK,9,0)+VLOOKUP($C129,'[15]2024 COBs'!$AA:$AK,10,0)+VLOOKUP($C129,'[15]2024 COBs'!$AA:$AK,11,0))*5%,"")</f>
        <v/>
      </c>
      <c r="Q129" s="79" t="str">
        <f>IFERROR((VLOOKUP($C129,'[15]2024 COBs'!$AA:$AK,8,0)+VLOOKUP($C129,'[15]2024 COBs'!$AA:$AK,9,0)+VLOOKUP($C129,'[15]2024 COBs'!$AA:$AK,10,0)+VLOOKUP($C129,'[15]2024 COBs'!$AA:$AK,11,0))*16%,"")</f>
        <v/>
      </c>
      <c r="R129" s="79"/>
      <c r="S129" s="79" t="str">
        <f>IFERROR(VLOOKUP($C129,'[15]2024 COBs'!$AA:$AK,7,0),"")</f>
        <v/>
      </c>
      <c r="T129" s="79" t="str">
        <f>IFERROR((VLOOKUP($C129,'[15]2024 COBs'!$AA:$AK,8,0)+VLOOKUP($C129,'[15]2024 COBs'!$AA:$AK,9,0)+VLOOKUP($C129,'[15]2024 COBs'!$AA:$AK,10,0)+VLOOKUP($C129,'[15]2024 COBs'!$AA:$AK,11,0))*20%,"")</f>
        <v/>
      </c>
      <c r="U129" s="79" t="str">
        <f>IFERROR(VLOOKUP($C129,'[15]2024 COBs'!$AA:$AK,6,0),"")</f>
        <v/>
      </c>
      <c r="V129" s="79" t="str">
        <f>IFERROR((VLOOKUP($C129,'[15]2024 COBs'!$AA:$AK,8,0)+VLOOKUP($C129,'[15]2024 COBs'!$AA:$AK,9,0)+VLOOKUP($C129,'[15]2024 COBs'!$AA:$AK,10,0)+VLOOKUP($C129,'[15]2024 COBs'!$AA:$AK,11,0))*18%,"")</f>
        <v/>
      </c>
      <c r="W129" s="79" t="str">
        <f>IFERROR((VLOOKUP($C129,'[15]2024 COBs'!$AA:$AK,8,0)+VLOOKUP($C129,'[15]2024 COBs'!$AA:$AK,9,0)+VLOOKUP($C129,'[15]2024 COBs'!$AA:$AK,10,0)+VLOOKUP($C129,'[15]2024 COBs'!$AA:$AK,11,0))*27%,"")</f>
        <v/>
      </c>
      <c r="X129" s="79" t="str">
        <f>IFERROR((VLOOKUP($C129,'[15]2024 COBs'!$AA:$AK,8,0)+VLOOKUP($C129,'[15]2024 COBs'!$AA:$AK,9,0)+VLOOKUP($C129,'[15]2024 COBs'!$AA:$AK,10,0)+VLOOKUP($C129,'[15]2024 COBs'!$AA:$AK,11,0))*14%,"")</f>
        <v/>
      </c>
      <c r="Y129" s="79" t="str">
        <f>IFERROR(VLOOKUP($C129,'[15]2024 COBs'!$AA:$AK,4,0),"")</f>
        <v/>
      </c>
      <c r="Z129" s="80">
        <f t="shared" si="10"/>
        <v>0</v>
      </c>
      <c r="AF129" s="76" t="s">
        <v>199</v>
      </c>
      <c r="AG129" s="76" t="s">
        <v>199</v>
      </c>
      <c r="AH129" s="78" t="s">
        <v>528</v>
      </c>
      <c r="AI129" s="78" t="s">
        <v>408</v>
      </c>
      <c r="AJ129" s="78" t="s">
        <v>409</v>
      </c>
      <c r="AK129" s="78"/>
      <c r="AL129" s="78">
        <v>2</v>
      </c>
      <c r="AM129" s="77" t="s">
        <v>401</v>
      </c>
      <c r="AN129" s="77" t="s">
        <v>390</v>
      </c>
      <c r="AO129" s="79"/>
      <c r="AP129" s="79"/>
      <c r="AQ129" s="79"/>
      <c r="AR129" s="79"/>
      <c r="AS129" s="79"/>
      <c r="AT129" s="79"/>
      <c r="AU129" s="79"/>
      <c r="AV129" s="79"/>
      <c r="AW129" s="79"/>
      <c r="AX129" s="79"/>
      <c r="AY129" s="79"/>
      <c r="AZ129" s="80">
        <f t="shared" si="11"/>
        <v>0</v>
      </c>
      <c r="BK129" s="65" t="s">
        <v>249</v>
      </c>
      <c r="BL129" s="65" t="s">
        <v>411</v>
      </c>
      <c r="BM129" s="65" t="s">
        <v>396</v>
      </c>
      <c r="BN129" s="65">
        <v>1</v>
      </c>
    </row>
    <row r="130" spans="2:66" x14ac:dyDescent="0.25">
      <c r="B130" s="76" t="s">
        <v>246</v>
      </c>
      <c r="C130" s="76" t="s">
        <v>246</v>
      </c>
      <c r="D130" s="77" t="s">
        <v>581</v>
      </c>
      <c r="E130" s="77" t="s">
        <v>388</v>
      </c>
      <c r="F130" s="77" t="s">
        <v>409</v>
      </c>
      <c r="G130" s="77" t="s">
        <v>463</v>
      </c>
      <c r="H130" s="77">
        <v>4</v>
      </c>
      <c r="I130" s="77" t="s">
        <v>401</v>
      </c>
      <c r="J130" s="77" t="s">
        <v>390</v>
      </c>
      <c r="K130" s="77" t="s">
        <v>463</v>
      </c>
      <c r="L130" s="78" t="str">
        <f t="shared" si="7"/>
        <v>Yes</v>
      </c>
      <c r="M130" s="77" t="str" cm="1">
        <f t="array" ref="M130">IF(OR(UPPER(TRIM($C130))="BRAZIL",UPPER(TRIM($C130))="INDIA",UPPER(TRIM($C130))="PHILIPPINES"),
   "UNDP OP8 COB - RPA",
   IFERROR(
     VLOOKUP($C130,$BF:$BG,2,0),
     _xlfn.SWITCH(UPPER(TRIM($K130)),
       "N/A","N/A",
       "VACANT","UNDP OP8 COB - Vacant",
       "UNDP","UNDP OP8 COB - UNDP CO",
       "UN COMPOUND","UNDP OP8 COB - UN Compound",
       "UNDP - WFH","UNDP OP8 COB - UNDP WFH",
"UNICEF","UNDP OP8 COB - UNICEF",
       "NHI","n.End of June 2026",
       "PRIVATE LEASE","k.End of Mar 2026",
       ""
     )
   )
)</f>
        <v>n.End of June 2026</v>
      </c>
      <c r="N130" s="77" t="str">
        <f t="shared" si="8"/>
        <v>UNOPS Action</v>
      </c>
      <c r="O130" s="79">
        <f>IFERROR(VLOOKUP($C130,'[15]2024 COBs'!$AA:$AK,5,0),"")</f>
        <v>7999.9999999999991</v>
      </c>
      <c r="P130" s="79">
        <f>IFERROR((VLOOKUP($C130,'[15]2024 COBs'!$AA:$AK,8,0)+VLOOKUP($C130,'[15]2024 COBs'!$AA:$AK,9,0)+VLOOKUP($C130,'[15]2024 COBs'!$AA:$AK,10,0)+VLOOKUP($C130,'[15]2024 COBs'!$AA:$AK,11,0))*5%,"")</f>
        <v>1032.55</v>
      </c>
      <c r="Q130" s="79">
        <f>IFERROR((VLOOKUP($C130,'[15]2024 COBs'!$AA:$AK,8,0)+VLOOKUP($C130,'[15]2024 COBs'!$AA:$AK,9,0)+VLOOKUP($C130,'[15]2024 COBs'!$AA:$AK,10,0)+VLOOKUP($C130,'[15]2024 COBs'!$AA:$AK,11,0))*16%,"")</f>
        <v>3304.16</v>
      </c>
      <c r="R130" s="79">
        <v>6730</v>
      </c>
      <c r="S130" s="79">
        <f>IFERROR(VLOOKUP($C130,'[15]2024 COBs'!$AA:$AK,7,0),"")</f>
        <v>0</v>
      </c>
      <c r="T130" s="79">
        <f>IFERROR((VLOOKUP($C130,'[15]2024 COBs'!$AA:$AK,8,0)+VLOOKUP($C130,'[15]2024 COBs'!$AA:$AK,9,0)+VLOOKUP($C130,'[15]2024 COBs'!$AA:$AK,10,0)+VLOOKUP($C130,'[15]2024 COBs'!$AA:$AK,11,0))*20%,"")</f>
        <v>4130.2</v>
      </c>
      <c r="U130" s="79">
        <f>IFERROR(VLOOKUP($C130,'[15]2024 COBs'!$AA:$AK,6,0),"")</f>
        <v>0</v>
      </c>
      <c r="V130" s="79">
        <f>IFERROR((VLOOKUP($C130,'[15]2024 COBs'!$AA:$AK,8,0)+VLOOKUP($C130,'[15]2024 COBs'!$AA:$AK,9,0)+VLOOKUP($C130,'[15]2024 COBs'!$AA:$AK,10,0)+VLOOKUP($C130,'[15]2024 COBs'!$AA:$AK,11,0))*18%,"")</f>
        <v>3717.18</v>
      </c>
      <c r="W130" s="79">
        <f>IFERROR((VLOOKUP($C130,'[15]2024 COBs'!$AA:$AK,8,0)+VLOOKUP($C130,'[15]2024 COBs'!$AA:$AK,9,0)+VLOOKUP($C130,'[15]2024 COBs'!$AA:$AK,10,0)+VLOOKUP($C130,'[15]2024 COBs'!$AA:$AK,11,0))*27%,"")</f>
        <v>5575.77</v>
      </c>
      <c r="X130" s="79">
        <f>IFERROR((VLOOKUP($C130,'[15]2024 COBs'!$AA:$AK,8,0)+VLOOKUP($C130,'[15]2024 COBs'!$AA:$AK,9,0)+VLOOKUP($C130,'[15]2024 COBs'!$AA:$AK,10,0)+VLOOKUP($C130,'[15]2024 COBs'!$AA:$AK,11,0))*14%,"")</f>
        <v>2891.1400000000003</v>
      </c>
      <c r="Y130" s="79">
        <f>IFERROR(VLOOKUP($C130,'[15]2024 COBs'!$AA:$AK,4,0),"")</f>
        <v>5000</v>
      </c>
      <c r="Z130" s="80">
        <f t="shared" si="10"/>
        <v>40381</v>
      </c>
      <c r="AF130" s="76" t="s">
        <v>200</v>
      </c>
      <c r="AG130" s="76" t="s">
        <v>200</v>
      </c>
      <c r="AH130" s="78" t="s">
        <v>531</v>
      </c>
      <c r="AI130" s="78" t="s">
        <v>408</v>
      </c>
      <c r="AJ130" s="78"/>
      <c r="AK130" s="78"/>
      <c r="AL130" s="78">
        <v>3</v>
      </c>
      <c r="AM130" s="77" t="s">
        <v>401</v>
      </c>
      <c r="AN130" s="77" t="s">
        <v>395</v>
      </c>
      <c r="AO130" s="79"/>
      <c r="AP130" s="79"/>
      <c r="AQ130" s="79"/>
      <c r="AR130" s="79"/>
      <c r="AS130" s="79"/>
      <c r="AT130" s="79"/>
      <c r="AU130" s="79"/>
      <c r="AV130" s="79"/>
      <c r="AW130" s="79"/>
      <c r="AX130" s="79"/>
      <c r="AY130" s="79"/>
      <c r="AZ130" s="80">
        <f t="shared" si="11"/>
        <v>0</v>
      </c>
      <c r="BK130" s="65" t="s">
        <v>527</v>
      </c>
      <c r="BL130" s="65" t="s">
        <v>411</v>
      </c>
      <c r="BM130" s="65" t="s">
        <v>396</v>
      </c>
      <c r="BN130" s="65">
        <v>1</v>
      </c>
    </row>
    <row r="131" spans="2:66" x14ac:dyDescent="0.25">
      <c r="B131" s="76" t="s">
        <v>247</v>
      </c>
      <c r="C131" s="76" t="s">
        <v>247</v>
      </c>
      <c r="D131" s="77" t="s">
        <v>619</v>
      </c>
      <c r="E131" s="77" t="s">
        <v>408</v>
      </c>
      <c r="F131" s="77"/>
      <c r="G131" s="77"/>
      <c r="H131" s="77">
        <v>3</v>
      </c>
      <c r="I131" s="77" t="s">
        <v>401</v>
      </c>
      <c r="J131" s="77" t="s">
        <v>395</v>
      </c>
      <c r="K131" s="77" t="s">
        <v>17</v>
      </c>
      <c r="L131" s="78" t="str">
        <f t="shared" si="7"/>
        <v>Yes</v>
      </c>
      <c r="M131" s="77" t="str" cm="1">
        <f t="array" ref="M131">IF(OR(UPPER(TRIM($C131))="BRAZIL",UPPER(TRIM($C131))="INDIA",UPPER(TRIM($C131))="PHILIPPINES"),
   "UNDP OP8 COB - RPA",
   IFERROR(
     VLOOKUP($C131,$BF:$BG,2,0),
     _xlfn.SWITCH(UPPER(TRIM($K131)),
       "N/A","N/A",
       "VACANT","UNDP OP8 COB - Vacant",
       "UNDP","UNDP OP8 COB - UNDP CO",
       "UN COMPOUND","UNDP OP8 COB - UN Compound",
       "UNDP - WFH","UNDP OP8 COB - UNDP WFH",
"UNICEF","UNDP OP8 COB - UNICEF",
       "NHI","n.End of June 2026",
       "PRIVATE LEASE","k.End of Mar 2026",
       ""
     )
   )
)</f>
        <v>n.End of June 2026</v>
      </c>
      <c r="N131" s="77" t="str">
        <f t="shared" si="8"/>
        <v>UNOPS Action</v>
      </c>
      <c r="O131" s="79">
        <f>IFERROR(VLOOKUP($C131,'[15]2024 COBs'!$AA:$AK,5,0),"")</f>
        <v>817.38621305969002</v>
      </c>
      <c r="P131" s="79">
        <f>IFERROR((VLOOKUP($C131,'[15]2024 COBs'!$AA:$AK,8,0)+VLOOKUP($C131,'[15]2024 COBs'!$AA:$AK,9,0)+VLOOKUP($C131,'[15]2024 COBs'!$AA:$AK,10,0)+VLOOKUP($C131,'[15]2024 COBs'!$AA:$AK,11,0))*5%,"")</f>
        <v>40.869310652984502</v>
      </c>
      <c r="Q131" s="79">
        <f>IFERROR((VLOOKUP($C131,'[15]2024 COBs'!$AA:$AK,8,0)+VLOOKUP($C131,'[15]2024 COBs'!$AA:$AK,9,0)+VLOOKUP($C131,'[15]2024 COBs'!$AA:$AK,10,0)+VLOOKUP($C131,'[15]2024 COBs'!$AA:$AK,11,0))*16%,"")</f>
        <v>130.7817940895504</v>
      </c>
      <c r="R131" s="79"/>
      <c r="S131" s="79">
        <f>IFERROR(VLOOKUP($C131,'[15]2024 COBs'!$AA:$AK,7,0),"")</f>
        <v>408.69310652984501</v>
      </c>
      <c r="T131" s="79">
        <f>IFERROR((VLOOKUP($C131,'[15]2024 COBs'!$AA:$AK,8,0)+VLOOKUP($C131,'[15]2024 COBs'!$AA:$AK,9,0)+VLOOKUP($C131,'[15]2024 COBs'!$AA:$AK,10,0)+VLOOKUP($C131,'[15]2024 COBs'!$AA:$AK,11,0))*20%,"")</f>
        <v>163.47724261193801</v>
      </c>
      <c r="U131" s="79">
        <f>IFERROR(VLOOKUP($C131,'[15]2024 COBs'!$AA:$AK,6,0),"")</f>
        <v>13855.513697574806</v>
      </c>
      <c r="V131" s="79">
        <f>IFERROR((VLOOKUP($C131,'[15]2024 COBs'!$AA:$AK,8,0)+VLOOKUP($C131,'[15]2024 COBs'!$AA:$AK,9,0)+VLOOKUP($C131,'[15]2024 COBs'!$AA:$AK,10,0)+VLOOKUP($C131,'[15]2024 COBs'!$AA:$AK,11,0))*18%,"")</f>
        <v>147.12951835074421</v>
      </c>
      <c r="W131" s="79">
        <f>IFERROR((VLOOKUP($C131,'[15]2024 COBs'!$AA:$AK,8,0)+VLOOKUP($C131,'[15]2024 COBs'!$AA:$AK,9,0)+VLOOKUP($C131,'[15]2024 COBs'!$AA:$AK,10,0)+VLOOKUP($C131,'[15]2024 COBs'!$AA:$AK,11,0))*27%,"")</f>
        <v>220.69427752611631</v>
      </c>
      <c r="X131" s="79">
        <f>IFERROR((VLOOKUP($C131,'[15]2024 COBs'!$AA:$AK,8,0)+VLOOKUP($C131,'[15]2024 COBs'!$AA:$AK,9,0)+VLOOKUP($C131,'[15]2024 COBs'!$AA:$AK,10,0)+VLOOKUP($C131,'[15]2024 COBs'!$AA:$AK,11,0))*14%,"")</f>
        <v>114.43406982835661</v>
      </c>
      <c r="Y131" s="79">
        <f>IFERROR(VLOOKUP($C131,'[15]2024 COBs'!$AA:$AK,4,0),"")</f>
        <v>10626.020769775969</v>
      </c>
      <c r="Z131" s="80">
        <f t="shared" si="10"/>
        <v>26525</v>
      </c>
      <c r="AF131" s="76" t="s">
        <v>468</v>
      </c>
      <c r="AG131" s="76" t="s">
        <v>468</v>
      </c>
      <c r="AH131" s="78" t="s">
        <v>536</v>
      </c>
      <c r="AI131" s="78" t="s">
        <v>408</v>
      </c>
      <c r="AJ131" s="78"/>
      <c r="AK131" s="78"/>
      <c r="AL131" s="78">
        <v>5</v>
      </c>
      <c r="AM131" s="77" t="s">
        <v>421</v>
      </c>
      <c r="AN131" s="77" t="s">
        <v>439</v>
      </c>
      <c r="AO131" s="79"/>
      <c r="AP131" s="79"/>
      <c r="AQ131" s="79"/>
      <c r="AR131" s="79"/>
      <c r="AS131" s="79"/>
      <c r="AT131" s="79"/>
      <c r="AU131" s="79"/>
      <c r="AV131" s="79"/>
      <c r="AW131" s="79"/>
      <c r="AX131" s="79"/>
      <c r="AY131" s="79"/>
      <c r="AZ131" s="80">
        <f t="shared" si="11"/>
        <v>0</v>
      </c>
      <c r="BK131" s="65" t="s">
        <v>250</v>
      </c>
      <c r="BL131" s="65" t="s">
        <v>397</v>
      </c>
      <c r="BM131" s="65" t="s">
        <v>398</v>
      </c>
      <c r="BN131" s="65">
        <v>1</v>
      </c>
    </row>
    <row r="132" spans="2:66" x14ac:dyDescent="0.25">
      <c r="B132" s="76" t="s">
        <v>248</v>
      </c>
      <c r="C132" s="76" t="s">
        <v>248</v>
      </c>
      <c r="D132" s="77" t="s">
        <v>597</v>
      </c>
      <c r="E132" s="77" t="s">
        <v>404</v>
      </c>
      <c r="F132" s="77"/>
      <c r="G132" s="77"/>
      <c r="H132" s="77">
        <v>2</v>
      </c>
      <c r="I132" s="77" t="s">
        <v>401</v>
      </c>
      <c r="J132" s="77" t="s">
        <v>390</v>
      </c>
      <c r="K132" s="77" t="s">
        <v>17</v>
      </c>
      <c r="L132" s="78" t="str">
        <f t="shared" ref="L132:L145" si="12">IF(COUNTIF($BF:$BF,TRIM($C132))&gt;0,"Yes","")</f>
        <v>Yes</v>
      </c>
      <c r="M132" s="77" t="str" cm="1">
        <f t="array" ref="M132">IF(OR(UPPER(TRIM($C132))="BRAZIL",UPPER(TRIM($C132))="INDIA",UPPER(TRIM($C132))="PHILIPPINES"),
   "UNDP OP8 COB - RPA",
   IFERROR(
     VLOOKUP($C132,$BF:$BG,2,0),
     _xlfn.SWITCH(UPPER(TRIM($K132)),
       "N/A","N/A",
       "VACANT","UNDP OP8 COB - Vacant",
       "UNDP","UNDP OP8 COB - UNDP CO",
       "UN COMPOUND","UNDP OP8 COB - UN Compound",
       "UNDP - WFH","UNDP OP8 COB - UNDP WFH",
"UNICEF","UNDP OP8 COB - UNICEF",
       "NHI","n.End of June 2026",
       "PRIVATE LEASE","k.End of Mar 2026",
       ""
     )
   )
)</f>
        <v>n.End of June 2026</v>
      </c>
      <c r="N132" s="77" t="str">
        <f t="shared" ref="N132:N145" si="13">IF(M132="N/A","N/A",IF(ISNUMBER(SEARCH("UNDP OP8 COB", M132)), "UNDP Action","UNOPS Action"))</f>
        <v>UNOPS Action</v>
      </c>
      <c r="O132" s="79">
        <f>IFERROR(VLOOKUP($C132,'[15]2024 COBs'!$AA:$AK,5,0),"")</f>
        <v>19926.767441860466</v>
      </c>
      <c r="P132" s="79">
        <f>IFERROR((VLOOKUP($C132,'[15]2024 COBs'!$AA:$AK,8,0)+VLOOKUP($C132,'[15]2024 COBs'!$AA:$AK,9,0)+VLOOKUP($C132,'[15]2024 COBs'!$AA:$AK,10,0)+VLOOKUP($C132,'[15]2024 COBs'!$AA:$AK,11,0))*5%,"")</f>
        <v>282.64752093023253</v>
      </c>
      <c r="Q132" s="79">
        <f>IFERROR((VLOOKUP($C132,'[15]2024 COBs'!$AA:$AK,8,0)+VLOOKUP($C132,'[15]2024 COBs'!$AA:$AK,9,0)+VLOOKUP($C132,'[15]2024 COBs'!$AA:$AK,10,0)+VLOOKUP($C132,'[15]2024 COBs'!$AA:$AK,11,0))*16%,"")</f>
        <v>904.47206697674414</v>
      </c>
      <c r="R132" s="79"/>
      <c r="S132" s="79">
        <f>IFERROR(VLOOKUP($C132,'[15]2024 COBs'!$AA:$AK,7,0),"")</f>
        <v>0</v>
      </c>
      <c r="T132" s="79">
        <f>IFERROR((VLOOKUP($C132,'[15]2024 COBs'!$AA:$AK,8,0)+VLOOKUP($C132,'[15]2024 COBs'!$AA:$AK,9,0)+VLOOKUP($C132,'[15]2024 COBs'!$AA:$AK,10,0)+VLOOKUP($C132,'[15]2024 COBs'!$AA:$AK,11,0))*20%,"")</f>
        <v>1130.5900837209301</v>
      </c>
      <c r="U132" s="79">
        <f>IFERROR(VLOOKUP($C132,'[15]2024 COBs'!$AA:$AK,6,0),"")</f>
        <v>6459.3984186046509</v>
      </c>
      <c r="V132" s="79">
        <f>IFERROR((VLOOKUP($C132,'[15]2024 COBs'!$AA:$AK,8,0)+VLOOKUP($C132,'[15]2024 COBs'!$AA:$AK,9,0)+VLOOKUP($C132,'[15]2024 COBs'!$AA:$AK,10,0)+VLOOKUP($C132,'[15]2024 COBs'!$AA:$AK,11,0))*18%,"")</f>
        <v>1017.531075348837</v>
      </c>
      <c r="W132" s="79">
        <f>IFERROR((VLOOKUP($C132,'[15]2024 COBs'!$AA:$AK,8,0)+VLOOKUP($C132,'[15]2024 COBs'!$AA:$AK,9,0)+VLOOKUP($C132,'[15]2024 COBs'!$AA:$AK,10,0)+VLOOKUP($C132,'[15]2024 COBs'!$AA:$AK,11,0))*27%,"")</f>
        <v>1526.2966130232558</v>
      </c>
      <c r="X132" s="79">
        <f>IFERROR((VLOOKUP($C132,'[15]2024 COBs'!$AA:$AK,8,0)+VLOOKUP($C132,'[15]2024 COBs'!$AA:$AK,9,0)+VLOOKUP($C132,'[15]2024 COBs'!$AA:$AK,10,0)+VLOOKUP($C132,'[15]2024 COBs'!$AA:$AK,11,0))*14%,"")</f>
        <v>791.41305860465116</v>
      </c>
      <c r="Y132" s="79">
        <f>IFERROR(VLOOKUP($C132,'[15]2024 COBs'!$AA:$AK,4,0),"")</f>
        <v>1562.8837209302326</v>
      </c>
      <c r="Z132" s="80">
        <f t="shared" si="10"/>
        <v>33602</v>
      </c>
      <c r="AF132" s="76" t="s">
        <v>203</v>
      </c>
      <c r="AG132" s="76" t="s">
        <v>203</v>
      </c>
      <c r="AH132" s="78" t="s">
        <v>540</v>
      </c>
      <c r="AI132" s="78" t="s">
        <v>408</v>
      </c>
      <c r="AJ132" s="78"/>
      <c r="AK132" s="78"/>
      <c r="AL132" s="78">
        <v>2</v>
      </c>
      <c r="AM132" s="77" t="s">
        <v>401</v>
      </c>
      <c r="AN132" s="77" t="s">
        <v>390</v>
      </c>
      <c r="AO132" s="79"/>
      <c r="AP132" s="79"/>
      <c r="AQ132" s="79"/>
      <c r="AR132" s="79"/>
      <c r="AS132" s="79"/>
      <c r="AT132" s="79"/>
      <c r="AU132" s="79"/>
      <c r="AV132" s="79"/>
      <c r="AW132" s="79"/>
      <c r="AX132" s="79"/>
      <c r="AY132" s="79"/>
      <c r="AZ132" s="80">
        <f t="shared" si="11"/>
        <v>0</v>
      </c>
      <c r="BK132" s="65" t="s">
        <v>250</v>
      </c>
      <c r="BL132" s="65" t="s">
        <v>411</v>
      </c>
      <c r="BM132" s="65" t="s">
        <v>396</v>
      </c>
      <c r="BN132" s="65">
        <v>1</v>
      </c>
    </row>
    <row r="133" spans="2:66" x14ac:dyDescent="0.25">
      <c r="B133" s="76" t="s">
        <v>249</v>
      </c>
      <c r="C133" s="76" t="s">
        <v>249</v>
      </c>
      <c r="D133" s="77" t="s">
        <v>607</v>
      </c>
      <c r="E133" s="77" t="s">
        <v>400</v>
      </c>
      <c r="F133" s="77"/>
      <c r="G133" s="77"/>
      <c r="H133" s="77">
        <v>3</v>
      </c>
      <c r="I133" s="77" t="s">
        <v>401</v>
      </c>
      <c r="J133" s="77" t="s">
        <v>390</v>
      </c>
      <c r="K133" s="77" t="s">
        <v>606</v>
      </c>
      <c r="L133" s="78" t="str">
        <f t="shared" si="12"/>
        <v>Yes</v>
      </c>
      <c r="M133" s="77" t="str" cm="1">
        <f t="array" ref="M133">IF(OR(UPPER(TRIM($C133))="BRAZIL",UPPER(TRIM($C133))="INDIA",UPPER(TRIM($C133))="PHILIPPINES"),
   "UNDP OP8 COB - RPA",
   IFERROR(
     VLOOKUP($C133,$BF:$BG,2,0),
     _xlfn.SWITCH(UPPER(TRIM($K133)),
       "N/A","N/A",
       "VACANT","UNDP OP8 COB - Vacant",
       "UNDP","UNDP OP8 COB - UNDP CO",
       "UN COMPOUND","UNDP OP8 COB - UN Compound",
       "UNDP - WFH","UNDP OP8 COB - UNDP WFH",
"UNICEF","UNDP OP8 COB - UNICEF",
       "NHI","n.End of June 2026",
       "PRIVATE LEASE","k.End of Mar 2026",
       ""
     )
   )
)</f>
        <v>n.End of June 2026</v>
      </c>
      <c r="N133" s="77" t="str">
        <f t="shared" si="13"/>
        <v>UNOPS Action</v>
      </c>
      <c r="O133" s="79">
        <f>IFERROR(VLOOKUP($C133,'[15]2024 COBs'!$AA:$AK,5,0),"")</f>
        <v>3267.7248677248676</v>
      </c>
      <c r="P133" s="79">
        <f>IFERROR((VLOOKUP($C133,'[15]2024 COBs'!$AA:$AK,8,0)+VLOOKUP($C133,'[15]2024 COBs'!$AA:$AK,9,0)+VLOOKUP($C133,'[15]2024 COBs'!$AA:$AK,10,0)+VLOOKUP($C133,'[15]2024 COBs'!$AA:$AK,11,0))*5%,"")</f>
        <v>516.70899470899474</v>
      </c>
      <c r="Q133" s="79">
        <f>IFERROR((VLOOKUP($C133,'[15]2024 COBs'!$AA:$AK,8,0)+VLOOKUP($C133,'[15]2024 COBs'!$AA:$AK,9,0)+VLOOKUP($C133,'[15]2024 COBs'!$AA:$AK,10,0)+VLOOKUP($C133,'[15]2024 COBs'!$AA:$AK,11,0))*16%,"")</f>
        <v>1653.4687830687833</v>
      </c>
      <c r="R133" s="79"/>
      <c r="S133" s="79">
        <f>IFERROR(VLOOKUP($C133,'[15]2024 COBs'!$AA:$AK,7,0),"")</f>
        <v>0</v>
      </c>
      <c r="T133" s="79">
        <f>IFERROR((VLOOKUP($C133,'[15]2024 COBs'!$AA:$AK,8,0)+VLOOKUP($C133,'[15]2024 COBs'!$AA:$AK,9,0)+VLOOKUP($C133,'[15]2024 COBs'!$AA:$AK,10,0)+VLOOKUP($C133,'[15]2024 COBs'!$AA:$AK,11,0))*20%,"")</f>
        <v>2066.8359788359789</v>
      </c>
      <c r="U133" s="79">
        <f>IFERROR(VLOOKUP($C133,'[15]2024 COBs'!$AA:$AK,6,0),"")</f>
        <v>204.23280423280423</v>
      </c>
      <c r="V133" s="79">
        <f>IFERROR((VLOOKUP($C133,'[15]2024 COBs'!$AA:$AK,8,0)+VLOOKUP($C133,'[15]2024 COBs'!$AA:$AK,9,0)+VLOOKUP($C133,'[15]2024 COBs'!$AA:$AK,10,0)+VLOOKUP($C133,'[15]2024 COBs'!$AA:$AK,11,0))*18%,"")</f>
        <v>1860.152380952381</v>
      </c>
      <c r="W133" s="79">
        <f>IFERROR((VLOOKUP($C133,'[15]2024 COBs'!$AA:$AK,8,0)+VLOOKUP($C133,'[15]2024 COBs'!$AA:$AK,9,0)+VLOOKUP($C133,'[15]2024 COBs'!$AA:$AK,10,0)+VLOOKUP($C133,'[15]2024 COBs'!$AA:$AK,11,0))*27%,"")</f>
        <v>2790.2285714285717</v>
      </c>
      <c r="X133" s="79">
        <f>IFERROR((VLOOKUP($C133,'[15]2024 COBs'!$AA:$AK,8,0)+VLOOKUP($C133,'[15]2024 COBs'!$AA:$AK,9,0)+VLOOKUP($C133,'[15]2024 COBs'!$AA:$AK,10,0)+VLOOKUP($C133,'[15]2024 COBs'!$AA:$AK,11,0))*14%,"")</f>
        <v>1446.7851851851854</v>
      </c>
      <c r="Y133" s="79">
        <f>IFERROR(VLOOKUP($C133,'[15]2024 COBs'!$AA:$AK,4,0),"")</f>
        <v>1633.8624338624338</v>
      </c>
      <c r="Z133" s="80">
        <f t="shared" si="10"/>
        <v>15440</v>
      </c>
      <c r="AF133" s="76" t="s">
        <v>204</v>
      </c>
      <c r="AG133" s="76" t="s">
        <v>204</v>
      </c>
      <c r="AH133" s="78" t="s">
        <v>542</v>
      </c>
      <c r="AI133" s="78" t="s">
        <v>408</v>
      </c>
      <c r="AJ133" s="78"/>
      <c r="AK133" s="78"/>
      <c r="AL133" s="78">
        <v>1</v>
      </c>
      <c r="AM133" s="77" t="s">
        <v>401</v>
      </c>
      <c r="AN133" s="77" t="s">
        <v>390</v>
      </c>
      <c r="AO133" s="79"/>
      <c r="AP133" s="79"/>
      <c r="AQ133" s="79"/>
      <c r="AR133" s="79"/>
      <c r="AS133" s="79"/>
      <c r="AT133" s="79"/>
      <c r="AU133" s="79"/>
      <c r="AV133" s="79"/>
      <c r="AW133" s="79"/>
      <c r="AX133" s="79"/>
      <c r="AY133" s="79"/>
      <c r="AZ133" s="80">
        <f t="shared" si="11"/>
        <v>0</v>
      </c>
      <c r="BK133" s="65" t="s">
        <v>251</v>
      </c>
      <c r="BL133" s="65" t="s">
        <v>397</v>
      </c>
      <c r="BM133" s="65" t="s">
        <v>398</v>
      </c>
      <c r="BN133" s="65">
        <v>2</v>
      </c>
    </row>
    <row r="134" spans="2:66" x14ac:dyDescent="0.25">
      <c r="B134" s="76" t="s">
        <v>608</v>
      </c>
      <c r="C134" s="76" t="s">
        <v>608</v>
      </c>
      <c r="D134" s="77" t="s">
        <v>609</v>
      </c>
      <c r="E134" s="77" t="s">
        <v>400</v>
      </c>
      <c r="F134" s="77"/>
      <c r="G134" s="77"/>
      <c r="H134" s="77">
        <v>5</v>
      </c>
      <c r="I134" s="77" t="s">
        <v>421</v>
      </c>
      <c r="J134" s="77" t="s">
        <v>439</v>
      </c>
      <c r="K134" s="77" t="s">
        <v>422</v>
      </c>
      <c r="L134" s="78" t="str">
        <f t="shared" si="12"/>
        <v/>
      </c>
      <c r="M134" s="77" t="str" cm="1">
        <f t="array" ref="M134">IF(OR(UPPER(TRIM($C134))="BRAZIL",UPPER(TRIM($C134))="INDIA",UPPER(TRIM($C134))="PHILIPPINES"),
   "UNDP OP8 COB - RPA",
   IFERROR(
     VLOOKUP($C134,$BF:$BG,2,0),
     _xlfn.SWITCH(UPPER(TRIM($K134)),
       "N/A","N/A",
       "VACANT","UNDP OP8 COB - Vacant",
       "UNDP","UNDP OP8 COB - UNDP CO",
       "UN COMPOUND","UNDP OP8 COB - UN Compound",
       "UNDP - WFH","UNDP OP8 COB - UNDP WFH",
"UNICEF","UNDP OP8 COB - UNICEF",
       "NHI","n.End of June 2026",
       "PRIVATE LEASE","k.End of Mar 2026",
       ""
     )
   )
)</f>
        <v>N/A</v>
      </c>
      <c r="N134" s="77" t="str">
        <f t="shared" si="13"/>
        <v>N/A</v>
      </c>
      <c r="O134" s="79" t="str">
        <f>IFERROR(VLOOKUP($C134,'[15]2024 COBs'!$AA:$AK,5,0),"")</f>
        <v/>
      </c>
      <c r="P134" s="79" t="str">
        <f>IFERROR((VLOOKUP($C134,'[15]2024 COBs'!$AA:$AK,8,0)+VLOOKUP($C134,'[15]2024 COBs'!$AA:$AK,9,0)+VLOOKUP($C134,'[15]2024 COBs'!$AA:$AK,10,0)+VLOOKUP($C134,'[15]2024 COBs'!$AA:$AK,11,0))*5%,"")</f>
        <v/>
      </c>
      <c r="Q134" s="79" t="str">
        <f>IFERROR((VLOOKUP($C134,'[15]2024 COBs'!$AA:$AK,8,0)+VLOOKUP($C134,'[15]2024 COBs'!$AA:$AK,9,0)+VLOOKUP($C134,'[15]2024 COBs'!$AA:$AK,10,0)+VLOOKUP($C134,'[15]2024 COBs'!$AA:$AK,11,0))*16%,"")</f>
        <v/>
      </c>
      <c r="R134" s="79"/>
      <c r="S134" s="79" t="str">
        <f>IFERROR(VLOOKUP($C134,'[15]2024 COBs'!$AA:$AK,7,0),"")</f>
        <v/>
      </c>
      <c r="T134" s="79" t="str">
        <f>IFERROR((VLOOKUP($C134,'[15]2024 COBs'!$AA:$AK,8,0)+VLOOKUP($C134,'[15]2024 COBs'!$AA:$AK,9,0)+VLOOKUP($C134,'[15]2024 COBs'!$AA:$AK,10,0)+VLOOKUP($C134,'[15]2024 COBs'!$AA:$AK,11,0))*20%,"")</f>
        <v/>
      </c>
      <c r="U134" s="79" t="str">
        <f>IFERROR(VLOOKUP($C134,'[15]2024 COBs'!$AA:$AK,6,0),"")</f>
        <v/>
      </c>
      <c r="V134" s="79" t="str">
        <f>IFERROR((VLOOKUP($C134,'[15]2024 COBs'!$AA:$AK,8,0)+VLOOKUP($C134,'[15]2024 COBs'!$AA:$AK,9,0)+VLOOKUP($C134,'[15]2024 COBs'!$AA:$AK,10,0)+VLOOKUP($C134,'[15]2024 COBs'!$AA:$AK,11,0))*18%,"")</f>
        <v/>
      </c>
      <c r="W134" s="79" t="str">
        <f>IFERROR((VLOOKUP($C134,'[15]2024 COBs'!$AA:$AK,8,0)+VLOOKUP($C134,'[15]2024 COBs'!$AA:$AK,9,0)+VLOOKUP($C134,'[15]2024 COBs'!$AA:$AK,10,0)+VLOOKUP($C134,'[15]2024 COBs'!$AA:$AK,11,0))*27%,"")</f>
        <v/>
      </c>
      <c r="X134" s="79" t="str">
        <f>IFERROR((VLOOKUP($C134,'[15]2024 COBs'!$AA:$AK,8,0)+VLOOKUP($C134,'[15]2024 COBs'!$AA:$AK,9,0)+VLOOKUP($C134,'[15]2024 COBs'!$AA:$AK,10,0)+VLOOKUP($C134,'[15]2024 COBs'!$AA:$AK,11,0))*14%,"")</f>
        <v/>
      </c>
      <c r="Y134" s="79" t="str">
        <f>IFERROR(VLOOKUP($C134,'[15]2024 COBs'!$AA:$AK,4,0),"")</f>
        <v/>
      </c>
      <c r="Z134" s="80">
        <f t="shared" si="10"/>
        <v>0</v>
      </c>
      <c r="AF134" s="76" t="s">
        <v>205</v>
      </c>
      <c r="AG134" s="76" t="s">
        <v>205</v>
      </c>
      <c r="AH134" s="78" t="s">
        <v>553</v>
      </c>
      <c r="AI134" s="78" t="s">
        <v>408</v>
      </c>
      <c r="AJ134" s="78" t="s">
        <v>432</v>
      </c>
      <c r="AK134" s="78"/>
      <c r="AL134" s="78">
        <v>2</v>
      </c>
      <c r="AM134" s="77" t="s">
        <v>435</v>
      </c>
      <c r="AN134" s="77" t="s">
        <v>390</v>
      </c>
      <c r="AO134" s="79"/>
      <c r="AP134" s="79"/>
      <c r="AQ134" s="79"/>
      <c r="AR134" s="79"/>
      <c r="AS134" s="79"/>
      <c r="AT134" s="79"/>
      <c r="AU134" s="79"/>
      <c r="AV134" s="79"/>
      <c r="AW134" s="79"/>
      <c r="AX134" s="79"/>
      <c r="AY134" s="79"/>
      <c r="AZ134" s="80">
        <f t="shared" si="11"/>
        <v>0</v>
      </c>
      <c r="BK134" s="65" t="s">
        <v>252</v>
      </c>
      <c r="BL134" s="65" t="s">
        <v>397</v>
      </c>
      <c r="BM134" s="65" t="s">
        <v>416</v>
      </c>
      <c r="BN134" s="65">
        <v>1</v>
      </c>
    </row>
    <row r="135" spans="2:66" x14ac:dyDescent="0.25">
      <c r="B135" s="76" t="s">
        <v>527</v>
      </c>
      <c r="C135" s="76" t="s">
        <v>527</v>
      </c>
      <c r="D135" s="77" t="s">
        <v>582</v>
      </c>
      <c r="E135" s="77" t="s">
        <v>388</v>
      </c>
      <c r="F135" s="77" t="s">
        <v>409</v>
      </c>
      <c r="G135" s="77" t="s">
        <v>463</v>
      </c>
      <c r="H135" s="77">
        <v>4</v>
      </c>
      <c r="I135" s="77" t="s">
        <v>389</v>
      </c>
      <c r="J135" s="77" t="s">
        <v>395</v>
      </c>
      <c r="K135" s="77" t="s">
        <v>463</v>
      </c>
      <c r="L135" s="78" t="str">
        <f t="shared" si="12"/>
        <v>Yes</v>
      </c>
      <c r="M135" s="77" t="str" cm="1">
        <f t="array" ref="M135">IF(OR(UPPER(TRIM($C135))="BRAZIL",UPPER(TRIM($C135))="INDIA",UPPER(TRIM($C135))="PHILIPPINES"),
   "UNDP OP8 COB - RPA",
   IFERROR(
     VLOOKUP($C135,$BF:$BG,2,0),
     _xlfn.SWITCH(UPPER(TRIM($K135)),
       "N/A","N/A",
       "VACANT","UNDP OP8 COB - Vacant",
       "UNDP","UNDP OP8 COB - UNDP CO",
       "UN COMPOUND","UNDP OP8 COB - UN Compound",
       "UNDP - WFH","UNDP OP8 COB - UNDP WFH",
"UNICEF","UNDP OP8 COB - UNICEF",
       "NHI","n.End of June 2026",
       "PRIVATE LEASE","k.End of Mar 2026",
       ""
     )
   )
)</f>
        <v>n.End of June 2026</v>
      </c>
      <c r="N135" s="77" t="str">
        <f t="shared" si="13"/>
        <v>UNOPS Action</v>
      </c>
      <c r="O135" s="79">
        <f>IFERROR(VLOOKUP($C135,'[15]2024 COBs'!$AA:$AK,5,0),"")</f>
        <v>0</v>
      </c>
      <c r="P135" s="79">
        <f>IFERROR((VLOOKUP($C135,'[15]2024 COBs'!$AA:$AK,8,0)+VLOOKUP($C135,'[15]2024 COBs'!$AA:$AK,9,0)+VLOOKUP($C135,'[15]2024 COBs'!$AA:$AK,10,0)+VLOOKUP($C135,'[15]2024 COBs'!$AA:$AK,11,0))*5%,"")</f>
        <v>179.16666666666666</v>
      </c>
      <c r="Q135" s="79">
        <f>IFERROR((VLOOKUP($C135,'[15]2024 COBs'!$AA:$AK,8,0)+VLOOKUP($C135,'[15]2024 COBs'!$AA:$AK,9,0)+VLOOKUP($C135,'[15]2024 COBs'!$AA:$AK,10,0)+VLOOKUP($C135,'[15]2024 COBs'!$AA:$AK,11,0))*16%,"")</f>
        <v>573.33333333333326</v>
      </c>
      <c r="R135" s="79">
        <v>4000</v>
      </c>
      <c r="S135" s="79">
        <f>IFERROR(VLOOKUP($C135,'[15]2024 COBs'!$AA:$AK,7,0),"")</f>
        <v>895.83333333333337</v>
      </c>
      <c r="T135" s="79">
        <f>IFERROR((VLOOKUP($C135,'[15]2024 COBs'!$AA:$AK,8,0)+VLOOKUP($C135,'[15]2024 COBs'!$AA:$AK,9,0)+VLOOKUP($C135,'[15]2024 COBs'!$AA:$AK,10,0)+VLOOKUP($C135,'[15]2024 COBs'!$AA:$AK,11,0))*20%,"")</f>
        <v>716.66666666666663</v>
      </c>
      <c r="U135" s="79">
        <f>IFERROR(VLOOKUP($C135,'[15]2024 COBs'!$AA:$AK,6,0),"")</f>
        <v>2575.5208333333335</v>
      </c>
      <c r="V135" s="79">
        <f>IFERROR((VLOOKUP($C135,'[15]2024 COBs'!$AA:$AK,8,0)+VLOOKUP($C135,'[15]2024 COBs'!$AA:$AK,9,0)+VLOOKUP($C135,'[15]2024 COBs'!$AA:$AK,10,0)+VLOOKUP($C135,'[15]2024 COBs'!$AA:$AK,11,0))*18%,"")</f>
        <v>644.99999999999989</v>
      </c>
      <c r="W135" s="79">
        <f>IFERROR((VLOOKUP($C135,'[15]2024 COBs'!$AA:$AK,8,0)+VLOOKUP($C135,'[15]2024 COBs'!$AA:$AK,9,0)+VLOOKUP($C135,'[15]2024 COBs'!$AA:$AK,10,0)+VLOOKUP($C135,'[15]2024 COBs'!$AA:$AK,11,0))*27%,"")</f>
        <v>967.5</v>
      </c>
      <c r="X135" s="79">
        <f>IFERROR((VLOOKUP($C135,'[15]2024 COBs'!$AA:$AK,8,0)+VLOOKUP($C135,'[15]2024 COBs'!$AA:$AK,9,0)+VLOOKUP($C135,'[15]2024 COBs'!$AA:$AK,10,0)+VLOOKUP($C135,'[15]2024 COBs'!$AA:$AK,11,0))*14%,"")</f>
        <v>501.66666666666669</v>
      </c>
      <c r="Y135" s="79">
        <f>IFERROR(VLOOKUP($C135,'[15]2024 COBs'!$AA:$AK,4,0),"")</f>
        <v>0</v>
      </c>
      <c r="Z135" s="80">
        <f t="shared" si="10"/>
        <v>11054.6875</v>
      </c>
      <c r="AF135" s="76" t="s">
        <v>494</v>
      </c>
      <c r="AG135" s="76" t="s">
        <v>494</v>
      </c>
      <c r="AH135" s="78" t="s">
        <v>585</v>
      </c>
      <c r="AI135" s="78" t="s">
        <v>408</v>
      </c>
      <c r="AJ135" s="78"/>
      <c r="AK135" s="78"/>
      <c r="AL135" s="78">
        <v>1</v>
      </c>
      <c r="AM135" s="77" t="s">
        <v>389</v>
      </c>
      <c r="AN135" s="77" t="s">
        <v>390</v>
      </c>
      <c r="AO135" s="79"/>
      <c r="AP135" s="79"/>
      <c r="AQ135" s="79"/>
      <c r="AR135" s="79"/>
      <c r="AS135" s="79"/>
      <c r="AT135" s="79"/>
      <c r="AU135" s="79"/>
      <c r="AV135" s="79"/>
      <c r="AW135" s="79"/>
      <c r="AX135" s="79"/>
      <c r="AY135" s="79"/>
      <c r="AZ135" s="80">
        <f t="shared" si="11"/>
        <v>0</v>
      </c>
      <c r="BK135" s="65" t="s">
        <v>530</v>
      </c>
      <c r="BL135" s="65" t="s">
        <v>397</v>
      </c>
      <c r="BM135" s="65" t="s">
        <v>398</v>
      </c>
      <c r="BN135" s="65">
        <v>1</v>
      </c>
    </row>
    <row r="136" spans="2:66" x14ac:dyDescent="0.25">
      <c r="B136" s="76" t="s">
        <v>250</v>
      </c>
      <c r="C136" s="76" t="s">
        <v>250</v>
      </c>
      <c r="D136" s="77" t="s">
        <v>519</v>
      </c>
      <c r="E136" s="77" t="s">
        <v>394</v>
      </c>
      <c r="F136" s="77"/>
      <c r="G136" s="77"/>
      <c r="H136" s="77">
        <v>3</v>
      </c>
      <c r="I136" s="77" t="s">
        <v>435</v>
      </c>
      <c r="J136" s="77" t="s">
        <v>395</v>
      </c>
      <c r="K136" s="77" t="s">
        <v>425</v>
      </c>
      <c r="L136" s="78" t="str">
        <f t="shared" si="12"/>
        <v>Yes</v>
      </c>
      <c r="M136" s="77" t="str" cm="1">
        <f t="array" ref="M136">IF(OR(UPPER(TRIM($C136))="BRAZIL",UPPER(TRIM($C136))="INDIA",UPPER(TRIM($C136))="PHILIPPINES"),
   "UNDP OP8 COB - RPA",
   IFERROR(
     VLOOKUP($C136,$BF:$BG,2,0),
     _xlfn.SWITCH(UPPER(TRIM($K136)),
       "N/A","N/A",
       "VACANT","UNDP OP8 COB - Vacant",
       "UNDP","UNDP OP8 COB - UNDP CO",
       "UN COMPOUND","UNDP OP8 COB - UN Compound",
       "UNDP - WFH","UNDP OP8 COB - UNDP WFH",
"UNICEF","UNDP OP8 COB - UNICEF",
       "NHI","n.End of June 2026",
       "PRIVATE LEASE","k.End of Mar 2026",
       ""
     )
   )
)</f>
        <v>n.End of June 2026</v>
      </c>
      <c r="N136" s="77" t="str">
        <f t="shared" si="13"/>
        <v>UNOPS Action</v>
      </c>
      <c r="O136" s="79">
        <f>IFERROR(VLOOKUP($C136,'[15]2024 COBs'!$AA:$AK,5,0),"")</f>
        <v>10565.38962310328</v>
      </c>
      <c r="P136" s="79">
        <f>IFERROR((VLOOKUP($C136,'[15]2024 COBs'!$AA:$AK,8,0)+VLOOKUP($C136,'[15]2024 COBs'!$AA:$AK,9,0)+VLOOKUP($C136,'[15]2024 COBs'!$AA:$AK,10,0)+VLOOKUP($C136,'[15]2024 COBs'!$AA:$AK,11,0))*5%,"")</f>
        <v>684.28255832925436</v>
      </c>
      <c r="Q136" s="79">
        <f>IFERROR((VLOOKUP($C136,'[15]2024 COBs'!$AA:$AK,8,0)+VLOOKUP($C136,'[15]2024 COBs'!$AA:$AK,9,0)+VLOOKUP($C136,'[15]2024 COBs'!$AA:$AK,10,0)+VLOOKUP($C136,'[15]2024 COBs'!$AA:$AK,11,0))*16%,"")</f>
        <v>2189.7041866536138</v>
      </c>
      <c r="R136" s="79"/>
      <c r="S136" s="79">
        <f>IFERROR(VLOOKUP($C136,'[15]2024 COBs'!$AA:$AK,7,0),"")</f>
        <v>1673.0624898025778</v>
      </c>
      <c r="T136" s="79">
        <f>IFERROR((VLOOKUP($C136,'[15]2024 COBs'!$AA:$AK,8,0)+VLOOKUP($C136,'[15]2024 COBs'!$AA:$AK,9,0)+VLOOKUP($C136,'[15]2024 COBs'!$AA:$AK,10,0)+VLOOKUP($C136,'[15]2024 COBs'!$AA:$AK,11,0))*20%,"")</f>
        <v>2737.1302333170174</v>
      </c>
      <c r="U136" s="79">
        <f>IFERROR(VLOOKUP($C136,'[15]2024 COBs'!$AA:$AK,6,0),"")</f>
        <v>21130.779246206559</v>
      </c>
      <c r="V136" s="79">
        <f>IFERROR((VLOOKUP($C136,'[15]2024 COBs'!$AA:$AK,8,0)+VLOOKUP($C136,'[15]2024 COBs'!$AA:$AK,9,0)+VLOOKUP($C136,'[15]2024 COBs'!$AA:$AK,10,0)+VLOOKUP($C136,'[15]2024 COBs'!$AA:$AK,11,0))*18%,"")</f>
        <v>2463.4172099853154</v>
      </c>
      <c r="W136" s="79">
        <f>IFERROR((VLOOKUP($C136,'[15]2024 COBs'!$AA:$AK,8,0)+VLOOKUP($C136,'[15]2024 COBs'!$AA:$AK,9,0)+VLOOKUP($C136,'[15]2024 COBs'!$AA:$AK,10,0)+VLOOKUP($C136,'[15]2024 COBs'!$AA:$AK,11,0))*27%,"")</f>
        <v>3695.1258149779737</v>
      </c>
      <c r="X136" s="79">
        <f>IFERROR((VLOOKUP($C136,'[15]2024 COBs'!$AA:$AK,8,0)+VLOOKUP($C136,'[15]2024 COBs'!$AA:$AK,9,0)+VLOOKUP($C136,'[15]2024 COBs'!$AA:$AK,10,0)+VLOOKUP($C136,'[15]2024 COBs'!$AA:$AK,11,0))*14%,"")</f>
        <v>1915.9911633219124</v>
      </c>
      <c r="Y136" s="79">
        <f>IFERROR(VLOOKUP($C136,'[15]2024 COBs'!$AA:$AK,4,0),"")</f>
        <v>4216.1174743024967</v>
      </c>
      <c r="Z136" s="80">
        <f t="shared" si="10"/>
        <v>51271</v>
      </c>
      <c r="AF136" s="76" t="s">
        <v>231</v>
      </c>
      <c r="AG136" s="76" t="s">
        <v>231</v>
      </c>
      <c r="AH136" s="78" t="s">
        <v>599</v>
      </c>
      <c r="AI136" s="78" t="s">
        <v>408</v>
      </c>
      <c r="AJ136" s="78"/>
      <c r="AK136" s="78"/>
      <c r="AL136" s="78">
        <v>1</v>
      </c>
      <c r="AM136" s="77" t="s">
        <v>401</v>
      </c>
      <c r="AN136" s="77" t="s">
        <v>390</v>
      </c>
      <c r="AO136" s="79"/>
      <c r="AP136" s="79"/>
      <c r="AQ136" s="79"/>
      <c r="AR136" s="79"/>
      <c r="AS136" s="79"/>
      <c r="AT136" s="79"/>
      <c r="AU136" s="79"/>
      <c r="AV136" s="79"/>
      <c r="AW136" s="79"/>
      <c r="AX136" s="79"/>
      <c r="AY136" s="79"/>
      <c r="AZ136" s="80">
        <f t="shared" si="11"/>
        <v>0</v>
      </c>
      <c r="BK136" s="65" t="s">
        <v>530</v>
      </c>
      <c r="BL136" s="65" t="s">
        <v>411</v>
      </c>
      <c r="BM136" s="65" t="s">
        <v>396</v>
      </c>
      <c r="BN136" s="65">
        <v>1</v>
      </c>
    </row>
    <row r="137" spans="2:66" x14ac:dyDescent="0.25">
      <c r="B137" s="76" t="s">
        <v>251</v>
      </c>
      <c r="C137" s="76" t="s">
        <v>251</v>
      </c>
      <c r="D137" s="77" t="s">
        <v>610</v>
      </c>
      <c r="E137" s="77" t="s">
        <v>400</v>
      </c>
      <c r="F137" s="77"/>
      <c r="G137" s="77"/>
      <c r="H137" s="77">
        <v>2</v>
      </c>
      <c r="I137" s="77" t="s">
        <v>401</v>
      </c>
      <c r="J137" s="77" t="s">
        <v>390</v>
      </c>
      <c r="K137" s="77" t="s">
        <v>425</v>
      </c>
      <c r="L137" s="78" t="str">
        <f t="shared" si="12"/>
        <v/>
      </c>
      <c r="M137" s="77" t="str" cm="1">
        <f t="array" ref="M137">IF(OR(UPPER(TRIM($C137))="BRAZIL",UPPER(TRIM($C137))="INDIA",UPPER(TRIM($C137))="PHILIPPINES"),
   "UNDP OP8 COB - RPA",
   IFERROR(
     VLOOKUP($C137,$BF:$BG,2,0),
     _xlfn.SWITCH(UPPER(TRIM($K137)),
       "N/A","N/A",
       "VACANT","UNDP OP8 COB - Vacant",
       "UNDP","UNDP OP8 COB - UNDP CO",
       "UN COMPOUND","UNDP OP8 COB - UN Compound",
       "UNDP - WFH","UNDP OP8 COB - UNDP WFH",
"UNICEF","UNDP OP8 COB - UNICEF",
       "NHI","n.End of June 2026",
       "PRIVATE LEASE","k.End of Mar 2026",
       ""
     )
   )
)</f>
        <v>k.End of Mar 2026</v>
      </c>
      <c r="N137" s="77" t="str">
        <f t="shared" si="13"/>
        <v>UNOPS Action</v>
      </c>
      <c r="O137" s="79">
        <f>IFERROR(VLOOKUP($C137,'[15]2024 COBs'!$AA:$AK,5,0),"")</f>
        <v>1974.9452797742404</v>
      </c>
      <c r="P137" s="79">
        <f>IFERROR((VLOOKUP($C137,'[15]2024 COBs'!$AA:$AK,8,0)+VLOOKUP($C137,'[15]2024 COBs'!$AA:$AK,9,0)+VLOOKUP($C137,'[15]2024 COBs'!$AA:$AK,10,0)+VLOOKUP($C137,'[15]2024 COBs'!$AA:$AK,11,0))*5%,"")</f>
        <v>204.83442832576395</v>
      </c>
      <c r="Q137" s="79">
        <f>IFERROR((VLOOKUP($C137,'[15]2024 COBs'!$AA:$AK,8,0)+VLOOKUP($C137,'[15]2024 COBs'!$AA:$AK,9,0)+VLOOKUP($C137,'[15]2024 COBs'!$AA:$AK,10,0)+VLOOKUP($C137,'[15]2024 COBs'!$AA:$AK,11,0))*16%,"")</f>
        <v>655.4701706424446</v>
      </c>
      <c r="R137" s="79"/>
      <c r="S137" s="79">
        <f>IFERROR(VLOOKUP($C137,'[15]2024 COBs'!$AA:$AK,7,0),"")</f>
        <v>2018.4725957934654</v>
      </c>
      <c r="T137" s="79">
        <f>IFERROR((VLOOKUP($C137,'[15]2024 COBs'!$AA:$AK,8,0)+VLOOKUP($C137,'[15]2024 COBs'!$AA:$AK,9,0)+VLOOKUP($C137,'[15]2024 COBs'!$AA:$AK,10,0)+VLOOKUP($C137,'[15]2024 COBs'!$AA:$AK,11,0))*20%,"")</f>
        <v>819.33771330305581</v>
      </c>
      <c r="U137" s="79">
        <f>IFERROR(VLOOKUP($C137,'[15]2024 COBs'!$AA:$AK,6,0),"")</f>
        <v>9985.6783808809905</v>
      </c>
      <c r="V137" s="79">
        <f>IFERROR((VLOOKUP($C137,'[15]2024 COBs'!$AA:$AK,8,0)+VLOOKUP($C137,'[15]2024 COBs'!$AA:$AK,9,0)+VLOOKUP($C137,'[15]2024 COBs'!$AA:$AK,10,0)+VLOOKUP($C137,'[15]2024 COBs'!$AA:$AK,11,0))*18%,"")</f>
        <v>737.40394197275009</v>
      </c>
      <c r="W137" s="79">
        <f>IFERROR((VLOOKUP($C137,'[15]2024 COBs'!$AA:$AK,8,0)+VLOOKUP($C137,'[15]2024 COBs'!$AA:$AK,9,0)+VLOOKUP($C137,'[15]2024 COBs'!$AA:$AK,10,0)+VLOOKUP($C137,'[15]2024 COBs'!$AA:$AK,11,0))*27%,"")</f>
        <v>1106.1059129591254</v>
      </c>
      <c r="X137" s="79">
        <f>IFERROR((VLOOKUP($C137,'[15]2024 COBs'!$AA:$AK,8,0)+VLOOKUP($C137,'[15]2024 COBs'!$AA:$AK,9,0)+VLOOKUP($C137,'[15]2024 COBs'!$AA:$AK,10,0)+VLOOKUP($C137,'[15]2024 COBs'!$AA:$AK,11,0))*14%,"")</f>
        <v>573.53639931213911</v>
      </c>
      <c r="Y137" s="79">
        <f>IFERROR(VLOOKUP($C137,'[15]2024 COBs'!$AA:$AK,4,0),"")</f>
        <v>1280.2151770360247</v>
      </c>
      <c r="Z137" s="80">
        <f t="shared" si="10"/>
        <v>19356</v>
      </c>
      <c r="AF137" s="76" t="s">
        <v>232</v>
      </c>
      <c r="AG137" s="76" t="s">
        <v>232</v>
      </c>
      <c r="AH137" s="78" t="s">
        <v>600</v>
      </c>
      <c r="AI137" s="78" t="s">
        <v>408</v>
      </c>
      <c r="AJ137" s="78"/>
      <c r="AK137" s="78"/>
      <c r="AL137" s="78">
        <v>2</v>
      </c>
      <c r="AM137" s="77" t="s">
        <v>401</v>
      </c>
      <c r="AN137" s="77" t="s">
        <v>390</v>
      </c>
      <c r="AO137" s="79"/>
      <c r="AP137" s="79"/>
      <c r="AQ137" s="79"/>
      <c r="AR137" s="79"/>
      <c r="AS137" s="79"/>
      <c r="AT137" s="79"/>
      <c r="AU137" s="79"/>
      <c r="AV137" s="79"/>
      <c r="AW137" s="79"/>
      <c r="AX137" s="79"/>
      <c r="AY137" s="79"/>
      <c r="AZ137" s="80">
        <f t="shared" si="11"/>
        <v>0</v>
      </c>
      <c r="BK137" s="65" t="s">
        <v>253</v>
      </c>
      <c r="BL137" s="65" t="s">
        <v>397</v>
      </c>
      <c r="BM137" s="65" t="s">
        <v>398</v>
      </c>
      <c r="BN137" s="65">
        <v>1</v>
      </c>
    </row>
    <row r="138" spans="2:66" x14ac:dyDescent="0.25">
      <c r="B138" s="76" t="s">
        <v>252</v>
      </c>
      <c r="C138" s="76" t="s">
        <v>252</v>
      </c>
      <c r="D138" s="77" t="s">
        <v>620</v>
      </c>
      <c r="E138" s="77" t="s">
        <v>408</v>
      </c>
      <c r="F138" s="77"/>
      <c r="G138" s="77"/>
      <c r="H138" s="77">
        <v>3</v>
      </c>
      <c r="I138" s="77" t="s">
        <v>401</v>
      </c>
      <c r="J138" s="77" t="s">
        <v>390</v>
      </c>
      <c r="K138" s="77" t="s">
        <v>17</v>
      </c>
      <c r="L138" s="78" t="str">
        <f t="shared" si="12"/>
        <v/>
      </c>
      <c r="M138" s="77" t="str" cm="1">
        <f t="array" ref="M138">IF(OR(UPPER(TRIM($C138))="BRAZIL",UPPER(TRIM($C138))="INDIA",UPPER(TRIM($C138))="PHILIPPINES"),
   "UNDP OP8 COB - RPA",
   IFERROR(
     VLOOKUP($C138,$BF:$BG,2,0),
     _xlfn.SWITCH(UPPER(TRIM($K138)),
       "N/A","N/A",
       "VACANT","UNDP OP8 COB - Vacant",
       "UNDP","UNDP OP8 COB - UNDP CO",
       "UN COMPOUND","UNDP OP8 COB - UN Compound",
       "UNDP - WFH","UNDP OP8 COB - UNDP WFH",
"UNICEF","UNDP OP8 COB - UNICEF",
       "NHI","n.End of June 2026",
       "PRIVATE LEASE","k.End of Mar 2026",
       ""
     )
   )
)</f>
        <v>UNDP OP8 COB - UNDP CO</v>
      </c>
      <c r="N138" s="77" t="str">
        <f t="shared" si="13"/>
        <v>UNDP Action</v>
      </c>
      <c r="O138" s="79">
        <f>IFERROR(VLOOKUP($C138,'[15]2024 COBs'!$AA:$AK,5,0),"")</f>
        <v>216</v>
      </c>
      <c r="P138" s="79">
        <f>IFERROR((VLOOKUP($C138,'[15]2024 COBs'!$AA:$AK,8,0)+VLOOKUP($C138,'[15]2024 COBs'!$AA:$AK,9,0)+VLOOKUP($C138,'[15]2024 COBs'!$AA:$AK,10,0)+VLOOKUP($C138,'[15]2024 COBs'!$AA:$AK,11,0))*5%,"")</f>
        <v>361.8</v>
      </c>
      <c r="Q138" s="79">
        <f>IFERROR((VLOOKUP($C138,'[15]2024 COBs'!$AA:$AK,8,0)+VLOOKUP($C138,'[15]2024 COBs'!$AA:$AK,9,0)+VLOOKUP($C138,'[15]2024 COBs'!$AA:$AK,10,0)+VLOOKUP($C138,'[15]2024 COBs'!$AA:$AK,11,0))*16%,"")</f>
        <v>1157.76</v>
      </c>
      <c r="R138" s="79"/>
      <c r="S138" s="79">
        <f>IFERROR(VLOOKUP($C138,'[15]2024 COBs'!$AA:$AK,7,0),"")</f>
        <v>60</v>
      </c>
      <c r="T138" s="79">
        <f>IFERROR((VLOOKUP($C138,'[15]2024 COBs'!$AA:$AK,8,0)+VLOOKUP($C138,'[15]2024 COBs'!$AA:$AK,9,0)+VLOOKUP($C138,'[15]2024 COBs'!$AA:$AK,10,0)+VLOOKUP($C138,'[15]2024 COBs'!$AA:$AK,11,0))*20%,"")</f>
        <v>1447.2</v>
      </c>
      <c r="U138" s="79">
        <f>IFERROR(VLOOKUP($C138,'[15]2024 COBs'!$AA:$AK,6,0),"")</f>
        <v>2160</v>
      </c>
      <c r="V138" s="79">
        <f>IFERROR((VLOOKUP($C138,'[15]2024 COBs'!$AA:$AK,8,0)+VLOOKUP($C138,'[15]2024 COBs'!$AA:$AK,9,0)+VLOOKUP($C138,'[15]2024 COBs'!$AA:$AK,10,0)+VLOOKUP($C138,'[15]2024 COBs'!$AA:$AK,11,0))*18%,"")</f>
        <v>1302.48</v>
      </c>
      <c r="W138" s="79">
        <f>IFERROR((VLOOKUP($C138,'[15]2024 COBs'!$AA:$AK,8,0)+VLOOKUP($C138,'[15]2024 COBs'!$AA:$AK,9,0)+VLOOKUP($C138,'[15]2024 COBs'!$AA:$AK,10,0)+VLOOKUP($C138,'[15]2024 COBs'!$AA:$AK,11,0))*27%,"")</f>
        <v>1953.72</v>
      </c>
      <c r="X138" s="79">
        <f>IFERROR((VLOOKUP($C138,'[15]2024 COBs'!$AA:$AK,8,0)+VLOOKUP($C138,'[15]2024 COBs'!$AA:$AK,9,0)+VLOOKUP($C138,'[15]2024 COBs'!$AA:$AK,10,0)+VLOOKUP($C138,'[15]2024 COBs'!$AA:$AK,11,0))*14%,"")</f>
        <v>1013.0400000000001</v>
      </c>
      <c r="Y138" s="79">
        <f>IFERROR(VLOOKUP($C138,'[15]2024 COBs'!$AA:$AK,4,0),"")</f>
        <v>480</v>
      </c>
      <c r="Z138" s="80">
        <f t="shared" si="10"/>
        <v>10152</v>
      </c>
      <c r="AF138" s="76" t="s">
        <v>515</v>
      </c>
      <c r="AG138" s="76" t="s">
        <v>515</v>
      </c>
      <c r="AH138" s="78" t="s">
        <v>601</v>
      </c>
      <c r="AI138" s="78" t="s">
        <v>408</v>
      </c>
      <c r="AJ138" s="78"/>
      <c r="AK138" s="78"/>
      <c r="AL138" s="78">
        <v>1</v>
      </c>
      <c r="AM138" s="77" t="s">
        <v>389</v>
      </c>
      <c r="AN138" s="77" t="s">
        <v>390</v>
      </c>
      <c r="AO138" s="79"/>
      <c r="AP138" s="79"/>
      <c r="AQ138" s="79"/>
      <c r="AR138" s="79"/>
      <c r="AS138" s="79"/>
      <c r="AT138" s="79"/>
      <c r="AU138" s="79"/>
      <c r="AV138" s="79"/>
      <c r="AW138" s="79"/>
      <c r="AX138" s="79"/>
      <c r="AY138" s="79"/>
      <c r="AZ138" s="80">
        <f t="shared" si="11"/>
        <v>0</v>
      </c>
      <c r="BK138" s="65" t="s">
        <v>254</v>
      </c>
      <c r="BL138" s="65" t="s">
        <v>397</v>
      </c>
      <c r="BM138" s="65" t="s">
        <v>456</v>
      </c>
      <c r="BN138" s="65">
        <v>1</v>
      </c>
    </row>
    <row r="139" spans="2:66" x14ac:dyDescent="0.25">
      <c r="B139" s="76" t="s">
        <v>530</v>
      </c>
      <c r="C139" s="76" t="s">
        <v>530</v>
      </c>
      <c r="D139" s="77" t="s">
        <v>611</v>
      </c>
      <c r="E139" s="77" t="s">
        <v>400</v>
      </c>
      <c r="F139" s="77"/>
      <c r="G139" s="77"/>
      <c r="H139" s="77">
        <v>3</v>
      </c>
      <c r="I139" s="77" t="s">
        <v>389</v>
      </c>
      <c r="J139" s="77" t="s">
        <v>390</v>
      </c>
      <c r="K139" s="77" t="s">
        <v>17</v>
      </c>
      <c r="L139" s="78" t="str">
        <f t="shared" si="12"/>
        <v>Yes</v>
      </c>
      <c r="M139" s="77" t="str" cm="1">
        <f t="array" ref="M139">IF(OR(UPPER(TRIM($C139))="BRAZIL",UPPER(TRIM($C139))="INDIA",UPPER(TRIM($C139))="PHILIPPINES"),
   "UNDP OP8 COB - RPA",
   IFERROR(
     VLOOKUP($C139,$BF:$BG,2,0),
     _xlfn.SWITCH(UPPER(TRIM($K139)),
       "N/A","N/A",
       "VACANT","UNDP OP8 COB - Vacant",
       "UNDP","UNDP OP8 COB - UNDP CO",
       "UN COMPOUND","UNDP OP8 COB - UN Compound",
       "UNDP - WFH","UNDP OP8 COB - UNDP WFH",
"UNICEF","UNDP OP8 COB - UNICEF",
       "NHI","n.End of June 2026",
       "PRIVATE LEASE","k.End of Mar 2026",
       ""
     )
   )
)</f>
        <v>n.End of June 2026</v>
      </c>
      <c r="N139" s="77" t="str">
        <f t="shared" si="13"/>
        <v>UNOPS Action</v>
      </c>
      <c r="O139" s="79">
        <f>IFERROR(VLOOKUP($C139,'[15]2024 COBs'!$AA:$AK,5,0),"")</f>
        <v>3525</v>
      </c>
      <c r="P139" s="79">
        <f>IFERROR((VLOOKUP($C139,'[15]2024 COBs'!$AA:$AK,8,0)+VLOOKUP($C139,'[15]2024 COBs'!$AA:$AK,9,0)+VLOOKUP($C139,'[15]2024 COBs'!$AA:$AK,10,0)+VLOOKUP($C139,'[15]2024 COBs'!$AA:$AK,11,0))*5%,"")</f>
        <v>388.125</v>
      </c>
      <c r="Q139" s="79">
        <f>IFERROR((VLOOKUP($C139,'[15]2024 COBs'!$AA:$AK,8,0)+VLOOKUP($C139,'[15]2024 COBs'!$AA:$AK,9,0)+VLOOKUP($C139,'[15]2024 COBs'!$AA:$AK,10,0)+VLOOKUP($C139,'[15]2024 COBs'!$AA:$AK,11,0))*16%,"")</f>
        <v>1242</v>
      </c>
      <c r="R139" s="79"/>
      <c r="S139" s="79">
        <f>IFERROR(VLOOKUP($C139,'[15]2024 COBs'!$AA:$AK,7,0),"")</f>
        <v>0</v>
      </c>
      <c r="T139" s="79">
        <f>IFERROR((VLOOKUP($C139,'[15]2024 COBs'!$AA:$AK,8,0)+VLOOKUP($C139,'[15]2024 COBs'!$AA:$AK,9,0)+VLOOKUP($C139,'[15]2024 COBs'!$AA:$AK,10,0)+VLOOKUP($C139,'[15]2024 COBs'!$AA:$AK,11,0))*20%,"")</f>
        <v>1552.5</v>
      </c>
      <c r="U139" s="79">
        <f>IFERROR(VLOOKUP($C139,'[15]2024 COBs'!$AA:$AK,6,0),"")</f>
        <v>3450</v>
      </c>
      <c r="V139" s="79">
        <f>IFERROR((VLOOKUP($C139,'[15]2024 COBs'!$AA:$AK,8,0)+VLOOKUP($C139,'[15]2024 COBs'!$AA:$AK,9,0)+VLOOKUP($C139,'[15]2024 COBs'!$AA:$AK,10,0)+VLOOKUP($C139,'[15]2024 COBs'!$AA:$AK,11,0))*18%,"")</f>
        <v>1397.25</v>
      </c>
      <c r="W139" s="79">
        <f>IFERROR((VLOOKUP($C139,'[15]2024 COBs'!$AA:$AK,8,0)+VLOOKUP($C139,'[15]2024 COBs'!$AA:$AK,9,0)+VLOOKUP($C139,'[15]2024 COBs'!$AA:$AK,10,0)+VLOOKUP($C139,'[15]2024 COBs'!$AA:$AK,11,0))*27%,"")</f>
        <v>2095.875</v>
      </c>
      <c r="X139" s="79">
        <f>IFERROR((VLOOKUP($C139,'[15]2024 COBs'!$AA:$AK,8,0)+VLOOKUP($C139,'[15]2024 COBs'!$AA:$AK,9,0)+VLOOKUP($C139,'[15]2024 COBs'!$AA:$AK,10,0)+VLOOKUP($C139,'[15]2024 COBs'!$AA:$AK,11,0))*14%,"")</f>
        <v>1086.75</v>
      </c>
      <c r="Y139" s="79">
        <f>IFERROR(VLOOKUP($C139,'[15]2024 COBs'!$AA:$AK,4,0),"")</f>
        <v>7500.0000000000009</v>
      </c>
      <c r="Z139" s="80">
        <f t="shared" si="10"/>
        <v>22237.5</v>
      </c>
      <c r="AF139" s="76" t="s">
        <v>612</v>
      </c>
      <c r="AG139" s="76" t="s">
        <v>522</v>
      </c>
      <c r="AH139" s="78" t="s">
        <v>613</v>
      </c>
      <c r="AI139" s="78" t="s">
        <v>408</v>
      </c>
      <c r="AJ139" s="78" t="s">
        <v>409</v>
      </c>
      <c r="AK139" s="78"/>
      <c r="AL139" s="78">
        <v>3</v>
      </c>
      <c r="AM139" s="77" t="s">
        <v>389</v>
      </c>
      <c r="AN139" s="77" t="s">
        <v>390</v>
      </c>
      <c r="AO139" s="79"/>
      <c r="AP139" s="79"/>
      <c r="AQ139" s="79"/>
      <c r="AR139" s="79"/>
      <c r="AS139" s="79"/>
      <c r="AT139" s="79"/>
      <c r="AU139" s="79"/>
      <c r="AV139" s="79"/>
      <c r="AW139" s="79"/>
      <c r="AX139" s="79"/>
      <c r="AY139" s="79"/>
      <c r="AZ139" s="80">
        <f t="shared" si="11"/>
        <v>0</v>
      </c>
      <c r="BK139" s="65" t="s">
        <v>254</v>
      </c>
      <c r="BL139" s="65" t="s">
        <v>411</v>
      </c>
      <c r="BM139" s="65" t="s">
        <v>396</v>
      </c>
      <c r="BN139" s="65">
        <v>1</v>
      </c>
    </row>
    <row r="140" spans="2:66" x14ac:dyDescent="0.25">
      <c r="B140" s="76" t="s">
        <v>253</v>
      </c>
      <c r="C140" s="76" t="s">
        <v>253</v>
      </c>
      <c r="D140" s="77" t="s">
        <v>583</v>
      </c>
      <c r="E140" s="77" t="s">
        <v>388</v>
      </c>
      <c r="F140" s="77" t="s">
        <v>409</v>
      </c>
      <c r="G140" s="77"/>
      <c r="H140" s="77">
        <v>3</v>
      </c>
      <c r="I140" s="77" t="s">
        <v>401</v>
      </c>
      <c r="J140" s="77" t="s">
        <v>390</v>
      </c>
      <c r="K140" s="77" t="s">
        <v>562</v>
      </c>
      <c r="L140" s="78" t="str">
        <f t="shared" si="12"/>
        <v/>
      </c>
      <c r="M140" s="77" t="str" cm="1">
        <f t="array" ref="M140">IF(OR(UPPER(TRIM($C140))="BRAZIL",UPPER(TRIM($C140))="INDIA",UPPER(TRIM($C140))="PHILIPPINES"),
   "UNDP OP8 COB - RPA",
   IFERROR(
     VLOOKUP($C140,$BF:$BG,2,0),
     _xlfn.SWITCH(UPPER(TRIM($K140)),
       "N/A","N/A",
       "VACANT","UNDP OP8 COB - Vacant",
       "UNDP","UNDP OP8 COB - UNDP CO",
       "UN COMPOUND","UNDP OP8 COB - UN Compound",
       "UNDP - WFH","UNDP OP8 COB - UNDP WFH",
"UNICEF","UNDP OP8 COB - UNICEF",
       "NHI","n.End of June 2026",
       "PRIVATE LEASE","k.End of Mar 2026",
       ""
     )
   )
)</f>
        <v>UNDP OP8 COB - UN Compound</v>
      </c>
      <c r="N140" s="77" t="str">
        <f t="shared" si="13"/>
        <v>UNDP Action</v>
      </c>
      <c r="O140" s="79">
        <f>IFERROR(VLOOKUP($C140,'[15]2024 COBs'!$AA:$AK,5,0),"")</f>
        <v>4260</v>
      </c>
      <c r="P140" s="79">
        <f>IFERROR((VLOOKUP($C140,'[15]2024 COBs'!$AA:$AK,8,0)+VLOOKUP($C140,'[15]2024 COBs'!$AA:$AK,9,0)+VLOOKUP($C140,'[15]2024 COBs'!$AA:$AK,10,0)+VLOOKUP($C140,'[15]2024 COBs'!$AA:$AK,11,0))*5%,"")</f>
        <v>78</v>
      </c>
      <c r="Q140" s="79">
        <f>IFERROR((VLOOKUP($C140,'[15]2024 COBs'!$AA:$AK,8,0)+VLOOKUP($C140,'[15]2024 COBs'!$AA:$AK,9,0)+VLOOKUP($C140,'[15]2024 COBs'!$AA:$AK,10,0)+VLOOKUP($C140,'[15]2024 COBs'!$AA:$AK,11,0))*16%,"")</f>
        <v>249.6</v>
      </c>
      <c r="R140" s="79"/>
      <c r="S140" s="79">
        <f>IFERROR(VLOOKUP($C140,'[15]2024 COBs'!$AA:$AK,7,0),"")</f>
        <v>180</v>
      </c>
      <c r="T140" s="79">
        <f>IFERROR((VLOOKUP($C140,'[15]2024 COBs'!$AA:$AK,8,0)+VLOOKUP($C140,'[15]2024 COBs'!$AA:$AK,9,0)+VLOOKUP($C140,'[15]2024 COBs'!$AA:$AK,10,0)+VLOOKUP($C140,'[15]2024 COBs'!$AA:$AK,11,0))*20%,"")</f>
        <v>312</v>
      </c>
      <c r="U140" s="79">
        <f>IFERROR(VLOOKUP($C140,'[15]2024 COBs'!$AA:$AK,6,0),"")</f>
        <v>17124</v>
      </c>
      <c r="V140" s="79">
        <f>IFERROR((VLOOKUP($C140,'[15]2024 COBs'!$AA:$AK,8,0)+VLOOKUP($C140,'[15]2024 COBs'!$AA:$AK,9,0)+VLOOKUP($C140,'[15]2024 COBs'!$AA:$AK,10,0)+VLOOKUP($C140,'[15]2024 COBs'!$AA:$AK,11,0))*18%,"")</f>
        <v>280.8</v>
      </c>
      <c r="W140" s="79">
        <f>IFERROR((VLOOKUP($C140,'[15]2024 COBs'!$AA:$AK,8,0)+VLOOKUP($C140,'[15]2024 COBs'!$AA:$AK,9,0)+VLOOKUP($C140,'[15]2024 COBs'!$AA:$AK,10,0)+VLOOKUP($C140,'[15]2024 COBs'!$AA:$AK,11,0))*27%,"")</f>
        <v>421.20000000000005</v>
      </c>
      <c r="X140" s="79">
        <f>IFERROR((VLOOKUP($C140,'[15]2024 COBs'!$AA:$AK,8,0)+VLOOKUP($C140,'[15]2024 COBs'!$AA:$AK,9,0)+VLOOKUP($C140,'[15]2024 COBs'!$AA:$AK,10,0)+VLOOKUP($C140,'[15]2024 COBs'!$AA:$AK,11,0))*14%,"")</f>
        <v>218.40000000000003</v>
      </c>
      <c r="Y140" s="79">
        <f>IFERROR(VLOOKUP($C140,'[15]2024 COBs'!$AA:$AK,4,0),"")</f>
        <v>1728</v>
      </c>
      <c r="Z140" s="80">
        <f t="shared" si="10"/>
        <v>24852</v>
      </c>
      <c r="AF140" s="76" t="s">
        <v>240</v>
      </c>
      <c r="AG140" s="76" t="s">
        <v>240</v>
      </c>
      <c r="AH140" s="78" t="s">
        <v>615</v>
      </c>
      <c r="AI140" s="78" t="s">
        <v>408</v>
      </c>
      <c r="AJ140" s="78" t="s">
        <v>409</v>
      </c>
      <c r="AK140" s="78"/>
      <c r="AL140" s="78">
        <v>2</v>
      </c>
      <c r="AM140" s="77" t="s">
        <v>401</v>
      </c>
      <c r="AN140" s="77" t="s">
        <v>390</v>
      </c>
      <c r="AO140" s="79"/>
      <c r="AP140" s="79"/>
      <c r="AQ140" s="79"/>
      <c r="AR140" s="79"/>
      <c r="AS140" s="79"/>
      <c r="AT140" s="79"/>
      <c r="AU140" s="79"/>
      <c r="AV140" s="79"/>
      <c r="AW140" s="79"/>
      <c r="AX140" s="79"/>
      <c r="AY140" s="79"/>
      <c r="AZ140" s="80">
        <f t="shared" si="11"/>
        <v>0</v>
      </c>
      <c r="BK140" s="65" t="s">
        <v>533</v>
      </c>
      <c r="BL140" s="65" t="s">
        <v>411</v>
      </c>
      <c r="BM140" s="65" t="s">
        <v>415</v>
      </c>
      <c r="BN140" s="65">
        <v>1</v>
      </c>
    </row>
    <row r="141" spans="2:66" x14ac:dyDescent="0.25">
      <c r="B141" s="76" t="s">
        <v>254</v>
      </c>
      <c r="C141" s="76" t="s">
        <v>254</v>
      </c>
      <c r="D141" s="77" t="s">
        <v>621</v>
      </c>
      <c r="E141" s="77" t="s">
        <v>408</v>
      </c>
      <c r="F141" s="77"/>
      <c r="G141" s="77"/>
      <c r="H141" s="77">
        <v>1</v>
      </c>
      <c r="I141" s="77" t="s">
        <v>435</v>
      </c>
      <c r="J141" s="77" t="s">
        <v>390</v>
      </c>
      <c r="K141" s="77" t="s">
        <v>17</v>
      </c>
      <c r="L141" s="78" t="str">
        <f t="shared" si="12"/>
        <v>Yes</v>
      </c>
      <c r="M141" s="77" t="str" cm="1">
        <f t="array" ref="M141">IF(OR(UPPER(TRIM($C141))="BRAZIL",UPPER(TRIM($C141))="INDIA",UPPER(TRIM($C141))="PHILIPPINES"),
   "UNDP OP8 COB - RPA",
   IFERROR(
     VLOOKUP($C141,$BF:$BG,2,0),
     _xlfn.SWITCH(UPPER(TRIM($K141)),
       "N/A","N/A",
       "VACANT","UNDP OP8 COB - Vacant",
       "UNDP","UNDP OP8 COB - UNDP CO",
       "UN COMPOUND","UNDP OP8 COB - UN Compound",
       "UNDP - WFH","UNDP OP8 COB - UNDP WFH",
"UNICEF","UNDP OP8 COB - UNICEF",
       "NHI","n.End of June 2026",
       "PRIVATE LEASE","k.End of Mar 2026",
       ""
     )
   )
)</f>
        <v>n.End of June 2026</v>
      </c>
      <c r="N141" s="77" t="str">
        <f t="shared" si="13"/>
        <v>UNOPS Action</v>
      </c>
      <c r="O141" s="79">
        <f>IFERROR(VLOOKUP($C141,'[15]2024 COBs'!$AA:$AK,5,0),"")</f>
        <v>3600</v>
      </c>
      <c r="P141" s="79">
        <f>IFERROR((VLOOKUP($C141,'[15]2024 COBs'!$AA:$AK,8,0)+VLOOKUP($C141,'[15]2024 COBs'!$AA:$AK,9,0)+VLOOKUP($C141,'[15]2024 COBs'!$AA:$AK,10,0)+VLOOKUP($C141,'[15]2024 COBs'!$AA:$AK,11,0))*5%,"")</f>
        <v>221.31</v>
      </c>
      <c r="Q141" s="79">
        <f>IFERROR((VLOOKUP($C141,'[15]2024 COBs'!$AA:$AK,8,0)+VLOOKUP($C141,'[15]2024 COBs'!$AA:$AK,9,0)+VLOOKUP($C141,'[15]2024 COBs'!$AA:$AK,10,0)+VLOOKUP($C141,'[15]2024 COBs'!$AA:$AK,11,0))*16%,"")</f>
        <v>708.19200000000001</v>
      </c>
      <c r="R141" s="79"/>
      <c r="S141" s="79">
        <f>IFERROR(VLOOKUP($C141,'[15]2024 COBs'!$AA:$AK,7,0),"")</f>
        <v>0</v>
      </c>
      <c r="T141" s="79">
        <f>IFERROR((VLOOKUP($C141,'[15]2024 COBs'!$AA:$AK,8,0)+VLOOKUP($C141,'[15]2024 COBs'!$AA:$AK,9,0)+VLOOKUP($C141,'[15]2024 COBs'!$AA:$AK,10,0)+VLOOKUP($C141,'[15]2024 COBs'!$AA:$AK,11,0))*20%,"")</f>
        <v>885.24</v>
      </c>
      <c r="U141" s="79">
        <f>IFERROR(VLOOKUP($C141,'[15]2024 COBs'!$AA:$AK,6,0),"")</f>
        <v>4799.9999999999991</v>
      </c>
      <c r="V141" s="79">
        <f>IFERROR((VLOOKUP($C141,'[15]2024 COBs'!$AA:$AK,8,0)+VLOOKUP($C141,'[15]2024 COBs'!$AA:$AK,9,0)+VLOOKUP($C141,'[15]2024 COBs'!$AA:$AK,10,0)+VLOOKUP($C141,'[15]2024 COBs'!$AA:$AK,11,0))*18%,"")</f>
        <v>796.71599999999989</v>
      </c>
      <c r="W141" s="79">
        <f>IFERROR((VLOOKUP($C141,'[15]2024 COBs'!$AA:$AK,8,0)+VLOOKUP($C141,'[15]2024 COBs'!$AA:$AK,9,0)+VLOOKUP($C141,'[15]2024 COBs'!$AA:$AK,10,0)+VLOOKUP($C141,'[15]2024 COBs'!$AA:$AK,11,0))*27%,"")</f>
        <v>1195.0740000000001</v>
      </c>
      <c r="X141" s="79">
        <f>IFERROR((VLOOKUP($C141,'[15]2024 COBs'!$AA:$AK,8,0)+VLOOKUP($C141,'[15]2024 COBs'!$AA:$AK,9,0)+VLOOKUP($C141,'[15]2024 COBs'!$AA:$AK,10,0)+VLOOKUP($C141,'[15]2024 COBs'!$AA:$AK,11,0))*14%,"")</f>
        <v>619.66800000000001</v>
      </c>
      <c r="Y141" s="79">
        <f>IFERROR(VLOOKUP($C141,'[15]2024 COBs'!$AA:$AK,4,0),"")</f>
        <v>599.99999999999989</v>
      </c>
      <c r="Z141" s="80">
        <f t="shared" si="10"/>
        <v>13426.199999999999</v>
      </c>
      <c r="AF141" s="76" t="s">
        <v>616</v>
      </c>
      <c r="AG141" s="76" t="s">
        <v>614</v>
      </c>
      <c r="AH141" s="78" t="s">
        <v>617</v>
      </c>
      <c r="AI141" s="78" t="s">
        <v>408</v>
      </c>
      <c r="AJ141" s="78" t="s">
        <v>409</v>
      </c>
      <c r="AK141" s="78"/>
      <c r="AL141" s="78">
        <v>5</v>
      </c>
      <c r="AM141" s="77" t="s">
        <v>421</v>
      </c>
      <c r="AN141" s="77" t="s">
        <v>439</v>
      </c>
      <c r="AO141" s="79"/>
      <c r="AP141" s="79"/>
      <c r="AQ141" s="79"/>
      <c r="AR141" s="79"/>
      <c r="AS141" s="79"/>
      <c r="AT141" s="79"/>
      <c r="AU141" s="79"/>
      <c r="AV141" s="79"/>
      <c r="AW141" s="79"/>
      <c r="AX141" s="79"/>
      <c r="AY141" s="79"/>
      <c r="AZ141" s="80">
        <f t="shared" si="11"/>
        <v>0</v>
      </c>
      <c r="BK141" s="65" t="s">
        <v>533</v>
      </c>
      <c r="BL141" s="65" t="s">
        <v>411</v>
      </c>
      <c r="BM141" s="65" t="s">
        <v>396</v>
      </c>
      <c r="BN141" s="65">
        <v>1</v>
      </c>
    </row>
    <row r="142" spans="2:66" x14ac:dyDescent="0.25">
      <c r="B142" s="76" t="s">
        <v>533</v>
      </c>
      <c r="C142" s="76" t="s">
        <v>533</v>
      </c>
      <c r="D142" s="77" t="s">
        <v>584</v>
      </c>
      <c r="E142" s="77" t="s">
        <v>388</v>
      </c>
      <c r="F142" s="77"/>
      <c r="G142" s="77"/>
      <c r="H142" s="77">
        <v>3</v>
      </c>
      <c r="I142" s="77" t="s">
        <v>389</v>
      </c>
      <c r="J142" s="77" t="s">
        <v>390</v>
      </c>
      <c r="K142" s="77" t="s">
        <v>17</v>
      </c>
      <c r="L142" s="78" t="str">
        <f t="shared" si="12"/>
        <v>Yes</v>
      </c>
      <c r="M142" s="77" t="str" cm="1">
        <f t="array" ref="M142">IF(OR(UPPER(TRIM($C142))="BRAZIL",UPPER(TRIM($C142))="INDIA",UPPER(TRIM($C142))="PHILIPPINES"),
   "UNDP OP8 COB - RPA",
   IFERROR(
     VLOOKUP($C142,$BF:$BG,2,0),
     _xlfn.SWITCH(UPPER(TRIM($K142)),
       "N/A","N/A",
       "VACANT","UNDP OP8 COB - Vacant",
       "UNDP","UNDP OP8 COB - UNDP CO",
       "UN COMPOUND","UNDP OP8 COB - UN Compound",
       "UNDP - WFH","UNDP OP8 COB - UNDP WFH",
"UNICEF","UNDP OP8 COB - UNICEF",
       "NHI","n.End of June 2026",
       "PRIVATE LEASE","k.End of Mar 2026",
       ""
     )
   )
)</f>
        <v>k.End of Mar 2026</v>
      </c>
      <c r="N142" s="77" t="str">
        <f t="shared" si="13"/>
        <v>UNOPS Action</v>
      </c>
      <c r="O142" s="79">
        <f>IFERROR(VLOOKUP($C142,'[15]2024 COBs'!$AA:$AK,5,0),"")</f>
        <v>5000</v>
      </c>
      <c r="P142" s="79">
        <f>IFERROR((VLOOKUP($C142,'[15]2024 COBs'!$AA:$AK,8,0)+VLOOKUP($C142,'[15]2024 COBs'!$AA:$AK,9,0)+VLOOKUP($C142,'[15]2024 COBs'!$AA:$AK,10,0)+VLOOKUP($C142,'[15]2024 COBs'!$AA:$AK,11,0))*5%,"")</f>
        <v>155</v>
      </c>
      <c r="Q142" s="79">
        <f>IFERROR((VLOOKUP($C142,'[15]2024 COBs'!$AA:$AK,8,0)+VLOOKUP($C142,'[15]2024 COBs'!$AA:$AK,9,0)+VLOOKUP($C142,'[15]2024 COBs'!$AA:$AK,10,0)+VLOOKUP($C142,'[15]2024 COBs'!$AA:$AK,11,0))*16%,"")</f>
        <v>496</v>
      </c>
      <c r="R142" s="79"/>
      <c r="S142" s="79">
        <f>IFERROR(VLOOKUP($C142,'[15]2024 COBs'!$AA:$AK,7,0),"")</f>
        <v>0</v>
      </c>
      <c r="T142" s="79">
        <f>IFERROR((VLOOKUP($C142,'[15]2024 COBs'!$AA:$AK,8,0)+VLOOKUP($C142,'[15]2024 COBs'!$AA:$AK,9,0)+VLOOKUP($C142,'[15]2024 COBs'!$AA:$AK,10,0)+VLOOKUP($C142,'[15]2024 COBs'!$AA:$AK,11,0))*20%,"")</f>
        <v>620</v>
      </c>
      <c r="U142" s="79">
        <f>IFERROR(VLOOKUP($C142,'[15]2024 COBs'!$AA:$AK,6,0),"")</f>
        <v>7000</v>
      </c>
      <c r="V142" s="79">
        <f>IFERROR((VLOOKUP($C142,'[15]2024 COBs'!$AA:$AK,8,0)+VLOOKUP($C142,'[15]2024 COBs'!$AA:$AK,9,0)+VLOOKUP($C142,'[15]2024 COBs'!$AA:$AK,10,0)+VLOOKUP($C142,'[15]2024 COBs'!$AA:$AK,11,0))*18%,"")</f>
        <v>558</v>
      </c>
      <c r="W142" s="79">
        <f>IFERROR((VLOOKUP($C142,'[15]2024 COBs'!$AA:$AK,8,0)+VLOOKUP($C142,'[15]2024 COBs'!$AA:$AK,9,0)+VLOOKUP($C142,'[15]2024 COBs'!$AA:$AK,10,0)+VLOOKUP($C142,'[15]2024 COBs'!$AA:$AK,11,0))*27%,"")</f>
        <v>837</v>
      </c>
      <c r="X142" s="79">
        <f>IFERROR((VLOOKUP($C142,'[15]2024 COBs'!$AA:$AK,8,0)+VLOOKUP($C142,'[15]2024 COBs'!$AA:$AK,9,0)+VLOOKUP($C142,'[15]2024 COBs'!$AA:$AK,10,0)+VLOOKUP($C142,'[15]2024 COBs'!$AA:$AK,11,0))*14%,"")</f>
        <v>434.00000000000006</v>
      </c>
      <c r="Y142" s="79">
        <f>IFERROR(VLOOKUP($C142,'[15]2024 COBs'!$AA:$AK,4,0),"")</f>
        <v>900</v>
      </c>
      <c r="Z142" s="80">
        <f t="shared" si="10"/>
        <v>16000</v>
      </c>
      <c r="AF142" s="76" t="s">
        <v>241</v>
      </c>
      <c r="AG142" s="76" t="s">
        <v>241</v>
      </c>
      <c r="AH142" s="78" t="s">
        <v>618</v>
      </c>
      <c r="AI142" s="78" t="s">
        <v>408</v>
      </c>
      <c r="AJ142" s="78"/>
      <c r="AK142" s="78"/>
      <c r="AL142" s="78">
        <v>2</v>
      </c>
      <c r="AM142" s="77" t="s">
        <v>401</v>
      </c>
      <c r="AN142" s="77" t="s">
        <v>390</v>
      </c>
      <c r="AO142" s="79"/>
      <c r="AP142" s="79"/>
      <c r="AQ142" s="79"/>
      <c r="AR142" s="79"/>
      <c r="AS142" s="79"/>
      <c r="AT142" s="79"/>
      <c r="AU142" s="79"/>
      <c r="AV142" s="79"/>
      <c r="AW142" s="79"/>
      <c r="AX142" s="79"/>
      <c r="AY142" s="79"/>
      <c r="AZ142" s="80">
        <f t="shared" si="11"/>
        <v>0</v>
      </c>
      <c r="BK142" s="65" t="s">
        <v>539</v>
      </c>
      <c r="BL142" s="65" t="s">
        <v>411</v>
      </c>
      <c r="BM142" s="65" t="s">
        <v>396</v>
      </c>
      <c r="BN142" s="65">
        <v>1</v>
      </c>
    </row>
    <row r="143" spans="2:66" x14ac:dyDescent="0.25">
      <c r="B143" s="76" t="s">
        <v>539</v>
      </c>
      <c r="C143" s="76" t="s">
        <v>539</v>
      </c>
      <c r="D143" s="77" t="s">
        <v>598</v>
      </c>
      <c r="E143" s="77" t="s">
        <v>404</v>
      </c>
      <c r="F143" s="77"/>
      <c r="G143" s="77"/>
      <c r="H143" s="77">
        <v>3</v>
      </c>
      <c r="I143" s="77" t="s">
        <v>389</v>
      </c>
      <c r="J143" s="77" t="s">
        <v>390</v>
      </c>
      <c r="K143" s="77" t="s">
        <v>17</v>
      </c>
      <c r="L143" s="78" t="str">
        <f t="shared" si="12"/>
        <v>Yes</v>
      </c>
      <c r="M143" s="77" t="str" cm="1">
        <f t="array" ref="M143">IF(OR(UPPER(TRIM($C143))="BRAZIL",UPPER(TRIM($C143))="INDIA",UPPER(TRIM($C143))="PHILIPPINES"),
   "UNDP OP8 COB - RPA",
   IFERROR(
     VLOOKUP($C143,$BF:$BG,2,0),
     _xlfn.SWITCH(UPPER(TRIM($K143)),
       "N/A","N/A",
       "VACANT","UNDP OP8 COB - Vacant",
       "UNDP","UNDP OP8 COB - UNDP CO",
       "UN COMPOUND","UNDP OP8 COB - UN Compound",
       "UNDP - WFH","UNDP OP8 COB - UNDP WFH",
"UNICEF","UNDP OP8 COB - UNICEF",
       "NHI","n.End of June 2026",
       "PRIVATE LEASE","k.End of Mar 2026",
       ""
     )
   )
)</f>
        <v>n.End of June 2026</v>
      </c>
      <c r="N143" s="77" t="str">
        <f t="shared" si="13"/>
        <v>UNOPS Action</v>
      </c>
      <c r="O143" s="79">
        <f>IFERROR(VLOOKUP($C143,'[15]2024 COBs'!$AA:$AK,5,0),"")</f>
        <v>24045.599999999999</v>
      </c>
      <c r="P143" s="79">
        <f>IFERROR((VLOOKUP($C143,'[15]2024 COBs'!$AA:$AK,8,0)+VLOOKUP($C143,'[15]2024 COBs'!$AA:$AK,9,0)+VLOOKUP($C143,'[15]2024 COBs'!$AA:$AK,10,0)+VLOOKUP($C143,'[15]2024 COBs'!$AA:$AK,11,0))*5%,"")</f>
        <v>32.4</v>
      </c>
      <c r="Q143" s="79">
        <f>IFERROR((VLOOKUP($C143,'[15]2024 COBs'!$AA:$AK,8,0)+VLOOKUP($C143,'[15]2024 COBs'!$AA:$AK,9,0)+VLOOKUP($C143,'[15]2024 COBs'!$AA:$AK,10,0)+VLOOKUP($C143,'[15]2024 COBs'!$AA:$AK,11,0))*16%,"")</f>
        <v>103.67999999999998</v>
      </c>
      <c r="R143" s="79"/>
      <c r="S143" s="79">
        <f>IFERROR(VLOOKUP($C143,'[15]2024 COBs'!$AA:$AK,7,0),"")</f>
        <v>180</v>
      </c>
      <c r="T143" s="79">
        <f>IFERROR((VLOOKUP($C143,'[15]2024 COBs'!$AA:$AK,8,0)+VLOOKUP($C143,'[15]2024 COBs'!$AA:$AK,9,0)+VLOOKUP($C143,'[15]2024 COBs'!$AA:$AK,10,0)+VLOOKUP($C143,'[15]2024 COBs'!$AA:$AK,11,0))*20%,"")</f>
        <v>129.6</v>
      </c>
      <c r="U143" s="79">
        <f>IFERROR(VLOOKUP($C143,'[15]2024 COBs'!$AA:$AK,6,0),"")</f>
        <v>26034.6</v>
      </c>
      <c r="V143" s="79">
        <f>IFERROR((VLOOKUP($C143,'[15]2024 COBs'!$AA:$AK,8,0)+VLOOKUP($C143,'[15]2024 COBs'!$AA:$AK,9,0)+VLOOKUP($C143,'[15]2024 COBs'!$AA:$AK,10,0)+VLOOKUP($C143,'[15]2024 COBs'!$AA:$AK,11,0))*18%,"")</f>
        <v>116.63999999999997</v>
      </c>
      <c r="W143" s="79">
        <f>IFERROR((VLOOKUP($C143,'[15]2024 COBs'!$AA:$AK,8,0)+VLOOKUP($C143,'[15]2024 COBs'!$AA:$AK,9,0)+VLOOKUP($C143,'[15]2024 COBs'!$AA:$AK,10,0)+VLOOKUP($C143,'[15]2024 COBs'!$AA:$AK,11,0))*27%,"")</f>
        <v>174.95999999999998</v>
      </c>
      <c r="X143" s="79">
        <f>IFERROR((VLOOKUP($C143,'[15]2024 COBs'!$AA:$AK,8,0)+VLOOKUP($C143,'[15]2024 COBs'!$AA:$AK,9,0)+VLOOKUP($C143,'[15]2024 COBs'!$AA:$AK,10,0)+VLOOKUP($C143,'[15]2024 COBs'!$AA:$AK,11,0))*14%,"")</f>
        <v>90.72</v>
      </c>
      <c r="Y143" s="79">
        <f>IFERROR(VLOOKUP($C143,'[15]2024 COBs'!$AA:$AK,4,0),"")</f>
        <v>1800</v>
      </c>
      <c r="Z143" s="80">
        <f t="shared" si="10"/>
        <v>52708.2</v>
      </c>
      <c r="AF143" s="76" t="s">
        <v>247</v>
      </c>
      <c r="AG143" s="76" t="s">
        <v>247</v>
      </c>
      <c r="AH143" s="78" t="s">
        <v>619</v>
      </c>
      <c r="AI143" s="78" t="s">
        <v>408</v>
      </c>
      <c r="AJ143" s="78"/>
      <c r="AK143" s="78"/>
      <c r="AL143" s="78">
        <v>3</v>
      </c>
      <c r="AM143" s="77" t="s">
        <v>401</v>
      </c>
      <c r="AN143" s="77" t="s">
        <v>395</v>
      </c>
      <c r="AO143" s="79"/>
      <c r="AP143" s="79"/>
      <c r="AQ143" s="79"/>
      <c r="AR143" s="79"/>
      <c r="AS143" s="79"/>
      <c r="AT143" s="79"/>
      <c r="AU143" s="79"/>
      <c r="AV143" s="79"/>
      <c r="AW143" s="79"/>
      <c r="AX143" s="79"/>
      <c r="AY143" s="79"/>
      <c r="AZ143" s="80">
        <f t="shared" si="11"/>
        <v>0</v>
      </c>
      <c r="BK143" s="65" t="s">
        <v>255</v>
      </c>
      <c r="BL143" s="65" t="s">
        <v>397</v>
      </c>
      <c r="BM143" s="65" t="s">
        <v>398</v>
      </c>
      <c r="BN143" s="65">
        <v>1</v>
      </c>
    </row>
    <row r="144" spans="2:66" x14ac:dyDescent="0.25">
      <c r="B144" s="76" t="s">
        <v>255</v>
      </c>
      <c r="C144" s="76" t="s">
        <v>255</v>
      </c>
      <c r="D144" s="77" t="s">
        <v>521</v>
      </c>
      <c r="E144" s="77" t="s">
        <v>394</v>
      </c>
      <c r="F144" s="77"/>
      <c r="G144" s="77"/>
      <c r="H144" s="77">
        <v>2</v>
      </c>
      <c r="I144" s="77" t="s">
        <v>401</v>
      </c>
      <c r="J144" s="77" t="s">
        <v>390</v>
      </c>
      <c r="K144" s="77" t="s">
        <v>17</v>
      </c>
      <c r="L144" s="78" t="str">
        <f t="shared" si="12"/>
        <v/>
      </c>
      <c r="M144" s="77" t="str" cm="1">
        <f t="array" ref="M144">IF(OR(UPPER(TRIM($C144))="BRAZIL",UPPER(TRIM($C144))="INDIA",UPPER(TRIM($C144))="PHILIPPINES"),
   "UNDP OP8 COB - RPA",
   IFERROR(
     VLOOKUP($C144,$BF:$BG,2,0),
     _xlfn.SWITCH(UPPER(TRIM($K144)),
       "N/A","N/A",
       "VACANT","UNDP OP8 COB - Vacant",
       "UNDP","UNDP OP8 COB - UNDP CO",
       "UN COMPOUND","UNDP OP8 COB - UN Compound",
       "UNDP - WFH","UNDP OP8 COB - UNDP WFH",
"UNICEF","UNDP OP8 COB - UNICEF",
       "NHI","n.End of June 2026",
       "PRIVATE LEASE","k.End of Mar 2026",
       ""
     )
   )
)</f>
        <v>UNDP OP8 COB - UNDP CO</v>
      </c>
      <c r="N144" s="77" t="str">
        <f t="shared" si="13"/>
        <v>UNDP Action</v>
      </c>
      <c r="O144" s="79">
        <f>IFERROR(VLOOKUP($C144,'[15]2024 COBs'!$AA:$AK,5,0),"")</f>
        <v>19716.892061631217</v>
      </c>
      <c r="P144" s="79">
        <f>IFERROR((VLOOKUP($C144,'[15]2024 COBs'!$AA:$AK,8,0)+VLOOKUP($C144,'[15]2024 COBs'!$AA:$AK,9,0)+VLOOKUP($C144,'[15]2024 COBs'!$AA:$AK,10,0)+VLOOKUP($C144,'[15]2024 COBs'!$AA:$AK,11,0))*5%,"")</f>
        <v>274.67242714788148</v>
      </c>
      <c r="Q144" s="79">
        <f>IFERROR((VLOOKUP($C144,'[15]2024 COBs'!$AA:$AK,8,0)+VLOOKUP($C144,'[15]2024 COBs'!$AA:$AK,9,0)+VLOOKUP($C144,'[15]2024 COBs'!$AA:$AK,10,0)+VLOOKUP($C144,'[15]2024 COBs'!$AA:$AK,11,0))*16%,"")</f>
        <v>878.95176687322066</v>
      </c>
      <c r="R144" s="79"/>
      <c r="S144" s="79">
        <f>IFERROR(VLOOKUP($C144,'[15]2024 COBs'!$AA:$AK,7,0),"")</f>
        <v>248.0112209010216</v>
      </c>
      <c r="T144" s="79">
        <f>IFERROR((VLOOKUP($C144,'[15]2024 COBs'!$AA:$AK,8,0)+VLOOKUP($C144,'[15]2024 COBs'!$AA:$AK,9,0)+VLOOKUP($C144,'[15]2024 COBs'!$AA:$AK,10,0)+VLOOKUP($C144,'[15]2024 COBs'!$AA:$AK,11,0))*20%,"")</f>
        <v>1098.6897085915259</v>
      </c>
      <c r="U144" s="79">
        <f>IFERROR(VLOOKUP($C144,'[15]2024 COBs'!$AA:$AK,6,0),"")</f>
        <v>6355.7008876235141</v>
      </c>
      <c r="V144" s="79">
        <f>IFERROR((VLOOKUP($C144,'[15]2024 COBs'!$AA:$AK,8,0)+VLOOKUP($C144,'[15]2024 COBs'!$AA:$AK,9,0)+VLOOKUP($C144,'[15]2024 COBs'!$AA:$AK,10,0)+VLOOKUP($C144,'[15]2024 COBs'!$AA:$AK,11,0))*18%,"")</f>
        <v>988.82073773237312</v>
      </c>
      <c r="W144" s="79">
        <f>IFERROR((VLOOKUP($C144,'[15]2024 COBs'!$AA:$AK,8,0)+VLOOKUP($C144,'[15]2024 COBs'!$AA:$AK,9,0)+VLOOKUP($C144,'[15]2024 COBs'!$AA:$AK,10,0)+VLOOKUP($C144,'[15]2024 COBs'!$AA:$AK,11,0))*27%,"")</f>
        <v>1483.2311065985598</v>
      </c>
      <c r="X144" s="79">
        <f>IFERROR((VLOOKUP($C144,'[15]2024 COBs'!$AA:$AK,8,0)+VLOOKUP($C144,'[15]2024 COBs'!$AA:$AK,9,0)+VLOOKUP($C144,'[15]2024 COBs'!$AA:$AK,10,0)+VLOOKUP($C144,'[15]2024 COBs'!$AA:$AK,11,0))*14%,"")</f>
        <v>769.08279601406809</v>
      </c>
      <c r="Y144" s="79">
        <f>IFERROR(VLOOKUP($C144,'[15]2024 COBs'!$AA:$AK,4,0),"")</f>
        <v>7675.9472868866187</v>
      </c>
      <c r="Z144" s="80">
        <f t="shared" si="10"/>
        <v>39490.000000000007</v>
      </c>
      <c r="AF144" s="76" t="s">
        <v>252</v>
      </c>
      <c r="AG144" s="76" t="s">
        <v>252</v>
      </c>
      <c r="AH144" s="78" t="s">
        <v>620</v>
      </c>
      <c r="AI144" s="78" t="s">
        <v>408</v>
      </c>
      <c r="AJ144" s="78"/>
      <c r="AK144" s="78"/>
      <c r="AL144" s="78">
        <v>3</v>
      </c>
      <c r="AM144" s="77" t="s">
        <v>401</v>
      </c>
      <c r="AN144" s="77" t="s">
        <v>390</v>
      </c>
      <c r="AO144" s="79"/>
      <c r="AP144" s="79"/>
      <c r="AQ144" s="79"/>
      <c r="AR144" s="79"/>
      <c r="AS144" s="79"/>
      <c r="AT144" s="79"/>
      <c r="AU144" s="79"/>
      <c r="AV144" s="79"/>
      <c r="AW144" s="79"/>
      <c r="AX144" s="79"/>
      <c r="AY144" s="79"/>
      <c r="AZ144" s="80">
        <f t="shared" si="11"/>
        <v>0</v>
      </c>
      <c r="BK144" s="65" t="s">
        <v>256</v>
      </c>
      <c r="BL144" s="65" t="s">
        <v>397</v>
      </c>
      <c r="BM144" s="65" t="s">
        <v>398</v>
      </c>
      <c r="BN144" s="65">
        <v>2</v>
      </c>
    </row>
    <row r="145" spans="2:66" x14ac:dyDescent="0.25">
      <c r="B145" s="76" t="s">
        <v>256</v>
      </c>
      <c r="C145" s="76" t="s">
        <v>256</v>
      </c>
      <c r="D145" s="77" t="s">
        <v>523</v>
      </c>
      <c r="E145" s="77" t="s">
        <v>394</v>
      </c>
      <c r="F145" s="77"/>
      <c r="G145" s="77"/>
      <c r="H145" s="77">
        <v>2</v>
      </c>
      <c r="I145" s="77" t="s">
        <v>401</v>
      </c>
      <c r="J145" s="77" t="s">
        <v>390</v>
      </c>
      <c r="K145" s="77" t="s">
        <v>17</v>
      </c>
      <c r="L145" s="78" t="str">
        <f t="shared" si="12"/>
        <v/>
      </c>
      <c r="M145" s="77" t="str" cm="1">
        <f t="array" ref="M145">IF(OR(UPPER(TRIM($C145))="BRAZIL",UPPER(TRIM($C145))="INDIA",UPPER(TRIM($C145))="PHILIPPINES"),
   "UNDP OP8 COB - RPA",
   IFERROR(
     VLOOKUP($C145,$BF:$BG,2,0),
     _xlfn.SWITCH(UPPER(TRIM($K145)),
       "N/A","N/A",
       "VACANT","UNDP OP8 COB - Vacant",
       "UNDP","UNDP OP8 COB - UNDP CO",
       "UN COMPOUND","UNDP OP8 COB - UN Compound",
       "UNDP - WFH","UNDP OP8 COB - UNDP WFH",
"UNICEF","UNDP OP8 COB - UNICEF",
       "NHI","n.End of June 2026",
       "PRIVATE LEASE","k.End of Mar 2026",
       ""
     )
   )
)</f>
        <v>UNDP OP8 COB - UNDP CO</v>
      </c>
      <c r="N145" s="77" t="str">
        <f t="shared" si="13"/>
        <v>UNDP Action</v>
      </c>
      <c r="O145" s="79">
        <f>IFERROR(VLOOKUP($C145,'[15]2024 COBs'!$AA:$AK,5,0),"")</f>
        <v>19370.747724137931</v>
      </c>
      <c r="P145" s="79">
        <f>IFERROR((VLOOKUP($C145,'[15]2024 COBs'!$AA:$AK,8,0)+VLOOKUP($C145,'[15]2024 COBs'!$AA:$AK,9,0)+VLOOKUP($C145,'[15]2024 COBs'!$AA:$AK,10,0)+VLOOKUP($C145,'[15]2024 COBs'!$AA:$AK,11,0))*5%,"")</f>
        <v>474.88752413793111</v>
      </c>
      <c r="Q145" s="79">
        <f>IFERROR((VLOOKUP($C145,'[15]2024 COBs'!$AA:$AK,8,0)+VLOOKUP($C145,'[15]2024 COBs'!$AA:$AK,9,0)+VLOOKUP($C145,'[15]2024 COBs'!$AA:$AK,10,0)+VLOOKUP($C145,'[15]2024 COBs'!$AA:$AK,11,0))*16%,"")</f>
        <v>1519.6400772413795</v>
      </c>
      <c r="R145" s="79"/>
      <c r="S145" s="79">
        <f>IFERROR(VLOOKUP($C145,'[15]2024 COBs'!$AA:$AK,7,0),"")</f>
        <v>1776.0465517241378</v>
      </c>
      <c r="T145" s="79">
        <f>IFERROR((VLOOKUP($C145,'[15]2024 COBs'!$AA:$AK,8,0)+VLOOKUP($C145,'[15]2024 COBs'!$AA:$AK,9,0)+VLOOKUP($C145,'[15]2024 COBs'!$AA:$AK,10,0)+VLOOKUP($C145,'[15]2024 COBs'!$AA:$AK,11,0))*20%,"")</f>
        <v>1899.5500965517244</v>
      </c>
      <c r="U145" s="79">
        <f>IFERROR(VLOOKUP($C145,'[15]2024 COBs'!$AA:$AK,6,0),"")</f>
        <v>18580.179310344825</v>
      </c>
      <c r="V145" s="79">
        <f>IFERROR((VLOOKUP($C145,'[15]2024 COBs'!$AA:$AK,8,0)+VLOOKUP($C145,'[15]2024 COBs'!$AA:$AK,9,0)+VLOOKUP($C145,'[15]2024 COBs'!$AA:$AK,10,0)+VLOOKUP($C145,'[15]2024 COBs'!$AA:$AK,11,0))*18%,"")</f>
        <v>1709.5950868965519</v>
      </c>
      <c r="W145" s="79">
        <f>IFERROR((VLOOKUP($C145,'[15]2024 COBs'!$AA:$AK,8,0)+VLOOKUP($C145,'[15]2024 COBs'!$AA:$AK,9,0)+VLOOKUP($C145,'[15]2024 COBs'!$AA:$AK,10,0)+VLOOKUP($C145,'[15]2024 COBs'!$AA:$AK,11,0))*27%,"")</f>
        <v>2564.3926303448279</v>
      </c>
      <c r="X145" s="79">
        <f>IFERROR((VLOOKUP($C145,'[15]2024 COBs'!$AA:$AK,8,0)+VLOOKUP($C145,'[15]2024 COBs'!$AA:$AK,9,0)+VLOOKUP($C145,'[15]2024 COBs'!$AA:$AK,10,0)+VLOOKUP($C145,'[15]2024 COBs'!$AA:$AK,11,0))*14%,"")</f>
        <v>1329.6850675862072</v>
      </c>
      <c r="Y145" s="79">
        <f>IFERROR(VLOOKUP($C145,'[15]2024 COBs'!$AA:$AK,4,0),"")</f>
        <v>3601.2759310344827</v>
      </c>
      <c r="Z145" s="80">
        <f t="shared" si="10"/>
        <v>52826</v>
      </c>
      <c r="AF145" s="76" t="s">
        <v>254</v>
      </c>
      <c r="AG145" s="76" t="s">
        <v>254</v>
      </c>
      <c r="AH145" s="78" t="s">
        <v>621</v>
      </c>
      <c r="AI145" s="78" t="s">
        <v>408</v>
      </c>
      <c r="AJ145" s="78"/>
      <c r="AK145" s="78"/>
      <c r="AL145" s="78">
        <v>1</v>
      </c>
      <c r="AM145" s="77" t="s">
        <v>435</v>
      </c>
      <c r="AN145" s="77" t="s">
        <v>390</v>
      </c>
      <c r="AO145" s="79"/>
      <c r="AP145" s="79"/>
      <c r="AQ145" s="79"/>
      <c r="AR145" s="79"/>
      <c r="AS145" s="79"/>
      <c r="AT145" s="79"/>
      <c r="AU145" s="79"/>
      <c r="AV145" s="79"/>
      <c r="AW145" s="79"/>
      <c r="AX145" s="79"/>
      <c r="AY145" s="79"/>
      <c r="AZ145" s="80">
        <f t="shared" si="11"/>
        <v>0</v>
      </c>
      <c r="BK145" s="65" t="s">
        <v>117</v>
      </c>
      <c r="BN145" s="65">
        <v>160</v>
      </c>
    </row>
    <row r="146" spans="2:66" x14ac:dyDescent="0.25">
      <c r="B146" s="76"/>
      <c r="C146" s="76"/>
      <c r="D146" s="77"/>
      <c r="E146" s="77"/>
      <c r="F146" s="77"/>
      <c r="G146" s="77"/>
      <c r="H146" s="77"/>
      <c r="I146" s="77"/>
      <c r="J146" s="77"/>
      <c r="K146" s="77"/>
      <c r="L146" s="78"/>
      <c r="M146" s="77"/>
      <c r="N146" s="77"/>
      <c r="O146" s="80">
        <f t="shared" ref="O146:Z146" si="14">SUM(O4:O145)</f>
        <v>1024230.8608533795</v>
      </c>
      <c r="P146" s="80">
        <f t="shared" si="14"/>
        <v>37709.794125403088</v>
      </c>
      <c r="Q146" s="80">
        <f t="shared" si="14"/>
        <v>104638.42026274232</v>
      </c>
      <c r="R146" s="80">
        <f t="shared" si="14"/>
        <v>18730</v>
      </c>
      <c r="S146" s="80">
        <f t="shared" si="14"/>
        <v>57014.551734214103</v>
      </c>
      <c r="T146" s="80">
        <f t="shared" si="14"/>
        <v>130122.52532842805</v>
      </c>
      <c r="U146" s="80">
        <f t="shared" si="14"/>
        <v>1327049.4374851976</v>
      </c>
      <c r="V146" s="80">
        <f t="shared" si="14"/>
        <v>135670.07279558509</v>
      </c>
      <c r="W146" s="80">
        <f t="shared" si="14"/>
        <v>178171.20919337776</v>
      </c>
      <c r="X146" s="80">
        <f t="shared" si="14"/>
        <v>94810.367729899648</v>
      </c>
      <c r="Y146" s="80">
        <f t="shared" si="14"/>
        <v>415445.37838525616</v>
      </c>
      <c r="Z146" s="80">
        <f t="shared" si="14"/>
        <v>3523592.6178934835</v>
      </c>
      <c r="AF146" s="76"/>
      <c r="AG146" s="76"/>
      <c r="AH146" s="78"/>
      <c r="AI146" s="78"/>
      <c r="AJ146" s="78"/>
      <c r="AK146" s="78"/>
      <c r="AL146" s="78"/>
      <c r="AM146" s="77"/>
      <c r="AN146" s="77"/>
      <c r="AO146" s="80">
        <f>SUM(AO4:AO145)</f>
        <v>1000</v>
      </c>
      <c r="AP146" s="80">
        <f t="shared" ref="AP146:AZ146" si="15">SUM(AP4:AP145)</f>
        <v>0</v>
      </c>
      <c r="AQ146" s="80">
        <f t="shared" si="15"/>
        <v>0</v>
      </c>
      <c r="AR146" s="80">
        <f t="shared" si="15"/>
        <v>12000</v>
      </c>
      <c r="AS146" s="80">
        <f t="shared" si="15"/>
        <v>0</v>
      </c>
      <c r="AT146" s="80">
        <f t="shared" si="15"/>
        <v>0</v>
      </c>
      <c r="AU146" s="80">
        <f t="shared" si="15"/>
        <v>17000</v>
      </c>
      <c r="AV146" s="80">
        <f t="shared" si="15"/>
        <v>0</v>
      </c>
      <c r="AW146" s="80">
        <f t="shared" si="15"/>
        <v>0</v>
      </c>
      <c r="AX146" s="80">
        <f t="shared" si="15"/>
        <v>300</v>
      </c>
      <c r="AY146" s="80">
        <f t="shared" si="15"/>
        <v>4785</v>
      </c>
      <c r="AZ146" s="80">
        <f t="shared" si="15"/>
        <v>35085</v>
      </c>
    </row>
    <row r="147" spans="2:66" x14ac:dyDescent="0.25">
      <c r="O147" s="87">
        <f t="shared" ref="O147:Y147" si="16">O146/$Z$146</f>
        <v>0.29067800166572533</v>
      </c>
      <c r="P147" s="87">
        <f t="shared" si="16"/>
        <v>1.0702086822950381E-2</v>
      </c>
      <c r="Q147" s="87">
        <f t="shared" si="16"/>
        <v>2.9696514781921219E-2</v>
      </c>
      <c r="R147" s="87">
        <f t="shared" si="16"/>
        <v>5.3155974685851716E-3</v>
      </c>
      <c r="S147" s="87">
        <f t="shared" si="16"/>
        <v>1.6180801221084187E-2</v>
      </c>
      <c r="T147" s="87">
        <f t="shared" si="16"/>
        <v>3.6928935731003844E-2</v>
      </c>
      <c r="U147" s="87">
        <f t="shared" si="16"/>
        <v>0.37661829314381701</v>
      </c>
      <c r="V147" s="87">
        <f t="shared" si="16"/>
        <v>3.8503336653228942E-2</v>
      </c>
      <c r="W147" s="87">
        <f t="shared" si="16"/>
        <v>5.0565212416608538E-2</v>
      </c>
      <c r="X147" s="87">
        <f t="shared" si="16"/>
        <v>2.6907301158605651E-2</v>
      </c>
      <c r="Y147" s="87">
        <f t="shared" si="16"/>
        <v>0.11790391893646965</v>
      </c>
      <c r="Z147" s="88"/>
    </row>
    <row r="148" spans="2:66" x14ac:dyDescent="0.25">
      <c r="O148" s="89">
        <f t="shared" ref="O148:Z148" si="17">O146/12</f>
        <v>85352.571737781618</v>
      </c>
      <c r="P148" s="89">
        <f t="shared" si="17"/>
        <v>3142.4828437835909</v>
      </c>
      <c r="Q148" s="89">
        <f t="shared" si="17"/>
        <v>8719.8683552285274</v>
      </c>
      <c r="R148" s="89">
        <f t="shared" si="17"/>
        <v>1560.8333333333333</v>
      </c>
      <c r="S148" s="89">
        <f t="shared" si="17"/>
        <v>4751.2126445178419</v>
      </c>
      <c r="T148" s="89">
        <f t="shared" si="17"/>
        <v>10843.543777369005</v>
      </c>
      <c r="U148" s="89">
        <f t="shared" si="17"/>
        <v>110587.45312376646</v>
      </c>
      <c r="V148" s="89">
        <f t="shared" si="17"/>
        <v>11305.83939963209</v>
      </c>
      <c r="W148" s="89">
        <f t="shared" si="17"/>
        <v>14847.600766114812</v>
      </c>
      <c r="X148" s="89">
        <f t="shared" si="17"/>
        <v>7900.8639774916373</v>
      </c>
      <c r="Y148" s="89">
        <f t="shared" si="17"/>
        <v>34620.448198771344</v>
      </c>
      <c r="Z148" s="89">
        <f t="shared" si="17"/>
        <v>293632.71815779031</v>
      </c>
    </row>
    <row r="187" spans="41:42" x14ac:dyDescent="0.25">
      <c r="AP187" s="90"/>
    </row>
    <row r="188" spans="41:42" x14ac:dyDescent="0.25">
      <c r="AP188" s="90">
        <v>356864</v>
      </c>
    </row>
    <row r="189" spans="41:42" x14ac:dyDescent="0.25">
      <c r="AP189" s="90"/>
    </row>
    <row r="190" spans="41:42" x14ac:dyDescent="0.25">
      <c r="AO190" s="65" t="s">
        <v>463</v>
      </c>
      <c r="AP190" s="90">
        <v>193100</v>
      </c>
    </row>
    <row r="191" spans="41:42" x14ac:dyDescent="0.25">
      <c r="AO191" s="65" t="s">
        <v>622</v>
      </c>
      <c r="AP191" s="90">
        <v>31674</v>
      </c>
    </row>
    <row r="192" spans="41:42" x14ac:dyDescent="0.25">
      <c r="AO192" s="65" t="s">
        <v>623</v>
      </c>
      <c r="AP192" s="90">
        <v>87090</v>
      </c>
    </row>
    <row r="193" spans="41:42" x14ac:dyDescent="0.25">
      <c r="AO193" s="65" t="s">
        <v>624</v>
      </c>
      <c r="AP193" s="90">
        <v>45000</v>
      </c>
    </row>
    <row r="194" spans="41:42" x14ac:dyDescent="0.25">
      <c r="AP194" s="90">
        <f>SUM(AP190:AP193)</f>
        <v>356864</v>
      </c>
    </row>
    <row r="195" spans="41:42" x14ac:dyDescent="0.25">
      <c r="AP195" s="90"/>
    </row>
    <row r="196" spans="41:42" x14ac:dyDescent="0.25">
      <c r="AP196" s="90">
        <f>AP188-AP194</f>
        <v>0</v>
      </c>
    </row>
  </sheetData>
  <autoFilter ref="B3:Z148" xr:uid="{B99C1DED-AB6B-4BBE-A2A0-2AD35CB3B90A}">
    <sortState xmlns:xlrd2="http://schemas.microsoft.com/office/spreadsheetml/2017/richdata2" ref="B4:Z148">
      <sortCondition ref="C3:C148"/>
    </sortState>
  </autoFilter>
  <pageMargins left="0.7" right="0.7" top="0.75" bottom="0.75" header="0.3" footer="0.3"/>
  <pageSetup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32079-0263-44DD-8322-64C12C45A086}">
  <dimension ref="A1:K125"/>
  <sheetViews>
    <sheetView topLeftCell="A90" zoomScale="80" zoomScaleNormal="80" workbookViewId="0">
      <selection activeCell="S7" sqref="S7:S79"/>
    </sheetView>
  </sheetViews>
  <sheetFormatPr defaultRowHeight="15" x14ac:dyDescent="0.25"/>
  <cols>
    <col min="1" max="1" width="40.42578125" customWidth="1"/>
    <col min="2" max="2" width="22.85546875" bestFit="1" customWidth="1"/>
    <col min="3" max="3" width="35" customWidth="1"/>
    <col min="4" max="4" width="43.140625" customWidth="1"/>
    <col min="5" max="5" width="19.85546875" bestFit="1" customWidth="1"/>
    <col min="6" max="6" width="38.140625" customWidth="1"/>
    <col min="7" max="7" width="10.28515625" customWidth="1"/>
    <col min="8" max="8" width="20.42578125" bestFit="1" customWidth="1"/>
    <col min="9" max="9" width="35.5703125" bestFit="1" customWidth="1"/>
    <col min="10" max="10" width="17" bestFit="1" customWidth="1"/>
    <col min="11" max="11" width="6" bestFit="1" customWidth="1"/>
  </cols>
  <sheetData>
    <row r="1" spans="1:11" x14ac:dyDescent="0.25">
      <c r="A1" s="114"/>
      <c r="B1" s="115" t="s">
        <v>625</v>
      </c>
      <c r="C1" s="116"/>
      <c r="E1" s="285"/>
      <c r="F1" s="285"/>
      <c r="G1" s="285"/>
    </row>
    <row r="2" spans="1:11" ht="30" x14ac:dyDescent="0.25">
      <c r="A2" s="114"/>
      <c r="B2" s="117" t="s">
        <v>626</v>
      </c>
      <c r="D2" s="118"/>
      <c r="E2" s="119" t="s">
        <v>156</v>
      </c>
      <c r="F2" s="120" t="s">
        <v>106</v>
      </c>
      <c r="G2" s="121" t="s">
        <v>261</v>
      </c>
      <c r="I2" s="122" t="s">
        <v>627</v>
      </c>
      <c r="J2" s="123" t="s">
        <v>628</v>
      </c>
      <c r="K2" s="124" t="s">
        <v>629</v>
      </c>
    </row>
    <row r="3" spans="1:11" x14ac:dyDescent="0.25">
      <c r="A3" s="125" t="s">
        <v>630</v>
      </c>
      <c r="B3" s="125"/>
      <c r="D3" s="126" t="s">
        <v>631</v>
      </c>
      <c r="E3" s="127">
        <v>7431244</v>
      </c>
      <c r="F3" s="128">
        <v>0</v>
      </c>
      <c r="G3" s="129">
        <v>7431244</v>
      </c>
      <c r="H3" s="130">
        <v>0.51936182444818835</v>
      </c>
      <c r="I3" s="131" t="s">
        <v>106</v>
      </c>
      <c r="J3" s="132">
        <v>92154076</v>
      </c>
      <c r="K3" s="133">
        <v>0.73029999864565653</v>
      </c>
    </row>
    <row r="4" spans="1:11" x14ac:dyDescent="0.25">
      <c r="A4" s="114" t="s">
        <v>632</v>
      </c>
      <c r="B4" s="134">
        <v>67500000</v>
      </c>
      <c r="D4" s="135" t="s">
        <v>633</v>
      </c>
      <c r="E4" s="127">
        <v>99031246</v>
      </c>
      <c r="F4" s="128">
        <v>92154076</v>
      </c>
      <c r="G4" s="129">
        <v>6877170</v>
      </c>
      <c r="I4" s="136" t="s">
        <v>634</v>
      </c>
      <c r="J4" s="137">
        <v>14308414</v>
      </c>
      <c r="K4" s="133">
        <v>0.11339091202891008</v>
      </c>
    </row>
    <row r="5" spans="1:11" x14ac:dyDescent="0.25">
      <c r="A5" s="114" t="s">
        <v>635</v>
      </c>
      <c r="B5" s="134">
        <v>70043397</v>
      </c>
      <c r="D5" s="138" t="s">
        <v>636</v>
      </c>
      <c r="E5" s="127">
        <v>4126302</v>
      </c>
      <c r="F5" s="139">
        <v>0</v>
      </c>
      <c r="G5" s="129">
        <v>4126302</v>
      </c>
      <c r="I5" s="131" t="s">
        <v>637</v>
      </c>
      <c r="J5" s="132">
        <v>4126302</v>
      </c>
      <c r="K5" s="133">
        <v>3.2700000649038788E-2</v>
      </c>
    </row>
    <row r="6" spans="1:11" x14ac:dyDescent="0.25">
      <c r="A6" s="140" t="s">
        <v>638</v>
      </c>
      <c r="B6" s="141">
        <v>137543397</v>
      </c>
      <c r="D6" s="135" t="s">
        <v>639</v>
      </c>
      <c r="E6" s="127">
        <v>4126302</v>
      </c>
      <c r="F6" s="139">
        <v>0</v>
      </c>
      <c r="G6" s="129">
        <v>4126302</v>
      </c>
      <c r="I6" s="131" t="s">
        <v>640</v>
      </c>
      <c r="J6" s="132">
        <v>4126302</v>
      </c>
      <c r="K6" s="133">
        <v>3.2700000649038788E-2</v>
      </c>
    </row>
    <row r="7" spans="1:11" x14ac:dyDescent="0.25">
      <c r="A7" s="142"/>
      <c r="B7" s="143"/>
      <c r="D7" s="144" t="s">
        <v>641</v>
      </c>
      <c r="E7" s="127">
        <v>11471509</v>
      </c>
      <c r="F7" s="139">
        <v>0</v>
      </c>
      <c r="G7" s="129">
        <v>11471509</v>
      </c>
      <c r="I7" s="131" t="s">
        <v>642</v>
      </c>
      <c r="J7" s="132">
        <v>11471509</v>
      </c>
      <c r="K7" s="145">
        <v>9.0909088027355811E-2</v>
      </c>
    </row>
    <row r="8" spans="1:11" x14ac:dyDescent="0.25">
      <c r="B8" s="146" t="s">
        <v>643</v>
      </c>
      <c r="D8" s="147" t="s">
        <v>644</v>
      </c>
      <c r="E8" s="148">
        <v>126186603</v>
      </c>
      <c r="F8" s="149">
        <v>92154076</v>
      </c>
      <c r="G8" s="150">
        <v>34032527</v>
      </c>
      <c r="H8" s="151"/>
      <c r="I8" s="122" t="s">
        <v>156</v>
      </c>
      <c r="J8" s="152">
        <v>126186603</v>
      </c>
      <c r="K8" s="133">
        <v>1</v>
      </c>
    </row>
    <row r="9" spans="1:11" x14ac:dyDescent="0.25">
      <c r="A9" s="153" t="s">
        <v>629</v>
      </c>
      <c r="B9" s="154">
        <v>0.67</v>
      </c>
      <c r="E9" s="155"/>
      <c r="I9" s="156" t="s">
        <v>645</v>
      </c>
      <c r="J9" s="157">
        <v>11356794.27</v>
      </c>
    </row>
    <row r="10" spans="1:11" x14ac:dyDescent="0.25">
      <c r="A10" s="158" t="s">
        <v>646</v>
      </c>
      <c r="B10" s="159">
        <v>92154076</v>
      </c>
      <c r="C10" s="160" t="s">
        <v>158</v>
      </c>
      <c r="D10" s="160" t="s">
        <v>159</v>
      </c>
      <c r="E10" s="161">
        <f>E4/J10</f>
        <v>0.71999999974989703</v>
      </c>
      <c r="I10" s="124" t="s">
        <v>117</v>
      </c>
      <c r="J10" s="162">
        <v>137543397.27000001</v>
      </c>
    </row>
    <row r="11" spans="1:11" x14ac:dyDescent="0.25">
      <c r="A11" s="163" t="s">
        <v>647</v>
      </c>
      <c r="B11" s="164">
        <v>34032527</v>
      </c>
      <c r="C11" s="165">
        <f>ROUND(B4/1.09,0)-C17</f>
        <v>16701606</v>
      </c>
      <c r="D11" s="165">
        <f>ROUND(B5/1.09,0)-D17</f>
        <v>17330921.009999998</v>
      </c>
    </row>
    <row r="12" spans="1:11" x14ac:dyDescent="0.25">
      <c r="A12" s="163" t="s">
        <v>648</v>
      </c>
      <c r="B12" s="166">
        <v>126186603</v>
      </c>
      <c r="C12" s="167"/>
      <c r="D12" s="168"/>
    </row>
    <row r="13" spans="1:11" x14ac:dyDescent="0.25">
      <c r="A13" s="153" t="s">
        <v>649</v>
      </c>
      <c r="B13" s="169">
        <v>11356794.247706421</v>
      </c>
      <c r="C13" s="165">
        <f>B4-C11-C17</f>
        <v>5573394</v>
      </c>
      <c r="D13" s="165">
        <f>B5-D11-D17</f>
        <v>5783400</v>
      </c>
      <c r="F13" s="170"/>
    </row>
    <row r="14" spans="1:11" x14ac:dyDescent="0.25">
      <c r="A14" s="153" t="s">
        <v>650</v>
      </c>
      <c r="B14" s="169">
        <v>137543397.24770641</v>
      </c>
    </row>
    <row r="15" spans="1:11" ht="15.75" thickBot="1" x14ac:dyDescent="0.3"/>
    <row r="16" spans="1:11" x14ac:dyDescent="0.25">
      <c r="A16" s="171" t="s">
        <v>651</v>
      </c>
      <c r="B16" s="172" t="s">
        <v>652</v>
      </c>
      <c r="C16" s="172" t="s">
        <v>653</v>
      </c>
      <c r="D16" s="172" t="s">
        <v>654</v>
      </c>
      <c r="E16" s="172" t="s">
        <v>655</v>
      </c>
    </row>
    <row r="17" spans="1:7" x14ac:dyDescent="0.25">
      <c r="A17" s="173" t="s">
        <v>656</v>
      </c>
      <c r="B17" s="174">
        <v>0.67</v>
      </c>
      <c r="C17" s="175">
        <v>45225000</v>
      </c>
      <c r="D17" s="175">
        <v>46929075.990000002</v>
      </c>
      <c r="E17" s="176">
        <v>92154075.99000001</v>
      </c>
    </row>
    <row r="18" spans="1:7" x14ac:dyDescent="0.25">
      <c r="A18" s="177"/>
      <c r="B18" s="178"/>
      <c r="C18" s="179"/>
      <c r="D18" s="179"/>
      <c r="E18" s="180"/>
    </row>
    <row r="19" spans="1:7" ht="57.95" customHeight="1" thickBot="1" x14ac:dyDescent="0.3">
      <c r="A19" s="177"/>
      <c r="B19" s="178"/>
      <c r="C19" s="286" t="s">
        <v>657</v>
      </c>
      <c r="D19" s="286"/>
      <c r="E19" s="286"/>
      <c r="F19" s="287"/>
    </row>
    <row r="20" spans="1:7" ht="15.75" thickBot="1" x14ac:dyDescent="0.3">
      <c r="A20" s="181"/>
      <c r="B20" s="182"/>
      <c r="C20" s="181" t="s">
        <v>658</v>
      </c>
      <c r="D20" s="181" t="s">
        <v>659</v>
      </c>
      <c r="E20" s="181" t="s">
        <v>660</v>
      </c>
      <c r="F20" s="181" t="s">
        <v>661</v>
      </c>
    </row>
    <row r="21" spans="1:7" ht="15.75" thickBot="1" x14ac:dyDescent="0.3">
      <c r="A21" s="183" t="s">
        <v>662</v>
      </c>
      <c r="B21" s="183" t="s">
        <v>663</v>
      </c>
      <c r="C21" s="184" t="s">
        <v>664</v>
      </c>
      <c r="D21" s="184" t="s">
        <v>664</v>
      </c>
      <c r="E21" s="185" t="s">
        <v>664</v>
      </c>
      <c r="F21" s="185" t="s">
        <v>664</v>
      </c>
      <c r="G21" s="186" t="s">
        <v>361</v>
      </c>
    </row>
    <row r="22" spans="1:7" ht="15.75" thickBot="1" x14ac:dyDescent="0.3">
      <c r="A22" s="187" t="s">
        <v>157</v>
      </c>
      <c r="B22" s="187" t="s">
        <v>665</v>
      </c>
      <c r="C22" s="188">
        <v>456818.18181818182</v>
      </c>
      <c r="D22" s="189">
        <v>536000</v>
      </c>
      <c r="E22" s="188">
        <v>992818.18181818188</v>
      </c>
      <c r="F22" s="190">
        <v>33.093939393939394</v>
      </c>
      <c r="G22" s="130">
        <f>D22/E22</f>
        <v>0.53987730061349692</v>
      </c>
    </row>
    <row r="23" spans="1:7" ht="15.75" thickBot="1" x14ac:dyDescent="0.3">
      <c r="A23" s="187" t="s">
        <v>161</v>
      </c>
      <c r="B23" s="187" t="s">
        <v>665</v>
      </c>
      <c r="C23" s="188">
        <v>456818.18181818182</v>
      </c>
      <c r="D23" s="189">
        <v>67000</v>
      </c>
      <c r="E23" s="188">
        <v>523818.18181818182</v>
      </c>
      <c r="F23" s="190">
        <v>17.460606060606061</v>
      </c>
      <c r="G23" s="130">
        <f t="shared" ref="G23:G86" si="0">D23/E23</f>
        <v>0.12790697674418605</v>
      </c>
    </row>
    <row r="24" spans="1:7" ht="15.75" thickBot="1" x14ac:dyDescent="0.3">
      <c r="A24" s="187" t="s">
        <v>162</v>
      </c>
      <c r="B24" s="187" t="s">
        <v>665</v>
      </c>
      <c r="C24" s="188">
        <v>456818.18181818182</v>
      </c>
      <c r="D24" s="189">
        <v>167500</v>
      </c>
      <c r="E24" s="188">
        <v>624318.18181818188</v>
      </c>
      <c r="F24" s="190">
        <v>20.810606060606062</v>
      </c>
      <c r="G24" s="130">
        <f t="shared" si="0"/>
        <v>0.26829268292682923</v>
      </c>
    </row>
    <row r="25" spans="1:7" ht="15.75" thickBot="1" x14ac:dyDescent="0.3">
      <c r="A25" s="187" t="s">
        <v>163</v>
      </c>
      <c r="B25" s="187" t="s">
        <v>665</v>
      </c>
      <c r="C25" s="188">
        <v>456818.18181818182</v>
      </c>
      <c r="D25" s="189">
        <v>850900</v>
      </c>
      <c r="E25" s="188">
        <v>1307718.1818181819</v>
      </c>
      <c r="F25" s="190">
        <v>43.590606060606063</v>
      </c>
      <c r="G25" s="130">
        <f t="shared" si="0"/>
        <v>0.65067536096879364</v>
      </c>
    </row>
    <row r="26" spans="1:7" ht="15.75" thickBot="1" x14ac:dyDescent="0.3">
      <c r="A26" s="187" t="s">
        <v>164</v>
      </c>
      <c r="B26" s="187" t="s">
        <v>665</v>
      </c>
      <c r="C26" s="188">
        <v>456818.18181818182</v>
      </c>
      <c r="D26" s="189">
        <v>36515</v>
      </c>
      <c r="E26" s="188">
        <v>493333.18181818182</v>
      </c>
      <c r="F26" s="190">
        <v>16.444439393939394</v>
      </c>
      <c r="G26" s="130">
        <f t="shared" si="0"/>
        <v>7.4016914624359526E-2</v>
      </c>
    </row>
    <row r="27" spans="1:7" ht="15.75" thickBot="1" x14ac:dyDescent="0.3">
      <c r="A27" s="187" t="s">
        <v>165</v>
      </c>
      <c r="B27" s="187" t="s">
        <v>665</v>
      </c>
      <c r="C27" s="188">
        <v>456818.18181818182</v>
      </c>
      <c r="D27" s="189">
        <v>641860</v>
      </c>
      <c r="E27" s="188">
        <v>1098678.1818181819</v>
      </c>
      <c r="F27" s="190">
        <v>36.62260606060606</v>
      </c>
      <c r="G27" s="130">
        <f t="shared" si="0"/>
        <v>0.58421110987914404</v>
      </c>
    </row>
    <row r="28" spans="1:7" ht="15.75" thickBot="1" x14ac:dyDescent="0.3">
      <c r="A28" s="187" t="s">
        <v>166</v>
      </c>
      <c r="B28" s="187" t="s">
        <v>665</v>
      </c>
      <c r="C28" s="188">
        <v>456818.18181818182</v>
      </c>
      <c r="D28" s="189">
        <v>134000</v>
      </c>
      <c r="E28" s="188">
        <v>590818.18181818188</v>
      </c>
      <c r="F28" s="190">
        <v>19.693939393939395</v>
      </c>
      <c r="G28" s="130">
        <f t="shared" si="0"/>
        <v>0.22680412371134018</v>
      </c>
    </row>
    <row r="29" spans="1:7" ht="15.75" thickBot="1" x14ac:dyDescent="0.3">
      <c r="A29" s="187" t="s">
        <v>167</v>
      </c>
      <c r="B29" s="187" t="s">
        <v>665</v>
      </c>
      <c r="C29" s="188">
        <v>456818.18181818182</v>
      </c>
      <c r="D29" s="189">
        <v>0</v>
      </c>
      <c r="E29" s="188">
        <v>456818.18181818182</v>
      </c>
      <c r="F29" s="190">
        <v>15.227272727272727</v>
      </c>
      <c r="G29" s="130">
        <f t="shared" si="0"/>
        <v>0</v>
      </c>
    </row>
    <row r="30" spans="1:7" ht="15.75" thickBot="1" x14ac:dyDescent="0.3">
      <c r="A30" s="187" t="s">
        <v>168</v>
      </c>
      <c r="B30" s="187" t="s">
        <v>665</v>
      </c>
      <c r="C30" s="188">
        <v>456818.18181818182</v>
      </c>
      <c r="D30" s="189">
        <v>536000</v>
      </c>
      <c r="E30" s="188">
        <v>992818.18181818188</v>
      </c>
      <c r="F30" s="190">
        <v>33.093939393939394</v>
      </c>
      <c r="G30" s="130">
        <f t="shared" si="0"/>
        <v>0.53987730061349692</v>
      </c>
    </row>
    <row r="31" spans="1:7" ht="15.75" thickBot="1" x14ac:dyDescent="0.3">
      <c r="A31" s="187" t="s">
        <v>169</v>
      </c>
      <c r="B31" s="187" t="s">
        <v>665</v>
      </c>
      <c r="C31" s="188">
        <v>456818.18181818182</v>
      </c>
      <c r="D31" s="189">
        <v>422100</v>
      </c>
      <c r="E31" s="188">
        <v>878918.18181818188</v>
      </c>
      <c r="F31" s="190">
        <v>29.29727272727273</v>
      </c>
      <c r="G31" s="130">
        <f t="shared" si="0"/>
        <v>0.48024948024948022</v>
      </c>
    </row>
    <row r="32" spans="1:7" ht="15.75" thickBot="1" x14ac:dyDescent="0.3">
      <c r="A32" s="187" t="s">
        <v>170</v>
      </c>
      <c r="B32" s="187" t="s">
        <v>665</v>
      </c>
      <c r="C32" s="188">
        <v>456818.18181818182</v>
      </c>
      <c r="D32" s="189">
        <v>0</v>
      </c>
      <c r="E32" s="188">
        <v>456818.18181818182</v>
      </c>
      <c r="F32" s="190">
        <v>15.227272727272727</v>
      </c>
      <c r="G32" s="130">
        <f t="shared" si="0"/>
        <v>0</v>
      </c>
    </row>
    <row r="33" spans="1:7" ht="15.75" thickBot="1" x14ac:dyDescent="0.3">
      <c r="A33" s="187" t="s">
        <v>171</v>
      </c>
      <c r="B33" s="187" t="s">
        <v>665</v>
      </c>
      <c r="C33" s="188">
        <v>456818.18181818182</v>
      </c>
      <c r="D33" s="189">
        <v>0</v>
      </c>
      <c r="E33" s="188">
        <v>456818.18181818182</v>
      </c>
      <c r="F33" s="190">
        <v>15.227272727272727</v>
      </c>
      <c r="G33" s="130">
        <f t="shared" si="0"/>
        <v>0</v>
      </c>
    </row>
    <row r="34" spans="1:7" ht="15.75" thickBot="1" x14ac:dyDescent="0.3">
      <c r="A34" s="187" t="s">
        <v>126</v>
      </c>
      <c r="B34" s="187" t="s">
        <v>665</v>
      </c>
      <c r="C34" s="188">
        <v>456818.18181818182</v>
      </c>
      <c r="D34" s="189">
        <v>2680000</v>
      </c>
      <c r="E34" s="188">
        <v>3136818.1818181816</v>
      </c>
      <c r="F34" s="190">
        <v>104.56060606060605</v>
      </c>
      <c r="G34" s="130">
        <f t="shared" si="0"/>
        <v>0.85436893203883502</v>
      </c>
    </row>
    <row r="35" spans="1:7" ht="15.75" thickBot="1" x14ac:dyDescent="0.3">
      <c r="A35" s="187" t="s">
        <v>172</v>
      </c>
      <c r="B35" s="187" t="s">
        <v>665</v>
      </c>
      <c r="C35" s="188">
        <v>456818.18181818182</v>
      </c>
      <c r="D35" s="189">
        <v>920484.19</v>
      </c>
      <c r="E35" s="188">
        <v>1377302.3718181818</v>
      </c>
      <c r="F35" s="190">
        <v>45.910079060606058</v>
      </c>
      <c r="G35" s="130">
        <f t="shared" si="0"/>
        <v>0.66832397070867267</v>
      </c>
    </row>
    <row r="36" spans="1:7" ht="15.75" thickBot="1" x14ac:dyDescent="0.3">
      <c r="A36" s="187" t="s">
        <v>173</v>
      </c>
      <c r="B36" s="187" t="s">
        <v>665</v>
      </c>
      <c r="C36" s="188">
        <v>456818.18181818182</v>
      </c>
      <c r="D36" s="189">
        <v>268000</v>
      </c>
      <c r="E36" s="188">
        <v>724818.18181818188</v>
      </c>
      <c r="F36" s="190">
        <v>24.160606060606064</v>
      </c>
      <c r="G36" s="130">
        <f t="shared" si="0"/>
        <v>0.36974789915966383</v>
      </c>
    </row>
    <row r="37" spans="1:7" ht="15.75" thickBot="1" x14ac:dyDescent="0.3">
      <c r="A37" s="187" t="s">
        <v>174</v>
      </c>
      <c r="B37" s="187" t="s">
        <v>665</v>
      </c>
      <c r="C37" s="188">
        <v>456818.18181818182</v>
      </c>
      <c r="D37" s="189">
        <v>636500</v>
      </c>
      <c r="E37" s="188">
        <v>1093318.1818181819</v>
      </c>
      <c r="F37" s="190">
        <v>36.443939393939395</v>
      </c>
      <c r="G37" s="130">
        <f t="shared" si="0"/>
        <v>0.5821727019498607</v>
      </c>
    </row>
    <row r="38" spans="1:7" ht="15.75" thickBot="1" x14ac:dyDescent="0.3">
      <c r="A38" s="187" t="s">
        <v>175</v>
      </c>
      <c r="B38" s="187" t="s">
        <v>665</v>
      </c>
      <c r="C38" s="188">
        <v>456818.18181818182</v>
      </c>
      <c r="D38" s="189">
        <v>60361.64</v>
      </c>
      <c r="E38" s="188">
        <v>517179.82181818184</v>
      </c>
      <c r="F38" s="190">
        <v>17.239327393939394</v>
      </c>
      <c r="G38" s="130">
        <f t="shared" si="0"/>
        <v>0.11671306082243199</v>
      </c>
    </row>
    <row r="39" spans="1:7" ht="15.75" thickBot="1" x14ac:dyDescent="0.3">
      <c r="A39" s="187" t="s">
        <v>177</v>
      </c>
      <c r="B39" s="187" t="s">
        <v>665</v>
      </c>
      <c r="C39" s="188">
        <v>456818.18181818182</v>
      </c>
      <c r="D39" s="189">
        <v>469000</v>
      </c>
      <c r="E39" s="188">
        <v>925818.18181818188</v>
      </c>
      <c r="F39" s="190">
        <v>30.860606060606063</v>
      </c>
      <c r="G39" s="130">
        <f t="shared" si="0"/>
        <v>0.50657894736842102</v>
      </c>
    </row>
    <row r="40" spans="1:7" ht="15.75" thickBot="1" x14ac:dyDescent="0.3">
      <c r="A40" s="187" t="s">
        <v>178</v>
      </c>
      <c r="B40" s="187" t="s">
        <v>665</v>
      </c>
      <c r="C40" s="188">
        <v>456818.18181818182</v>
      </c>
      <c r="D40" s="189">
        <v>595392.15</v>
      </c>
      <c r="E40" s="188">
        <v>1052210.3318181818</v>
      </c>
      <c r="F40" s="190">
        <v>35.073677727272724</v>
      </c>
      <c r="G40" s="130">
        <f t="shared" si="0"/>
        <v>0.56584898664811978</v>
      </c>
    </row>
    <row r="41" spans="1:7" ht="15.75" thickBot="1" x14ac:dyDescent="0.3">
      <c r="A41" s="187" t="s">
        <v>179</v>
      </c>
      <c r="B41" s="187" t="s">
        <v>665</v>
      </c>
      <c r="C41" s="188">
        <v>456818.18181818182</v>
      </c>
      <c r="D41" s="189">
        <v>1340000</v>
      </c>
      <c r="E41" s="188">
        <v>1796818.1818181819</v>
      </c>
      <c r="F41" s="190">
        <v>59.893939393939398</v>
      </c>
      <c r="G41" s="130">
        <f t="shared" si="0"/>
        <v>0.74576271186440679</v>
      </c>
    </row>
    <row r="42" spans="1:7" ht="15.75" thickBot="1" x14ac:dyDescent="0.3">
      <c r="A42" s="187" t="s">
        <v>180</v>
      </c>
      <c r="B42" s="187" t="s">
        <v>665</v>
      </c>
      <c r="C42" s="188">
        <v>456818.18181818182</v>
      </c>
      <c r="D42" s="189">
        <v>541215.28</v>
      </c>
      <c r="E42" s="188">
        <v>998033.46181818191</v>
      </c>
      <c r="F42" s="190">
        <v>33.267782060606066</v>
      </c>
      <c r="G42" s="130">
        <f t="shared" si="0"/>
        <v>0.54228169766375689</v>
      </c>
    </row>
    <row r="43" spans="1:7" ht="15.75" thickBot="1" x14ac:dyDescent="0.3">
      <c r="A43" s="187" t="s">
        <v>181</v>
      </c>
      <c r="B43" s="187" t="s">
        <v>665</v>
      </c>
      <c r="C43" s="188">
        <v>456818.18181818182</v>
      </c>
      <c r="D43" s="189">
        <v>327630</v>
      </c>
      <c r="E43" s="188">
        <v>784448.18181818188</v>
      </c>
      <c r="F43" s="190">
        <v>26.14827272727273</v>
      </c>
      <c r="G43" s="130">
        <f t="shared" si="0"/>
        <v>0.41765665036105282</v>
      </c>
    </row>
    <row r="44" spans="1:7" ht="15.75" thickBot="1" x14ac:dyDescent="0.3">
      <c r="A44" s="187" t="s">
        <v>182</v>
      </c>
      <c r="B44" s="187" t="s">
        <v>665</v>
      </c>
      <c r="C44" s="188">
        <v>456818.18181818182</v>
      </c>
      <c r="D44" s="189">
        <v>359419.49</v>
      </c>
      <c r="E44" s="188">
        <v>816237.67181818187</v>
      </c>
      <c r="F44" s="190">
        <v>27.207922393939395</v>
      </c>
      <c r="G44" s="130">
        <f t="shared" si="0"/>
        <v>0.44033680680210163</v>
      </c>
    </row>
    <row r="45" spans="1:7" ht="15.75" thickBot="1" x14ac:dyDescent="0.3">
      <c r="A45" s="187" t="s">
        <v>183</v>
      </c>
      <c r="B45" s="187" t="s">
        <v>665</v>
      </c>
      <c r="C45" s="188">
        <v>456818.18181818182</v>
      </c>
      <c r="D45" s="189">
        <v>817155.45</v>
      </c>
      <c r="E45" s="188">
        <v>1273973.6318181818</v>
      </c>
      <c r="F45" s="190">
        <v>42.465787727272726</v>
      </c>
      <c r="G45" s="130">
        <f t="shared" si="0"/>
        <v>0.64142257703856642</v>
      </c>
    </row>
    <row r="46" spans="1:7" ht="15.75" thickBot="1" x14ac:dyDescent="0.3">
      <c r="A46" s="187" t="s">
        <v>184</v>
      </c>
      <c r="B46" s="187" t="s">
        <v>665</v>
      </c>
      <c r="C46" s="188">
        <v>456818.18181818182</v>
      </c>
      <c r="D46" s="189">
        <v>861445.8</v>
      </c>
      <c r="E46" s="188">
        <v>1318263.9818181819</v>
      </c>
      <c r="F46" s="190">
        <v>43.942132727272728</v>
      </c>
      <c r="G46" s="130">
        <f t="shared" si="0"/>
        <v>0.653469875443212</v>
      </c>
    </row>
    <row r="47" spans="1:7" ht="15.75" thickBot="1" x14ac:dyDescent="0.3">
      <c r="A47" s="187" t="s">
        <v>185</v>
      </c>
      <c r="B47" s="187" t="s">
        <v>665</v>
      </c>
      <c r="C47" s="188">
        <v>456818.18181818182</v>
      </c>
      <c r="D47" s="189">
        <v>167500</v>
      </c>
      <c r="E47" s="188">
        <v>624318.18181818188</v>
      </c>
      <c r="F47" s="190">
        <v>20.810606060606062</v>
      </c>
      <c r="G47" s="130">
        <f t="shared" si="0"/>
        <v>0.26829268292682923</v>
      </c>
    </row>
    <row r="48" spans="1:7" ht="15.75" thickBot="1" x14ac:dyDescent="0.3">
      <c r="A48" s="187" t="s">
        <v>186</v>
      </c>
      <c r="B48" s="187" t="s">
        <v>665</v>
      </c>
      <c r="C48" s="188">
        <v>456818.18181818182</v>
      </c>
      <c r="D48" s="189">
        <v>134000</v>
      </c>
      <c r="E48" s="188">
        <v>590818.18181818188</v>
      </c>
      <c r="F48" s="190">
        <v>19.693939393939395</v>
      </c>
      <c r="G48" s="130">
        <f t="shared" si="0"/>
        <v>0.22680412371134018</v>
      </c>
    </row>
    <row r="49" spans="1:7" ht="15.75" thickBot="1" x14ac:dyDescent="0.3">
      <c r="A49" s="187" t="s">
        <v>187</v>
      </c>
      <c r="B49" s="187" t="s">
        <v>665</v>
      </c>
      <c r="C49" s="188">
        <v>456818.18181818182</v>
      </c>
      <c r="D49" s="189">
        <v>0</v>
      </c>
      <c r="E49" s="188">
        <v>456818.18181818182</v>
      </c>
      <c r="F49" s="190">
        <v>15.227272727272727</v>
      </c>
      <c r="G49" s="130">
        <f t="shared" si="0"/>
        <v>0</v>
      </c>
    </row>
    <row r="50" spans="1:7" ht="15.75" thickBot="1" x14ac:dyDescent="0.3">
      <c r="A50" s="187" t="s">
        <v>188</v>
      </c>
      <c r="B50" s="187" t="s">
        <v>665</v>
      </c>
      <c r="C50" s="188">
        <v>456818.18181818182</v>
      </c>
      <c r="D50" s="189">
        <v>792325.92</v>
      </c>
      <c r="E50" s="188">
        <v>1249144.1018181818</v>
      </c>
      <c r="F50" s="190">
        <v>41.63813672727273</v>
      </c>
      <c r="G50" s="130">
        <f t="shared" si="0"/>
        <v>0.63429504958374006</v>
      </c>
    </row>
    <row r="51" spans="1:7" ht="15.75" thickBot="1" x14ac:dyDescent="0.3">
      <c r="A51" s="187" t="s">
        <v>189</v>
      </c>
      <c r="B51" s="187" t="s">
        <v>665</v>
      </c>
      <c r="C51" s="188">
        <v>456818.18181818182</v>
      </c>
      <c r="D51" s="189">
        <v>670000</v>
      </c>
      <c r="E51" s="188">
        <v>1126818.1818181819</v>
      </c>
      <c r="F51" s="190">
        <v>37.560606060606062</v>
      </c>
      <c r="G51" s="130">
        <f t="shared" si="0"/>
        <v>0.59459459459459452</v>
      </c>
    </row>
    <row r="52" spans="1:7" ht="15.75" thickBot="1" x14ac:dyDescent="0.3">
      <c r="A52" s="187" t="s">
        <v>136</v>
      </c>
      <c r="B52" s="187" t="s">
        <v>665</v>
      </c>
      <c r="C52" s="188">
        <v>456818.18181818182</v>
      </c>
      <c r="D52" s="189">
        <v>954750</v>
      </c>
      <c r="E52" s="188">
        <v>1411568.1818181819</v>
      </c>
      <c r="F52" s="190">
        <v>47.052272727272729</v>
      </c>
      <c r="G52" s="130">
        <f t="shared" si="0"/>
        <v>0.6763754045307443</v>
      </c>
    </row>
    <row r="53" spans="1:7" ht="15.75" thickBot="1" x14ac:dyDescent="0.3">
      <c r="A53" s="187" t="s">
        <v>190</v>
      </c>
      <c r="B53" s="187" t="s">
        <v>665</v>
      </c>
      <c r="C53" s="188">
        <v>456818.18181818182</v>
      </c>
      <c r="D53" s="189">
        <v>0</v>
      </c>
      <c r="E53" s="188">
        <v>456818.18181818182</v>
      </c>
      <c r="F53" s="190">
        <v>15.227272727272727</v>
      </c>
      <c r="G53" s="130">
        <f t="shared" si="0"/>
        <v>0</v>
      </c>
    </row>
    <row r="54" spans="1:7" ht="15.75" thickBot="1" x14ac:dyDescent="0.3">
      <c r="A54" s="187" t="s">
        <v>191</v>
      </c>
      <c r="B54" s="187" t="s">
        <v>665</v>
      </c>
      <c r="C54" s="188">
        <v>456818.18181818182</v>
      </c>
      <c r="D54" s="189">
        <v>335000</v>
      </c>
      <c r="E54" s="188">
        <v>791818.18181818188</v>
      </c>
      <c r="F54" s="190">
        <v>26.393939393939394</v>
      </c>
      <c r="G54" s="130">
        <f t="shared" si="0"/>
        <v>0.42307692307692302</v>
      </c>
    </row>
    <row r="55" spans="1:7" ht="15.75" thickBot="1" x14ac:dyDescent="0.3">
      <c r="A55" s="187" t="s">
        <v>192</v>
      </c>
      <c r="B55" s="187" t="s">
        <v>665</v>
      </c>
      <c r="C55" s="188">
        <v>456818.18181818182</v>
      </c>
      <c r="D55" s="189">
        <v>469000</v>
      </c>
      <c r="E55" s="188">
        <v>925818.18181818188</v>
      </c>
      <c r="F55" s="190">
        <v>30.860606060606063</v>
      </c>
      <c r="G55" s="130">
        <f t="shared" si="0"/>
        <v>0.50657894736842102</v>
      </c>
    </row>
    <row r="56" spans="1:7" ht="15.75" thickBot="1" x14ac:dyDescent="0.3">
      <c r="A56" s="187" t="s">
        <v>193</v>
      </c>
      <c r="B56" s="187" t="s">
        <v>665</v>
      </c>
      <c r="C56" s="188">
        <v>456818.18181818182</v>
      </c>
      <c r="D56" s="189">
        <v>0</v>
      </c>
      <c r="E56" s="188">
        <v>456818.18181818182</v>
      </c>
      <c r="F56" s="190">
        <v>15.227272727272727</v>
      </c>
      <c r="G56" s="130">
        <f t="shared" si="0"/>
        <v>0</v>
      </c>
    </row>
    <row r="57" spans="1:7" ht="15.75" thickBot="1" x14ac:dyDescent="0.3">
      <c r="A57" s="191" t="s">
        <v>194</v>
      </c>
      <c r="B57" s="187" t="s">
        <v>665</v>
      </c>
      <c r="C57" s="188">
        <v>456818.18181818182</v>
      </c>
      <c r="D57" s="189">
        <v>335000</v>
      </c>
      <c r="E57" s="188">
        <v>791818.18181818188</v>
      </c>
      <c r="F57" s="190">
        <v>26.393939393939394</v>
      </c>
      <c r="G57" s="130">
        <f t="shared" si="0"/>
        <v>0.42307692307692302</v>
      </c>
    </row>
    <row r="58" spans="1:7" ht="15.75" thickBot="1" x14ac:dyDescent="0.3">
      <c r="A58" s="187" t="s">
        <v>195</v>
      </c>
      <c r="B58" s="187" t="s">
        <v>665</v>
      </c>
      <c r="C58" s="188">
        <v>456818.18181818182</v>
      </c>
      <c r="D58" s="189">
        <v>301500</v>
      </c>
      <c r="E58" s="188">
        <v>758318.18181818188</v>
      </c>
      <c r="F58" s="190">
        <v>25.277272727272731</v>
      </c>
      <c r="G58" s="130">
        <f t="shared" si="0"/>
        <v>0.39759036144578308</v>
      </c>
    </row>
    <row r="59" spans="1:7" ht="15.75" thickBot="1" x14ac:dyDescent="0.3">
      <c r="A59" s="187" t="s">
        <v>196</v>
      </c>
      <c r="B59" s="187" t="s">
        <v>665</v>
      </c>
      <c r="C59" s="188">
        <v>456818.18181818182</v>
      </c>
      <c r="D59" s="189">
        <v>670000</v>
      </c>
      <c r="E59" s="188">
        <v>1126818.1818181819</v>
      </c>
      <c r="F59" s="190">
        <v>37.560606060606062</v>
      </c>
      <c r="G59" s="130">
        <f t="shared" si="0"/>
        <v>0.59459459459459452</v>
      </c>
    </row>
    <row r="60" spans="1:7" ht="15.75" thickBot="1" x14ac:dyDescent="0.3">
      <c r="A60" s="187" t="s">
        <v>197</v>
      </c>
      <c r="B60" s="187" t="s">
        <v>665</v>
      </c>
      <c r="C60" s="188">
        <v>456818.18181818182</v>
      </c>
      <c r="D60" s="189">
        <v>120600</v>
      </c>
      <c r="E60" s="188">
        <v>577418.18181818188</v>
      </c>
      <c r="F60" s="190">
        <v>19.24727272727273</v>
      </c>
      <c r="G60" s="130">
        <f t="shared" si="0"/>
        <v>0.20886075949367086</v>
      </c>
    </row>
    <row r="61" spans="1:7" ht="15.75" thickBot="1" x14ac:dyDescent="0.3">
      <c r="A61" s="187" t="s">
        <v>198</v>
      </c>
      <c r="B61" s="187" t="s">
        <v>665</v>
      </c>
      <c r="C61" s="188">
        <v>456818.18181818182</v>
      </c>
      <c r="D61" s="189">
        <v>0</v>
      </c>
      <c r="E61" s="188">
        <v>456818.18181818182</v>
      </c>
      <c r="F61" s="190">
        <v>15.227272727272727</v>
      </c>
      <c r="G61" s="130">
        <f t="shared" si="0"/>
        <v>0</v>
      </c>
    </row>
    <row r="62" spans="1:7" ht="15.75" thickBot="1" x14ac:dyDescent="0.3">
      <c r="A62" s="187" t="s">
        <v>199</v>
      </c>
      <c r="B62" s="187" t="s">
        <v>665</v>
      </c>
      <c r="C62" s="188">
        <v>456818.18181818182</v>
      </c>
      <c r="D62" s="189">
        <v>536000</v>
      </c>
      <c r="E62" s="188">
        <v>992818.18181818188</v>
      </c>
      <c r="F62" s="190">
        <v>33.093939393939394</v>
      </c>
      <c r="G62" s="130">
        <f t="shared" si="0"/>
        <v>0.53987730061349692</v>
      </c>
    </row>
    <row r="63" spans="1:7" ht="15.75" thickBot="1" x14ac:dyDescent="0.3">
      <c r="A63" s="187" t="s">
        <v>200</v>
      </c>
      <c r="B63" s="187" t="s">
        <v>665</v>
      </c>
      <c r="C63" s="188">
        <v>456818.18181818182</v>
      </c>
      <c r="D63" s="189">
        <v>0</v>
      </c>
      <c r="E63" s="188">
        <v>456818.18181818182</v>
      </c>
      <c r="F63" s="190">
        <v>15.227272727272727</v>
      </c>
      <c r="G63" s="130">
        <f t="shared" si="0"/>
        <v>0</v>
      </c>
    </row>
    <row r="64" spans="1:7" ht="15.75" thickBot="1" x14ac:dyDescent="0.3">
      <c r="A64" s="187" t="s">
        <v>201</v>
      </c>
      <c r="B64" s="187" t="s">
        <v>665</v>
      </c>
      <c r="C64" s="188">
        <v>456818.18181818182</v>
      </c>
      <c r="D64" s="189">
        <v>428.8</v>
      </c>
      <c r="E64" s="188">
        <v>457246.98181818181</v>
      </c>
      <c r="F64" s="190">
        <v>15.241566060606061</v>
      </c>
      <c r="G64" s="130">
        <f t="shared" si="0"/>
        <v>9.3778639783456599E-4</v>
      </c>
    </row>
    <row r="65" spans="1:7" ht="15.75" thickBot="1" x14ac:dyDescent="0.3">
      <c r="A65" s="187" t="s">
        <v>202</v>
      </c>
      <c r="B65" s="187" t="s">
        <v>665</v>
      </c>
      <c r="C65" s="188">
        <v>456818.18181818182</v>
      </c>
      <c r="D65" s="189">
        <v>536000</v>
      </c>
      <c r="E65" s="188">
        <v>992818.18181818188</v>
      </c>
      <c r="F65" s="190">
        <v>33.093939393939394</v>
      </c>
      <c r="G65" s="130">
        <f t="shared" si="0"/>
        <v>0.53987730061349692</v>
      </c>
    </row>
    <row r="66" spans="1:7" ht="15.75" thickBot="1" x14ac:dyDescent="0.3">
      <c r="A66" s="187" t="s">
        <v>203</v>
      </c>
      <c r="B66" s="187" t="s">
        <v>665</v>
      </c>
      <c r="C66" s="188">
        <v>456818.18181818182</v>
      </c>
      <c r="D66" s="189">
        <v>655809.4</v>
      </c>
      <c r="E66" s="188">
        <v>1112627.5818181818</v>
      </c>
      <c r="F66" s="190">
        <v>37.087586060606057</v>
      </c>
      <c r="G66" s="130">
        <f t="shared" si="0"/>
        <v>0.58942400019269703</v>
      </c>
    </row>
    <row r="67" spans="1:7" ht="15.75" thickBot="1" x14ac:dyDescent="0.3">
      <c r="A67" s="187" t="s">
        <v>204</v>
      </c>
      <c r="B67" s="187" t="s">
        <v>665</v>
      </c>
      <c r="C67" s="188">
        <v>456818.18181818182</v>
      </c>
      <c r="D67" s="189">
        <v>1065300</v>
      </c>
      <c r="E67" s="188">
        <v>1522118.1818181819</v>
      </c>
      <c r="F67" s="190">
        <v>50.737272727272732</v>
      </c>
      <c r="G67" s="130">
        <f t="shared" si="0"/>
        <v>0.69987995198079234</v>
      </c>
    </row>
    <row r="68" spans="1:7" ht="15.75" thickBot="1" x14ac:dyDescent="0.3">
      <c r="A68" s="187" t="s">
        <v>132</v>
      </c>
      <c r="B68" s="187" t="s">
        <v>665</v>
      </c>
      <c r="C68" s="188">
        <v>456818.18181818182</v>
      </c>
      <c r="D68" s="189">
        <v>3350000</v>
      </c>
      <c r="E68" s="188">
        <v>3806818.1818181816</v>
      </c>
      <c r="F68" s="190">
        <v>126.89393939393939</v>
      </c>
      <c r="G68" s="130">
        <f t="shared" si="0"/>
        <v>0.88</v>
      </c>
    </row>
    <row r="69" spans="1:7" ht="15.75" thickBot="1" x14ac:dyDescent="0.3">
      <c r="A69" s="187" t="s">
        <v>205</v>
      </c>
      <c r="B69" s="187" t="s">
        <v>665</v>
      </c>
      <c r="C69" s="188">
        <v>456818.18181818182</v>
      </c>
      <c r="D69" s="189">
        <v>767150</v>
      </c>
      <c r="E69" s="188">
        <v>1223968.1818181819</v>
      </c>
      <c r="F69" s="190">
        <v>40.798939393939399</v>
      </c>
      <c r="G69" s="130">
        <f t="shared" si="0"/>
        <v>0.62677282906195564</v>
      </c>
    </row>
    <row r="70" spans="1:7" ht="15.75" thickBot="1" x14ac:dyDescent="0.3">
      <c r="A70" s="187" t="s">
        <v>206</v>
      </c>
      <c r="B70" s="187" t="s">
        <v>665</v>
      </c>
      <c r="C70" s="188">
        <v>456818.18181818182</v>
      </c>
      <c r="D70" s="189">
        <v>234500</v>
      </c>
      <c r="E70" s="188">
        <v>691318.18181818188</v>
      </c>
      <c r="F70" s="190">
        <v>23.043939393939397</v>
      </c>
      <c r="G70" s="130">
        <f t="shared" si="0"/>
        <v>0.33920704845814975</v>
      </c>
    </row>
    <row r="71" spans="1:7" ht="15.75" thickBot="1" x14ac:dyDescent="0.3">
      <c r="A71" s="191" t="s">
        <v>207</v>
      </c>
      <c r="B71" s="187" t="s">
        <v>665</v>
      </c>
      <c r="C71" s="188">
        <v>456818.18181818182</v>
      </c>
      <c r="D71" s="189">
        <v>0</v>
      </c>
      <c r="E71" s="188">
        <v>456818.18181818182</v>
      </c>
      <c r="F71" s="190">
        <v>15.227272727272727</v>
      </c>
      <c r="G71" s="130">
        <f t="shared" si="0"/>
        <v>0</v>
      </c>
    </row>
    <row r="72" spans="1:7" ht="15.75" thickBot="1" x14ac:dyDescent="0.3">
      <c r="A72" s="187" t="s">
        <v>208</v>
      </c>
      <c r="B72" s="187" t="s">
        <v>665</v>
      </c>
      <c r="C72" s="188">
        <v>456818.18181818182</v>
      </c>
      <c r="D72" s="189">
        <v>334156.46999999997</v>
      </c>
      <c r="E72" s="188">
        <v>790974.65181818185</v>
      </c>
      <c r="F72" s="190">
        <v>26.365821727272728</v>
      </c>
      <c r="G72" s="130">
        <f t="shared" si="0"/>
        <v>0.42246166704822696</v>
      </c>
    </row>
    <row r="73" spans="1:7" ht="15.75" thickBot="1" x14ac:dyDescent="0.3">
      <c r="A73" s="187" t="s">
        <v>209</v>
      </c>
      <c r="B73" s="187" t="s">
        <v>665</v>
      </c>
      <c r="C73" s="188">
        <v>456818.18181818182</v>
      </c>
      <c r="D73" s="189">
        <v>335000</v>
      </c>
      <c r="E73" s="188">
        <v>791818.18181818188</v>
      </c>
      <c r="F73" s="190">
        <v>26.393939393939394</v>
      </c>
      <c r="G73" s="130">
        <f t="shared" si="0"/>
        <v>0.42307692307692302</v>
      </c>
    </row>
    <row r="74" spans="1:7" ht="15.75" thickBot="1" x14ac:dyDescent="0.3">
      <c r="A74" s="187" t="s">
        <v>210</v>
      </c>
      <c r="B74" s="187" t="s">
        <v>665</v>
      </c>
      <c r="C74" s="188">
        <v>456818.18181818182</v>
      </c>
      <c r="D74" s="189">
        <v>528630</v>
      </c>
      <c r="E74" s="188">
        <v>985448.18181818188</v>
      </c>
      <c r="F74" s="190">
        <v>32.848272727272729</v>
      </c>
      <c r="G74" s="130">
        <f t="shared" si="0"/>
        <v>0.53643612089745962</v>
      </c>
    </row>
    <row r="75" spans="1:7" ht="15.75" thickBot="1" x14ac:dyDescent="0.3">
      <c r="A75" s="187" t="s">
        <v>211</v>
      </c>
      <c r="B75" s="187" t="s">
        <v>665</v>
      </c>
      <c r="C75" s="188">
        <v>456818.18181818182</v>
      </c>
      <c r="D75" s="189">
        <v>0</v>
      </c>
      <c r="E75" s="188">
        <v>456818.18181818182</v>
      </c>
      <c r="F75" s="190">
        <v>15.227272727272727</v>
      </c>
      <c r="G75" s="130">
        <f t="shared" si="0"/>
        <v>0</v>
      </c>
    </row>
    <row r="76" spans="1:7" ht="15.75" thickBot="1" x14ac:dyDescent="0.3">
      <c r="A76" s="187" t="s">
        <v>212</v>
      </c>
      <c r="B76" s="187" t="s">
        <v>665</v>
      </c>
      <c r="C76" s="188">
        <v>456818.18181818182</v>
      </c>
      <c r="D76" s="189">
        <v>577994.26</v>
      </c>
      <c r="E76" s="188">
        <v>1034812.4418181819</v>
      </c>
      <c r="F76" s="190">
        <v>34.493748060606066</v>
      </c>
      <c r="G76" s="130">
        <f t="shared" si="0"/>
        <v>0.55854977833901465</v>
      </c>
    </row>
    <row r="77" spans="1:7" ht="15.75" thickBot="1" x14ac:dyDescent="0.3">
      <c r="A77" s="187" t="s">
        <v>213</v>
      </c>
      <c r="B77" s="187" t="s">
        <v>665</v>
      </c>
      <c r="C77" s="188">
        <v>456818.18181818182</v>
      </c>
      <c r="D77" s="189">
        <v>0</v>
      </c>
      <c r="E77" s="188">
        <v>456818.18181818182</v>
      </c>
      <c r="F77" s="190">
        <v>15.227272727272727</v>
      </c>
      <c r="G77" s="130">
        <f t="shared" si="0"/>
        <v>0</v>
      </c>
    </row>
    <row r="78" spans="1:7" ht="15.75" thickBot="1" x14ac:dyDescent="0.3">
      <c r="A78" s="187" t="s">
        <v>215</v>
      </c>
      <c r="B78" s="187" t="s">
        <v>665</v>
      </c>
      <c r="C78" s="188">
        <v>456818.18181818182</v>
      </c>
      <c r="D78" s="189">
        <v>0</v>
      </c>
      <c r="E78" s="188">
        <v>456818.18181818182</v>
      </c>
      <c r="F78" s="190">
        <v>15.227272727272727</v>
      </c>
      <c r="G78" s="130">
        <f t="shared" si="0"/>
        <v>0</v>
      </c>
    </row>
    <row r="79" spans="1:7" ht="15.75" thickBot="1" x14ac:dyDescent="0.3">
      <c r="A79" s="187" t="s">
        <v>216</v>
      </c>
      <c r="B79" s="187" t="s">
        <v>665</v>
      </c>
      <c r="C79" s="188">
        <v>456818.18181818182</v>
      </c>
      <c r="D79" s="189">
        <v>335000</v>
      </c>
      <c r="E79" s="188">
        <v>791818.18181818188</v>
      </c>
      <c r="F79" s="190">
        <v>26.393939393939394</v>
      </c>
      <c r="G79" s="130">
        <f t="shared" si="0"/>
        <v>0.42307692307692302</v>
      </c>
    </row>
    <row r="80" spans="1:7" ht="15.75" thickBot="1" x14ac:dyDescent="0.3">
      <c r="A80" s="187" t="s">
        <v>217</v>
      </c>
      <c r="B80" s="187" t="s">
        <v>665</v>
      </c>
      <c r="C80" s="188">
        <v>456818.18181818182</v>
      </c>
      <c r="D80" s="189">
        <v>0</v>
      </c>
      <c r="E80" s="188">
        <v>456818.18181818182</v>
      </c>
      <c r="F80" s="190">
        <v>15.227272727272727</v>
      </c>
      <c r="G80" s="130">
        <f t="shared" si="0"/>
        <v>0</v>
      </c>
    </row>
    <row r="81" spans="1:7" ht="15.75" thickBot="1" x14ac:dyDescent="0.3">
      <c r="A81" s="187" t="s">
        <v>218</v>
      </c>
      <c r="B81" s="187" t="s">
        <v>665</v>
      </c>
      <c r="C81" s="188">
        <v>456818.18181818182</v>
      </c>
      <c r="D81" s="189">
        <v>0</v>
      </c>
      <c r="E81" s="188">
        <v>456818.18181818182</v>
      </c>
      <c r="F81" s="190">
        <v>15.227272727272727</v>
      </c>
      <c r="G81" s="130">
        <f t="shared" si="0"/>
        <v>0</v>
      </c>
    </row>
    <row r="82" spans="1:7" ht="15.75" thickBot="1" x14ac:dyDescent="0.3">
      <c r="A82" s="187" t="s">
        <v>219</v>
      </c>
      <c r="B82" s="187" t="s">
        <v>665</v>
      </c>
      <c r="C82" s="188">
        <v>456818.18181818182</v>
      </c>
      <c r="D82" s="189">
        <v>533746.79</v>
      </c>
      <c r="E82" s="188">
        <v>990564.97181818192</v>
      </c>
      <c r="F82" s="190">
        <v>33.018832393939398</v>
      </c>
      <c r="G82" s="130">
        <f t="shared" si="0"/>
        <v>0.53883067258103001</v>
      </c>
    </row>
    <row r="83" spans="1:7" ht="15.75" thickBot="1" x14ac:dyDescent="0.3">
      <c r="A83" s="187" t="s">
        <v>220</v>
      </c>
      <c r="B83" s="187" t="s">
        <v>665</v>
      </c>
      <c r="C83" s="188">
        <v>456818.18181818182</v>
      </c>
      <c r="D83" s="189">
        <v>201000</v>
      </c>
      <c r="E83" s="188">
        <v>657818.18181818188</v>
      </c>
      <c r="F83" s="190">
        <v>21.927272727272729</v>
      </c>
      <c r="G83" s="130">
        <f t="shared" si="0"/>
        <v>0.30555555555555552</v>
      </c>
    </row>
    <row r="84" spans="1:7" ht="15.75" thickBot="1" x14ac:dyDescent="0.3">
      <c r="A84" s="187" t="s">
        <v>221</v>
      </c>
      <c r="B84" s="187" t="s">
        <v>665</v>
      </c>
      <c r="C84" s="188">
        <v>456818.18181818182</v>
      </c>
      <c r="D84" s="189">
        <v>335000</v>
      </c>
      <c r="E84" s="188">
        <v>791818.18181818188</v>
      </c>
      <c r="F84" s="190">
        <v>26.393939393939394</v>
      </c>
      <c r="G84" s="130">
        <f t="shared" si="0"/>
        <v>0.42307692307692302</v>
      </c>
    </row>
    <row r="85" spans="1:7" ht="15.75" thickBot="1" x14ac:dyDescent="0.3">
      <c r="A85" s="187" t="s">
        <v>222</v>
      </c>
      <c r="B85" s="187" t="s">
        <v>665</v>
      </c>
      <c r="C85" s="188">
        <v>456818.18181818182</v>
      </c>
      <c r="D85" s="189">
        <v>67000</v>
      </c>
      <c r="E85" s="188">
        <v>523818.18181818182</v>
      </c>
      <c r="F85" s="190">
        <v>17.460606060606061</v>
      </c>
      <c r="G85" s="130">
        <f t="shared" si="0"/>
        <v>0.12790697674418605</v>
      </c>
    </row>
    <row r="86" spans="1:7" ht="15.75" thickBot="1" x14ac:dyDescent="0.3">
      <c r="A86" s="187" t="s">
        <v>223</v>
      </c>
      <c r="B86" s="187" t="s">
        <v>665</v>
      </c>
      <c r="C86" s="188">
        <v>456818.18181818182</v>
      </c>
      <c r="D86" s="189">
        <v>670000</v>
      </c>
      <c r="E86" s="188">
        <v>1126818.1818181819</v>
      </c>
      <c r="F86" s="190">
        <v>37.560606060606062</v>
      </c>
      <c r="G86" s="130">
        <f t="shared" si="0"/>
        <v>0.59459459459459452</v>
      </c>
    </row>
    <row r="87" spans="1:7" ht="15.75" thickBot="1" x14ac:dyDescent="0.3">
      <c r="A87" s="191" t="s">
        <v>224</v>
      </c>
      <c r="B87" s="187" t="s">
        <v>665</v>
      </c>
      <c r="C87" s="188">
        <v>456818.18181818182</v>
      </c>
      <c r="D87" s="189">
        <v>536000</v>
      </c>
      <c r="E87" s="188">
        <v>992818.18181818188</v>
      </c>
      <c r="F87" s="190">
        <v>33.093939393939394</v>
      </c>
      <c r="G87" s="130">
        <f t="shared" ref="G87:G120" si="1">D87/E87</f>
        <v>0.53987730061349692</v>
      </c>
    </row>
    <row r="88" spans="1:7" ht="15.75" thickBot="1" x14ac:dyDescent="0.3">
      <c r="A88" s="187" t="s">
        <v>225</v>
      </c>
      <c r="B88" s="187" t="s">
        <v>665</v>
      </c>
      <c r="C88" s="188">
        <v>456818.18181818182</v>
      </c>
      <c r="D88" s="189">
        <v>335000</v>
      </c>
      <c r="E88" s="188">
        <v>791818.18181818188</v>
      </c>
      <c r="F88" s="190">
        <v>26.393939393939394</v>
      </c>
      <c r="G88" s="130">
        <f t="shared" si="1"/>
        <v>0.42307692307692302</v>
      </c>
    </row>
    <row r="89" spans="1:7" ht="15.75" thickBot="1" x14ac:dyDescent="0.3">
      <c r="A89" s="187" t="s">
        <v>226</v>
      </c>
      <c r="B89" s="187" t="s">
        <v>665</v>
      </c>
      <c r="C89" s="188">
        <v>456818.18181818182</v>
      </c>
      <c r="D89" s="189">
        <v>670000</v>
      </c>
      <c r="E89" s="188">
        <v>1126818.1818181819</v>
      </c>
      <c r="F89" s="190">
        <v>37.560606060606062</v>
      </c>
      <c r="G89" s="130">
        <f t="shared" si="1"/>
        <v>0.59459459459459452</v>
      </c>
    </row>
    <row r="90" spans="1:7" ht="15.75" thickBot="1" x14ac:dyDescent="0.3">
      <c r="A90" s="187" t="s">
        <v>227</v>
      </c>
      <c r="B90" s="187" t="s">
        <v>665</v>
      </c>
      <c r="C90" s="188">
        <v>456818.18181818182</v>
      </c>
      <c r="D90" s="189">
        <v>172723.32</v>
      </c>
      <c r="E90" s="188">
        <v>629541.50181818183</v>
      </c>
      <c r="F90" s="190">
        <v>20.984716727272726</v>
      </c>
      <c r="G90" s="130">
        <f t="shared" si="1"/>
        <v>0.27436367499387565</v>
      </c>
    </row>
    <row r="91" spans="1:7" ht="15.75" thickBot="1" x14ac:dyDescent="0.3">
      <c r="A91" s="187" t="s">
        <v>228</v>
      </c>
      <c r="B91" s="187" t="s">
        <v>665</v>
      </c>
      <c r="C91" s="188">
        <v>456818.18181818182</v>
      </c>
      <c r="D91" s="189">
        <v>0</v>
      </c>
      <c r="E91" s="188">
        <v>456818.18181818182</v>
      </c>
      <c r="F91" s="190">
        <v>15.227272727272727</v>
      </c>
      <c r="G91" s="130">
        <f t="shared" si="1"/>
        <v>0</v>
      </c>
    </row>
    <row r="92" spans="1:7" ht="15.75" thickBot="1" x14ac:dyDescent="0.3">
      <c r="A92" s="187" t="s">
        <v>229</v>
      </c>
      <c r="B92" s="187" t="s">
        <v>665</v>
      </c>
      <c r="C92" s="188">
        <v>456818.18181818182</v>
      </c>
      <c r="D92" s="189">
        <v>67000</v>
      </c>
      <c r="E92" s="188">
        <v>523818.18181818182</v>
      </c>
      <c r="F92" s="190">
        <v>17.460606060606061</v>
      </c>
      <c r="G92" s="130">
        <f t="shared" si="1"/>
        <v>0.12790697674418605</v>
      </c>
    </row>
    <row r="93" spans="1:7" ht="15.75" thickBot="1" x14ac:dyDescent="0.3">
      <c r="A93" s="187" t="s">
        <v>230</v>
      </c>
      <c r="B93" s="187" t="s">
        <v>665</v>
      </c>
      <c r="C93" s="188">
        <v>456818.18181818182</v>
      </c>
      <c r="D93" s="189">
        <v>0</v>
      </c>
      <c r="E93" s="188">
        <v>456818.18181818182</v>
      </c>
      <c r="F93" s="190">
        <v>15.227272727272727</v>
      </c>
      <c r="G93" s="130">
        <f t="shared" si="1"/>
        <v>0</v>
      </c>
    </row>
    <row r="94" spans="1:7" ht="15.75" thickBot="1" x14ac:dyDescent="0.3">
      <c r="A94" s="187" t="s">
        <v>231</v>
      </c>
      <c r="B94" s="187" t="s">
        <v>665</v>
      </c>
      <c r="C94" s="188">
        <v>456818.18181818182</v>
      </c>
      <c r="D94" s="189">
        <v>669589.29</v>
      </c>
      <c r="E94" s="188">
        <v>1126407.4718181819</v>
      </c>
      <c r="F94" s="190">
        <v>37.546915727272733</v>
      </c>
      <c r="G94" s="130">
        <f t="shared" si="1"/>
        <v>0.59444677592486816</v>
      </c>
    </row>
    <row r="95" spans="1:7" ht="15.75" thickBot="1" x14ac:dyDescent="0.3">
      <c r="A95" s="187" t="s">
        <v>232</v>
      </c>
      <c r="B95" s="187" t="s">
        <v>665</v>
      </c>
      <c r="C95" s="188">
        <v>456818.18181818182</v>
      </c>
      <c r="D95" s="189">
        <v>0</v>
      </c>
      <c r="E95" s="188">
        <v>456818.18181818182</v>
      </c>
      <c r="F95" s="190">
        <v>15.227272727272727</v>
      </c>
      <c r="G95" s="130">
        <f t="shared" si="1"/>
        <v>0</v>
      </c>
    </row>
    <row r="96" spans="1:7" ht="15.75" thickBot="1" x14ac:dyDescent="0.3">
      <c r="A96" s="187" t="s">
        <v>134</v>
      </c>
      <c r="B96" s="187" t="s">
        <v>665</v>
      </c>
      <c r="C96" s="188">
        <v>456818.18181818182</v>
      </c>
      <c r="D96" s="189">
        <v>3350000</v>
      </c>
      <c r="E96" s="188">
        <v>3806818.1818181816</v>
      </c>
      <c r="F96" s="190">
        <v>126.89393939393939</v>
      </c>
      <c r="G96" s="130">
        <f t="shared" si="1"/>
        <v>0.88</v>
      </c>
    </row>
    <row r="97" spans="1:7" ht="15.75" thickBot="1" x14ac:dyDescent="0.3">
      <c r="A97" s="187" t="s">
        <v>233</v>
      </c>
      <c r="B97" s="187" t="s">
        <v>665</v>
      </c>
      <c r="C97" s="188">
        <v>456818.18181818182</v>
      </c>
      <c r="D97" s="189">
        <v>67000</v>
      </c>
      <c r="E97" s="188">
        <v>523818.18181818182</v>
      </c>
      <c r="F97" s="190">
        <v>17.460606060606061</v>
      </c>
      <c r="G97" s="130">
        <f t="shared" si="1"/>
        <v>0.12790697674418605</v>
      </c>
    </row>
    <row r="98" spans="1:7" ht="15.75" thickBot="1" x14ac:dyDescent="0.3">
      <c r="A98" s="191" t="s">
        <v>234</v>
      </c>
      <c r="B98" s="187" t="s">
        <v>665</v>
      </c>
      <c r="C98" s="188">
        <v>456818.18181818182</v>
      </c>
      <c r="D98" s="189">
        <v>536000</v>
      </c>
      <c r="E98" s="188">
        <v>992818.18181818188</v>
      </c>
      <c r="F98" s="190">
        <v>33.093939393939394</v>
      </c>
      <c r="G98" s="130">
        <f t="shared" si="1"/>
        <v>0.53987730061349692</v>
      </c>
    </row>
    <row r="99" spans="1:7" ht="15.75" thickBot="1" x14ac:dyDescent="0.3">
      <c r="A99" s="187" t="s">
        <v>235</v>
      </c>
      <c r="B99" s="187" t="s">
        <v>665</v>
      </c>
      <c r="C99" s="188">
        <v>456818.18181818182</v>
      </c>
      <c r="D99" s="189">
        <v>949390</v>
      </c>
      <c r="E99" s="188">
        <v>1406208.1818181819</v>
      </c>
      <c r="F99" s="190">
        <v>46.873606060606065</v>
      </c>
      <c r="G99" s="130">
        <f t="shared" si="1"/>
        <v>0.67514185472343735</v>
      </c>
    </row>
    <row r="100" spans="1:7" ht="15.75" thickBot="1" x14ac:dyDescent="0.3">
      <c r="A100" s="187" t="s">
        <v>236</v>
      </c>
      <c r="B100" s="187" t="s">
        <v>665</v>
      </c>
      <c r="C100" s="188">
        <v>456818.18181818182</v>
      </c>
      <c r="D100" s="189">
        <v>670000</v>
      </c>
      <c r="E100" s="188">
        <v>1126818.1818181819</v>
      </c>
      <c r="F100" s="190">
        <v>37.560606060606062</v>
      </c>
      <c r="G100" s="130">
        <f t="shared" si="1"/>
        <v>0.59459459459459452</v>
      </c>
    </row>
    <row r="101" spans="1:7" ht="15.75" thickBot="1" x14ac:dyDescent="0.3">
      <c r="A101" s="187" t="s">
        <v>237</v>
      </c>
      <c r="B101" s="187" t="s">
        <v>665</v>
      </c>
      <c r="C101" s="188">
        <v>456818.18181818182</v>
      </c>
      <c r="D101" s="189">
        <v>566360.38</v>
      </c>
      <c r="E101" s="188">
        <v>1023178.5618181818</v>
      </c>
      <c r="F101" s="190">
        <v>34.105952060606057</v>
      </c>
      <c r="G101" s="130">
        <f t="shared" si="1"/>
        <v>0.55353034273273005</v>
      </c>
    </row>
    <row r="102" spans="1:7" ht="15.75" thickBot="1" x14ac:dyDescent="0.3">
      <c r="A102" s="187" t="s">
        <v>238</v>
      </c>
      <c r="B102" s="187" t="s">
        <v>665</v>
      </c>
      <c r="C102" s="188">
        <v>456818.18181818182</v>
      </c>
      <c r="D102" s="189">
        <v>670000</v>
      </c>
      <c r="E102" s="188">
        <v>1126818.1818181819</v>
      </c>
      <c r="F102" s="190">
        <v>37.560606060606062</v>
      </c>
      <c r="G102" s="130">
        <f t="shared" si="1"/>
        <v>0.59459459459459452</v>
      </c>
    </row>
    <row r="103" spans="1:7" ht="15.75" thickBot="1" x14ac:dyDescent="0.3">
      <c r="A103" s="187" t="s">
        <v>239</v>
      </c>
      <c r="B103" s="187" t="s">
        <v>665</v>
      </c>
      <c r="C103" s="188">
        <v>456818.18181818182</v>
      </c>
      <c r="D103" s="189">
        <v>670000</v>
      </c>
      <c r="E103" s="188">
        <v>1126818.1818181819</v>
      </c>
      <c r="F103" s="190">
        <v>37.560606060606062</v>
      </c>
      <c r="G103" s="130">
        <f t="shared" si="1"/>
        <v>0.59459459459459452</v>
      </c>
    </row>
    <row r="104" spans="1:7" ht="15.75" thickBot="1" x14ac:dyDescent="0.3">
      <c r="A104" s="187" t="s">
        <v>240</v>
      </c>
      <c r="B104" s="187" t="s">
        <v>665</v>
      </c>
      <c r="C104" s="188">
        <v>456818.18181818182</v>
      </c>
      <c r="D104" s="189">
        <v>543107.36</v>
      </c>
      <c r="E104" s="188">
        <v>999925.54181818175</v>
      </c>
      <c r="F104" s="190">
        <v>33.33085139393939</v>
      </c>
      <c r="G104" s="130">
        <f t="shared" si="1"/>
        <v>0.54314780179778044</v>
      </c>
    </row>
    <row r="105" spans="1:7" ht="15.75" thickBot="1" x14ac:dyDescent="0.3">
      <c r="A105" s="187" t="s">
        <v>241</v>
      </c>
      <c r="B105" s="187" t="s">
        <v>665</v>
      </c>
      <c r="C105" s="188">
        <v>456818.18181818182</v>
      </c>
      <c r="D105" s="189">
        <v>536000</v>
      </c>
      <c r="E105" s="188">
        <v>992818.18181818188</v>
      </c>
      <c r="F105" s="190">
        <v>33.093939393939394</v>
      </c>
      <c r="G105" s="130">
        <f t="shared" si="1"/>
        <v>0.53987730061349692</v>
      </c>
    </row>
    <row r="106" spans="1:7" ht="15.75" thickBot="1" x14ac:dyDescent="0.3">
      <c r="A106" s="187" t="s">
        <v>242</v>
      </c>
      <c r="B106" s="187" t="s">
        <v>665</v>
      </c>
      <c r="C106" s="188">
        <v>456818.18181818182</v>
      </c>
      <c r="D106" s="189">
        <v>1340000</v>
      </c>
      <c r="E106" s="188">
        <v>1796818.1818181819</v>
      </c>
      <c r="F106" s="190">
        <v>59.893939393939398</v>
      </c>
      <c r="G106" s="130">
        <f t="shared" si="1"/>
        <v>0.74576271186440679</v>
      </c>
    </row>
    <row r="107" spans="1:7" ht="15.75" thickBot="1" x14ac:dyDescent="0.3">
      <c r="A107" s="187" t="s">
        <v>243</v>
      </c>
      <c r="B107" s="187" t="s">
        <v>665</v>
      </c>
      <c r="C107" s="188">
        <v>456818.18181818182</v>
      </c>
      <c r="D107" s="189">
        <v>0</v>
      </c>
      <c r="E107" s="188">
        <v>456818.18181818182</v>
      </c>
      <c r="F107" s="190">
        <v>15.227272727272727</v>
      </c>
      <c r="G107" s="130">
        <f t="shared" si="1"/>
        <v>0</v>
      </c>
    </row>
    <row r="108" spans="1:7" ht="15.75" thickBot="1" x14ac:dyDescent="0.3">
      <c r="A108" s="187" t="s">
        <v>244</v>
      </c>
      <c r="B108" s="187" t="s">
        <v>665</v>
      </c>
      <c r="C108" s="188">
        <v>456818.18181818182</v>
      </c>
      <c r="D108" s="189">
        <v>642530</v>
      </c>
      <c r="E108" s="188">
        <v>1099348.1818181819</v>
      </c>
      <c r="F108" s="190">
        <v>36.644939393939396</v>
      </c>
      <c r="G108" s="130">
        <f t="shared" si="1"/>
        <v>0.58446451326943316</v>
      </c>
    </row>
    <row r="109" spans="1:7" ht="15.75" thickBot="1" x14ac:dyDescent="0.3">
      <c r="A109" s="187" t="s">
        <v>245</v>
      </c>
      <c r="B109" s="187" t="s">
        <v>665</v>
      </c>
      <c r="C109" s="188">
        <v>456818.18181818182</v>
      </c>
      <c r="D109" s="189">
        <v>402000</v>
      </c>
      <c r="E109" s="188">
        <v>858818.18181818188</v>
      </c>
      <c r="F109" s="190">
        <v>28.627272727272729</v>
      </c>
      <c r="G109" s="130">
        <f t="shared" si="1"/>
        <v>0.46808510638297868</v>
      </c>
    </row>
    <row r="110" spans="1:7" ht="15.75" thickBot="1" x14ac:dyDescent="0.3">
      <c r="A110" s="191" t="s">
        <v>246</v>
      </c>
      <c r="B110" s="187" t="s">
        <v>665</v>
      </c>
      <c r="C110" s="188">
        <v>456818.18181818182</v>
      </c>
      <c r="D110" s="189">
        <v>536000</v>
      </c>
      <c r="E110" s="188">
        <v>992818.18181818188</v>
      </c>
      <c r="F110" s="190">
        <v>33.093939393939394</v>
      </c>
      <c r="G110" s="130">
        <f t="shared" si="1"/>
        <v>0.53987730061349692</v>
      </c>
    </row>
    <row r="111" spans="1:7" ht="15.75" thickBot="1" x14ac:dyDescent="0.3">
      <c r="A111" s="187" t="s">
        <v>247</v>
      </c>
      <c r="B111" s="187" t="s">
        <v>665</v>
      </c>
      <c r="C111" s="188">
        <v>456818.18181818182</v>
      </c>
      <c r="D111" s="189">
        <v>0</v>
      </c>
      <c r="E111" s="188">
        <v>456818.18181818182</v>
      </c>
      <c r="F111" s="190">
        <v>15.227272727272727</v>
      </c>
      <c r="G111" s="130">
        <f t="shared" si="1"/>
        <v>0</v>
      </c>
    </row>
    <row r="112" spans="1:7" ht="15.75" thickBot="1" x14ac:dyDescent="0.3">
      <c r="A112" s="187" t="s">
        <v>248</v>
      </c>
      <c r="B112" s="187" t="s">
        <v>665</v>
      </c>
      <c r="C112" s="188">
        <v>456818.18181818182</v>
      </c>
      <c r="D112" s="189">
        <v>235505</v>
      </c>
      <c r="E112" s="188">
        <v>692323.18181818188</v>
      </c>
      <c r="F112" s="190">
        <v>23.077439393939397</v>
      </c>
      <c r="G112" s="130">
        <f t="shared" si="1"/>
        <v>0.34016627809791927</v>
      </c>
    </row>
    <row r="113" spans="1:9" ht="15.75" thickBot="1" x14ac:dyDescent="0.3">
      <c r="A113" s="187" t="s">
        <v>249</v>
      </c>
      <c r="B113" s="187" t="s">
        <v>665</v>
      </c>
      <c r="C113" s="188">
        <v>456818.18181818182</v>
      </c>
      <c r="D113" s="189">
        <v>268000</v>
      </c>
      <c r="E113" s="188">
        <v>724818.18181818188</v>
      </c>
      <c r="F113" s="190">
        <v>24.160606060606064</v>
      </c>
      <c r="G113" s="130">
        <f t="shared" si="1"/>
        <v>0.36974789915966383</v>
      </c>
    </row>
    <row r="114" spans="1:9" ht="15.75" thickBot="1" x14ac:dyDescent="0.3">
      <c r="A114" s="187" t="s">
        <v>250</v>
      </c>
      <c r="B114" s="187" t="s">
        <v>665</v>
      </c>
      <c r="C114" s="188">
        <v>456818.18181818182</v>
      </c>
      <c r="D114" s="189">
        <v>0</v>
      </c>
      <c r="E114" s="188">
        <v>456818.18181818182</v>
      </c>
      <c r="F114" s="190">
        <v>15.227272727272727</v>
      </c>
      <c r="G114" s="130">
        <f t="shared" si="1"/>
        <v>0</v>
      </c>
    </row>
    <row r="115" spans="1:9" ht="15.75" thickBot="1" x14ac:dyDescent="0.3">
      <c r="A115" s="187" t="s">
        <v>251</v>
      </c>
      <c r="B115" s="187" t="s">
        <v>665</v>
      </c>
      <c r="C115" s="188">
        <v>456818.18181818182</v>
      </c>
      <c r="D115" s="189">
        <v>871000</v>
      </c>
      <c r="E115" s="188">
        <v>1327818.1818181819</v>
      </c>
      <c r="F115" s="190">
        <v>44.260606060606065</v>
      </c>
      <c r="G115" s="130">
        <f t="shared" si="1"/>
        <v>0.65596330275229353</v>
      </c>
    </row>
    <row r="116" spans="1:9" ht="15.75" thickBot="1" x14ac:dyDescent="0.3">
      <c r="A116" s="187" t="s">
        <v>252</v>
      </c>
      <c r="B116" s="187" t="s">
        <v>665</v>
      </c>
      <c r="C116" s="188">
        <v>456818.18181818182</v>
      </c>
      <c r="D116" s="189">
        <v>67000</v>
      </c>
      <c r="E116" s="188">
        <v>523818.18181818182</v>
      </c>
      <c r="F116" s="190">
        <v>17.460606060606061</v>
      </c>
      <c r="G116" s="130">
        <f t="shared" si="1"/>
        <v>0.12790697674418605</v>
      </c>
    </row>
    <row r="117" spans="1:9" ht="15.75" thickBot="1" x14ac:dyDescent="0.3">
      <c r="A117" s="187" t="s">
        <v>253</v>
      </c>
      <c r="B117" s="187" t="s">
        <v>665</v>
      </c>
      <c r="C117" s="188">
        <v>456818.18181818182</v>
      </c>
      <c r="D117" s="189">
        <v>73700</v>
      </c>
      <c r="E117" s="188">
        <v>530518.18181818188</v>
      </c>
      <c r="F117" s="190">
        <v>17.683939393939397</v>
      </c>
      <c r="G117" s="130">
        <f t="shared" si="1"/>
        <v>0.13892078071182548</v>
      </c>
    </row>
    <row r="118" spans="1:9" ht="15.75" thickBot="1" x14ac:dyDescent="0.3">
      <c r="A118" s="187" t="s">
        <v>254</v>
      </c>
      <c r="B118" s="187" t="s">
        <v>665</v>
      </c>
      <c r="C118" s="188">
        <v>456818.18181818182</v>
      </c>
      <c r="D118" s="189">
        <v>1340000</v>
      </c>
      <c r="E118" s="188">
        <v>1796818.1818181819</v>
      </c>
      <c r="F118" s="190">
        <v>59.893939393939398</v>
      </c>
      <c r="G118" s="130">
        <f t="shared" si="1"/>
        <v>0.74576271186440679</v>
      </c>
    </row>
    <row r="119" spans="1:9" ht="15.75" thickBot="1" x14ac:dyDescent="0.3">
      <c r="A119" s="187" t="s">
        <v>255</v>
      </c>
      <c r="B119" s="187" t="s">
        <v>665</v>
      </c>
      <c r="C119" s="188">
        <v>456818.18181818182</v>
      </c>
      <c r="D119" s="189">
        <v>194300</v>
      </c>
      <c r="E119" s="188">
        <v>651118.18181818188</v>
      </c>
      <c r="F119" s="190">
        <v>21.703939393939397</v>
      </c>
      <c r="G119" s="130">
        <f t="shared" si="1"/>
        <v>0.29840972871842841</v>
      </c>
    </row>
    <row r="120" spans="1:9" ht="15.75" thickBot="1" x14ac:dyDescent="0.3">
      <c r="A120" s="187" t="s">
        <v>256</v>
      </c>
      <c r="B120" s="187" t="s">
        <v>665</v>
      </c>
      <c r="C120" s="188">
        <v>456818.18181818182</v>
      </c>
      <c r="D120" s="189">
        <v>670000</v>
      </c>
      <c r="E120" s="188">
        <v>1126818.1818181819</v>
      </c>
      <c r="F120" s="190">
        <v>37.560606060606062</v>
      </c>
      <c r="G120" s="130">
        <f t="shared" si="1"/>
        <v>0.59459459459459452</v>
      </c>
    </row>
    <row r="121" spans="1:9" x14ac:dyDescent="0.25">
      <c r="A121" s="192"/>
      <c r="B121" s="192"/>
      <c r="D121" s="193"/>
    </row>
    <row r="122" spans="1:9" ht="15.75" x14ac:dyDescent="0.25">
      <c r="A122" s="194" t="s">
        <v>156</v>
      </c>
      <c r="B122" s="194"/>
      <c r="C122" s="195">
        <v>45225000.000000007</v>
      </c>
      <c r="D122" s="195">
        <v>46929075.990000002</v>
      </c>
      <c r="E122" s="195">
        <v>92154075.990000069</v>
      </c>
      <c r="F122" s="196">
        <v>3071.802533</v>
      </c>
    </row>
    <row r="123" spans="1:9" x14ac:dyDescent="0.25">
      <c r="B123" s="192"/>
      <c r="C123" s="197"/>
      <c r="D123" s="198"/>
      <c r="E123" s="199"/>
      <c r="H123" t="s">
        <v>666</v>
      </c>
      <c r="I123">
        <v>0</v>
      </c>
    </row>
    <row r="125" spans="1:9" x14ac:dyDescent="0.25">
      <c r="D125" s="200"/>
    </row>
  </sheetData>
  <mergeCells count="2">
    <mergeCell ref="E1:G1"/>
    <mergeCell ref="C19:F19"/>
  </mergeCell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0A9A9-4AFC-4E07-B8D5-F702EA31238A}">
  <sheetPr>
    <tabColor theme="6" tint="0.79998168889431442"/>
  </sheetPr>
  <dimension ref="A1:P8"/>
  <sheetViews>
    <sheetView zoomScale="110" zoomScaleNormal="110" workbookViewId="0">
      <selection activeCell="S7" sqref="S7:S79"/>
    </sheetView>
  </sheetViews>
  <sheetFormatPr defaultColWidth="9.140625" defaultRowHeight="12" x14ac:dyDescent="0.2"/>
  <cols>
    <col min="1" max="1" width="14.140625" style="22" bestFit="1" customWidth="1"/>
    <col min="2" max="2" width="13.140625" style="22" customWidth="1"/>
    <col min="3" max="4" width="12.5703125" style="22" bestFit="1" customWidth="1"/>
    <col min="5" max="5" width="13.140625" style="22" customWidth="1"/>
    <col min="6" max="11" width="9.140625" style="22"/>
    <col min="12" max="12" width="13.7109375" style="22" bestFit="1" customWidth="1"/>
    <col min="13" max="15" width="9.140625" style="22"/>
    <col min="16" max="16" width="13.42578125" style="22" customWidth="1"/>
    <col min="17" max="16384" width="9.140625" style="22"/>
  </cols>
  <sheetData>
    <row r="1" spans="1:16" s="108" customFormat="1" x14ac:dyDescent="0.25">
      <c r="A1" s="288" t="s">
        <v>667</v>
      </c>
      <c r="B1" s="105" t="s">
        <v>126</v>
      </c>
      <c r="C1" s="105" t="s">
        <v>132</v>
      </c>
      <c r="D1" s="105" t="s">
        <v>134</v>
      </c>
      <c r="E1" s="105" t="s">
        <v>136</v>
      </c>
      <c r="L1" s="290"/>
    </row>
    <row r="2" spans="1:16" s="110" customFormat="1" ht="48" x14ac:dyDescent="0.25">
      <c r="A2" s="289"/>
      <c r="B2" s="109" t="s">
        <v>668</v>
      </c>
      <c r="C2" s="109" t="s">
        <v>669</v>
      </c>
      <c r="D2" s="109" t="s">
        <v>670</v>
      </c>
      <c r="E2" s="109" t="s">
        <v>671</v>
      </c>
      <c r="L2" s="290"/>
    </row>
    <row r="3" spans="1:16" x14ac:dyDescent="0.2">
      <c r="A3" s="43" t="s">
        <v>128</v>
      </c>
      <c r="B3" s="111">
        <v>456818.18</v>
      </c>
      <c r="C3" s="111">
        <v>456818.18</v>
      </c>
      <c r="D3" s="111">
        <v>456818.18</v>
      </c>
      <c r="E3" s="111">
        <v>456818.18</v>
      </c>
      <c r="M3" s="112"/>
      <c r="N3" s="112"/>
      <c r="O3" s="112"/>
      <c r="P3" s="112"/>
    </row>
    <row r="4" spans="1:16" x14ac:dyDescent="0.2">
      <c r="A4" s="43" t="s">
        <v>129</v>
      </c>
      <c r="B4" s="111">
        <v>2680000</v>
      </c>
      <c r="C4" s="111">
        <v>3350000</v>
      </c>
      <c r="D4" s="111">
        <v>3350000</v>
      </c>
      <c r="E4" s="111">
        <v>954750</v>
      </c>
      <c r="M4" s="112"/>
      <c r="N4" s="112"/>
      <c r="O4" s="112"/>
      <c r="P4" s="112"/>
    </row>
    <row r="5" spans="1:16" x14ac:dyDescent="0.2">
      <c r="A5" s="43" t="s">
        <v>130</v>
      </c>
      <c r="B5" s="111">
        <v>50000</v>
      </c>
      <c r="C5" s="111">
        <v>50000</v>
      </c>
      <c r="D5" s="111">
        <v>50000</v>
      </c>
      <c r="E5" s="111">
        <v>0</v>
      </c>
      <c r="I5" s="46"/>
      <c r="M5" s="112"/>
      <c r="N5" s="112"/>
      <c r="O5" s="112"/>
      <c r="P5" s="112"/>
    </row>
    <row r="6" spans="1:16" x14ac:dyDescent="0.2">
      <c r="A6" s="43" t="s">
        <v>131</v>
      </c>
      <c r="B6" s="111">
        <v>928310</v>
      </c>
      <c r="C6" s="111">
        <v>1173317</v>
      </c>
      <c r="D6" s="111">
        <v>1173317</v>
      </c>
      <c r="E6" s="111">
        <f>193100+25000</f>
        <v>218100</v>
      </c>
      <c r="M6" s="112"/>
      <c r="N6" s="112"/>
      <c r="O6" s="112"/>
      <c r="P6" s="112"/>
    </row>
    <row r="7" spans="1:16" x14ac:dyDescent="0.2">
      <c r="A7" s="47" t="s">
        <v>156</v>
      </c>
      <c r="B7" s="113">
        <f>SUM(B3:B6)</f>
        <v>4115128.18</v>
      </c>
      <c r="C7" s="113">
        <f t="shared" ref="C7:E7" si="0">SUM(C3:C6)</f>
        <v>5030135.18</v>
      </c>
      <c r="D7" s="113">
        <f t="shared" si="0"/>
        <v>5030135.18</v>
      </c>
      <c r="E7" s="113">
        <f t="shared" si="0"/>
        <v>1629668.18</v>
      </c>
      <c r="M7" s="112"/>
      <c r="N7" s="112"/>
      <c r="O7" s="112"/>
      <c r="P7" s="112"/>
    </row>
    <row r="8" spans="1:16" x14ac:dyDescent="0.2">
      <c r="A8" s="291" t="s">
        <v>672</v>
      </c>
      <c r="B8" s="291"/>
      <c r="C8" s="291"/>
      <c r="D8" s="291"/>
    </row>
  </sheetData>
  <mergeCells count="3">
    <mergeCell ref="A1:A2"/>
    <mergeCell ref="L1:L2"/>
    <mergeCell ref="A8:D8"/>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EA6CA-87CB-42D4-9D4D-427833F8FC9B}">
  <dimension ref="A1:BW51"/>
  <sheetViews>
    <sheetView zoomScale="90" zoomScaleNormal="90" workbookViewId="0">
      <selection activeCell="S7" sqref="S7:S79"/>
    </sheetView>
  </sheetViews>
  <sheetFormatPr defaultColWidth="12.28515625" defaultRowHeight="12" x14ac:dyDescent="0.2"/>
  <cols>
    <col min="1" max="1" width="13" style="22" customWidth="1"/>
    <col min="2" max="2" width="28.7109375" style="22" customWidth="1"/>
    <col min="3" max="8" width="9.5703125" style="22" bestFit="1" customWidth="1"/>
    <col min="9" max="9" width="11.5703125" style="22" customWidth="1"/>
    <col min="10" max="10" width="12.28515625" style="22"/>
    <col min="11" max="11" width="28.7109375" style="22" customWidth="1"/>
    <col min="12" max="17" width="9.5703125" style="22" bestFit="1" customWidth="1"/>
    <col min="18" max="19" width="12.28515625" style="22"/>
    <col min="20" max="20" width="13" style="22" customWidth="1"/>
    <col min="21" max="21" width="28.7109375" style="22" customWidth="1"/>
    <col min="22" max="27" width="9.5703125" style="22" bestFit="1" customWidth="1"/>
    <col min="28" max="28" width="11.5703125" style="22" customWidth="1"/>
    <col min="29" max="29" width="12.28515625" style="22"/>
    <col min="30" max="30" width="28.7109375" style="22" customWidth="1"/>
    <col min="31" max="36" width="9.5703125" style="22" bestFit="1" customWidth="1"/>
    <col min="37" max="38" width="12.28515625" style="22"/>
    <col min="39" max="39" width="13" style="22" customWidth="1"/>
    <col min="40" max="40" width="28.7109375" style="22" customWidth="1"/>
    <col min="41" max="46" width="9.5703125" style="22" bestFit="1" customWidth="1"/>
    <col min="47" max="47" width="11.5703125" style="22" customWidth="1"/>
    <col min="48" max="48" width="12.28515625" style="22"/>
    <col min="49" max="49" width="28.7109375" style="22" customWidth="1"/>
    <col min="50" max="55" width="9.5703125" style="22" bestFit="1" customWidth="1"/>
    <col min="56" max="57" width="12.28515625" style="22"/>
    <col min="58" max="58" width="13" style="22" customWidth="1"/>
    <col min="59" max="59" width="28.7109375" style="22" customWidth="1"/>
    <col min="60" max="65" width="9.5703125" style="22" bestFit="1" customWidth="1"/>
    <col min="66" max="66" width="11.5703125" style="22" customWidth="1"/>
    <col min="67" max="67" width="12.28515625" style="22"/>
    <col min="68" max="68" width="28.7109375" style="22" customWidth="1"/>
    <col min="69" max="74" width="9.5703125" style="22" bestFit="1" customWidth="1"/>
    <col min="75" max="16384" width="12.28515625" style="22"/>
  </cols>
  <sheetData>
    <row r="1" spans="1:75" ht="15.75" x14ac:dyDescent="0.25">
      <c r="A1" s="292" t="s">
        <v>673</v>
      </c>
      <c r="B1" s="292"/>
      <c r="C1" s="292"/>
      <c r="D1" s="292"/>
      <c r="E1" s="292"/>
      <c r="F1" s="292"/>
      <c r="G1" s="292"/>
      <c r="H1" s="292"/>
      <c r="I1" s="292"/>
      <c r="J1" s="292"/>
      <c r="K1" s="292"/>
      <c r="L1" s="292"/>
      <c r="M1" s="292"/>
      <c r="N1" s="292"/>
      <c r="O1" s="292"/>
      <c r="P1" s="292"/>
      <c r="Q1" s="292"/>
      <c r="R1" s="292"/>
      <c r="T1" s="295" t="s">
        <v>674</v>
      </c>
      <c r="U1" s="295"/>
      <c r="V1" s="295"/>
      <c r="W1" s="295"/>
      <c r="X1" s="295"/>
      <c r="Y1" s="295"/>
      <c r="Z1" s="295"/>
      <c r="AA1" s="295"/>
      <c r="AB1" s="295"/>
      <c r="AC1" s="295"/>
      <c r="AD1" s="295"/>
      <c r="AE1" s="295"/>
      <c r="AF1" s="295"/>
      <c r="AG1" s="295"/>
      <c r="AH1" s="295"/>
      <c r="AI1" s="295"/>
      <c r="AJ1" s="295"/>
      <c r="AK1" s="295"/>
      <c r="AM1" s="292" t="s">
        <v>675</v>
      </c>
      <c r="AN1" s="292"/>
      <c r="AO1" s="292"/>
      <c r="AP1" s="292"/>
      <c r="AQ1" s="292"/>
      <c r="AR1" s="292"/>
      <c r="AS1" s="292"/>
      <c r="AT1" s="292"/>
      <c r="AU1" s="292"/>
      <c r="AV1" s="292"/>
      <c r="AW1" s="292"/>
      <c r="AX1" s="292"/>
      <c r="AY1" s="292"/>
      <c r="AZ1" s="292"/>
      <c r="BA1" s="292"/>
      <c r="BB1" s="292"/>
      <c r="BC1" s="292"/>
      <c r="BD1" s="292"/>
      <c r="BF1" s="295" t="s">
        <v>676</v>
      </c>
      <c r="BG1" s="295"/>
      <c r="BH1" s="295"/>
      <c r="BI1" s="295"/>
      <c r="BJ1" s="295"/>
      <c r="BK1" s="295"/>
      <c r="BL1" s="295"/>
      <c r="BM1" s="295"/>
      <c r="BN1" s="295"/>
      <c r="BO1" s="295"/>
      <c r="BP1" s="295"/>
      <c r="BQ1" s="295"/>
      <c r="BR1" s="295"/>
      <c r="BS1" s="295"/>
      <c r="BT1" s="295"/>
      <c r="BU1" s="295"/>
      <c r="BV1" s="295"/>
      <c r="BW1" s="295"/>
    </row>
    <row r="2" spans="1:75" ht="15" x14ac:dyDescent="0.25">
      <c r="A2" s="293" t="s">
        <v>677</v>
      </c>
      <c r="B2" s="293"/>
      <c r="C2" s="293"/>
      <c r="D2" s="293"/>
      <c r="E2" s="293"/>
      <c r="F2" s="293"/>
      <c r="G2" s="293"/>
      <c r="H2" s="293"/>
      <c r="I2" s="28"/>
      <c r="J2" s="294" t="s">
        <v>678</v>
      </c>
      <c r="K2" s="294"/>
      <c r="L2" s="294"/>
      <c r="M2" s="294"/>
      <c r="N2" s="294"/>
      <c r="O2" s="294"/>
      <c r="P2" s="294"/>
      <c r="Q2" s="294"/>
      <c r="T2" s="293" t="s">
        <v>677</v>
      </c>
      <c r="U2" s="293"/>
      <c r="V2" s="293"/>
      <c r="W2" s="293"/>
      <c r="X2" s="293"/>
      <c r="Y2" s="293"/>
      <c r="Z2" s="293"/>
      <c r="AA2" s="293"/>
      <c r="AB2" s="28"/>
      <c r="AC2" s="294" t="s">
        <v>678</v>
      </c>
      <c r="AD2" s="294"/>
      <c r="AE2" s="294"/>
      <c r="AF2" s="294"/>
      <c r="AG2" s="294"/>
      <c r="AH2" s="294"/>
      <c r="AI2" s="294"/>
      <c r="AJ2" s="294"/>
      <c r="AM2" s="293" t="s">
        <v>677</v>
      </c>
      <c r="AN2" s="293"/>
      <c r="AO2" s="293"/>
      <c r="AP2" s="293"/>
      <c r="AQ2" s="293"/>
      <c r="AR2" s="293"/>
      <c r="AS2" s="293"/>
      <c r="AT2" s="293"/>
      <c r="AU2" s="28"/>
      <c r="AV2" s="294" t="s">
        <v>678</v>
      </c>
      <c r="AW2" s="294"/>
      <c r="AX2" s="294"/>
      <c r="AY2" s="294"/>
      <c r="AZ2" s="294"/>
      <c r="BA2" s="294"/>
      <c r="BB2" s="294"/>
      <c r="BC2" s="294"/>
      <c r="BF2" s="293" t="s">
        <v>677</v>
      </c>
      <c r="BG2" s="293"/>
      <c r="BH2" s="293"/>
      <c r="BI2" s="293"/>
      <c r="BJ2" s="293"/>
      <c r="BK2" s="293"/>
      <c r="BL2" s="293"/>
      <c r="BM2" s="293"/>
      <c r="BN2" s="28"/>
      <c r="BO2" s="294" t="s">
        <v>678</v>
      </c>
      <c r="BP2" s="294"/>
      <c r="BQ2" s="294"/>
      <c r="BR2" s="294"/>
      <c r="BS2" s="294"/>
      <c r="BT2" s="294"/>
      <c r="BU2" s="294"/>
      <c r="BV2" s="294"/>
    </row>
    <row r="3" spans="1:75" x14ac:dyDescent="0.2">
      <c r="A3" s="22">
        <v>1</v>
      </c>
      <c r="B3" s="22">
        <v>2</v>
      </c>
      <c r="C3" s="22">
        <v>3</v>
      </c>
      <c r="D3" s="22">
        <v>4</v>
      </c>
      <c r="E3" s="22">
        <v>5</v>
      </c>
      <c r="F3" s="22">
        <v>6</v>
      </c>
      <c r="G3" s="22">
        <v>7</v>
      </c>
      <c r="H3" s="22">
        <v>8</v>
      </c>
      <c r="J3" s="22">
        <v>1</v>
      </c>
      <c r="K3" s="22">
        <v>2</v>
      </c>
      <c r="L3" s="22">
        <v>3</v>
      </c>
      <c r="M3" s="22">
        <v>4</v>
      </c>
      <c r="N3" s="22">
        <v>5</v>
      </c>
      <c r="O3" s="22">
        <v>6</v>
      </c>
      <c r="P3" s="22">
        <v>7</v>
      </c>
      <c r="Q3" s="22">
        <v>8</v>
      </c>
      <c r="T3" s="22">
        <v>1</v>
      </c>
      <c r="U3" s="22">
        <v>2</v>
      </c>
      <c r="V3" s="22">
        <v>3</v>
      </c>
      <c r="W3" s="22">
        <v>4</v>
      </c>
      <c r="X3" s="22">
        <v>5</v>
      </c>
      <c r="Y3" s="22">
        <v>6</v>
      </c>
      <c r="Z3" s="22">
        <v>7</v>
      </c>
      <c r="AA3" s="22">
        <v>8</v>
      </c>
      <c r="AC3" s="22">
        <v>1</v>
      </c>
      <c r="AD3" s="22">
        <v>2</v>
      </c>
      <c r="AE3" s="22">
        <v>3</v>
      </c>
      <c r="AF3" s="22">
        <v>4</v>
      </c>
      <c r="AG3" s="22">
        <v>5</v>
      </c>
      <c r="AH3" s="22">
        <v>6</v>
      </c>
      <c r="AI3" s="22">
        <v>7</v>
      </c>
      <c r="AJ3" s="22">
        <v>8</v>
      </c>
      <c r="AM3" s="22">
        <v>1</v>
      </c>
      <c r="AN3" s="22">
        <v>2</v>
      </c>
      <c r="AO3" s="22">
        <v>3</v>
      </c>
      <c r="AP3" s="22">
        <v>4</v>
      </c>
      <c r="AQ3" s="22">
        <v>5</v>
      </c>
      <c r="AR3" s="22">
        <v>6</v>
      </c>
      <c r="AS3" s="22">
        <v>7</v>
      </c>
      <c r="AT3" s="22">
        <v>8</v>
      </c>
      <c r="AV3" s="22">
        <v>1</v>
      </c>
      <c r="AW3" s="22">
        <v>2</v>
      </c>
      <c r="AX3" s="22">
        <v>3</v>
      </c>
      <c r="AY3" s="22">
        <v>4</v>
      </c>
      <c r="AZ3" s="22">
        <v>5</v>
      </c>
      <c r="BA3" s="22">
        <v>6</v>
      </c>
      <c r="BB3" s="22">
        <v>7</v>
      </c>
      <c r="BC3" s="22">
        <v>8</v>
      </c>
      <c r="BF3" s="22">
        <v>1</v>
      </c>
      <c r="BG3" s="22">
        <v>2</v>
      </c>
      <c r="BH3" s="22">
        <v>3</v>
      </c>
      <c r="BI3" s="22">
        <v>4</v>
      </c>
      <c r="BJ3" s="22">
        <v>5</v>
      </c>
      <c r="BK3" s="22">
        <v>6</v>
      </c>
      <c r="BL3" s="22">
        <v>7</v>
      </c>
      <c r="BM3" s="22">
        <v>8</v>
      </c>
      <c r="BO3" s="22">
        <v>1</v>
      </c>
      <c r="BP3" s="22">
        <v>2</v>
      </c>
      <c r="BQ3" s="22">
        <v>3</v>
      </c>
      <c r="BR3" s="22">
        <v>4</v>
      </c>
      <c r="BS3" s="22">
        <v>5</v>
      </c>
      <c r="BT3" s="22">
        <v>6</v>
      </c>
      <c r="BU3" s="22">
        <v>7</v>
      </c>
      <c r="BV3" s="22">
        <v>8</v>
      </c>
    </row>
    <row r="4" spans="1:75" ht="15" x14ac:dyDescent="0.25">
      <c r="A4" t="s">
        <v>112</v>
      </c>
      <c r="B4"/>
      <c r="C4" t="s">
        <v>5</v>
      </c>
      <c r="D4"/>
      <c r="E4"/>
      <c r="F4"/>
      <c r="G4"/>
      <c r="H4"/>
      <c r="I4"/>
      <c r="J4" t="s">
        <v>112</v>
      </c>
      <c r="K4"/>
      <c r="L4" t="s">
        <v>5</v>
      </c>
      <c r="M4"/>
      <c r="N4"/>
      <c r="O4"/>
      <c r="P4"/>
      <c r="Q4"/>
      <c r="R4"/>
      <c r="S4"/>
      <c r="T4" t="s">
        <v>112</v>
      </c>
      <c r="U4"/>
      <c r="V4" t="s">
        <v>5</v>
      </c>
      <c r="W4"/>
      <c r="X4"/>
      <c r="Y4"/>
      <c r="Z4"/>
      <c r="AA4"/>
      <c r="AB4"/>
      <c r="AC4" t="s">
        <v>112</v>
      </c>
      <c r="AD4"/>
      <c r="AE4" t="s">
        <v>5</v>
      </c>
      <c r="AF4"/>
      <c r="AG4"/>
      <c r="AH4"/>
      <c r="AI4"/>
      <c r="AJ4"/>
      <c r="AK4"/>
      <c r="AM4" t="s">
        <v>112</v>
      </c>
      <c r="AN4"/>
      <c r="AO4" t="s">
        <v>5</v>
      </c>
      <c r="AP4"/>
      <c r="AQ4"/>
      <c r="AR4"/>
      <c r="AS4"/>
      <c r="AT4"/>
      <c r="AU4"/>
      <c r="AV4" t="s">
        <v>112</v>
      </c>
      <c r="AW4"/>
      <c r="AX4" t="s">
        <v>5</v>
      </c>
      <c r="AY4"/>
      <c r="AZ4"/>
      <c r="BA4"/>
      <c r="BB4"/>
      <c r="BC4"/>
      <c r="BD4"/>
      <c r="BF4" t="s">
        <v>112</v>
      </c>
      <c r="BG4"/>
      <c r="BH4" t="s">
        <v>5</v>
      </c>
      <c r="BI4"/>
      <c r="BJ4"/>
      <c r="BK4"/>
      <c r="BL4"/>
      <c r="BM4"/>
      <c r="BN4"/>
      <c r="BO4" t="s">
        <v>112</v>
      </c>
      <c r="BP4"/>
      <c r="BQ4" t="s">
        <v>5</v>
      </c>
      <c r="BR4"/>
      <c r="BS4"/>
      <c r="BT4"/>
      <c r="BU4"/>
      <c r="BV4"/>
      <c r="BW4"/>
    </row>
    <row r="5" spans="1:75" s="204" customFormat="1" ht="24.75" x14ac:dyDescent="0.25">
      <c r="A5" t="s">
        <v>7</v>
      </c>
      <c r="B5" t="s">
        <v>8</v>
      </c>
      <c r="C5" s="203" t="s">
        <v>34</v>
      </c>
      <c r="D5" s="203" t="s">
        <v>43</v>
      </c>
      <c r="E5" s="203" t="s">
        <v>52</v>
      </c>
      <c r="F5" s="203" t="s">
        <v>62</v>
      </c>
      <c r="G5" s="203" t="s">
        <v>79</v>
      </c>
      <c r="H5" s="203" t="s">
        <v>117</v>
      </c>
      <c r="I5"/>
      <c r="J5" t="s">
        <v>7</v>
      </c>
      <c r="K5" t="s">
        <v>8</v>
      </c>
      <c r="L5" t="s">
        <v>18</v>
      </c>
      <c r="M5" t="s">
        <v>39</v>
      </c>
      <c r="N5" t="s">
        <v>48</v>
      </c>
      <c r="O5" t="s">
        <v>57</v>
      </c>
      <c r="P5" t="s">
        <v>66</v>
      </c>
      <c r="Q5" t="s">
        <v>117</v>
      </c>
      <c r="R5"/>
      <c r="S5"/>
      <c r="T5" t="s">
        <v>7</v>
      </c>
      <c r="U5" t="s">
        <v>8</v>
      </c>
      <c r="V5" s="203" t="s">
        <v>34</v>
      </c>
      <c r="W5" s="203" t="s">
        <v>43</v>
      </c>
      <c r="X5" s="203" t="s">
        <v>52</v>
      </c>
      <c r="Y5" s="203" t="s">
        <v>62</v>
      </c>
      <c r="Z5" s="203" t="s">
        <v>79</v>
      </c>
      <c r="AA5" s="203" t="s">
        <v>117</v>
      </c>
      <c r="AB5"/>
      <c r="AC5" t="s">
        <v>7</v>
      </c>
      <c r="AD5" t="s">
        <v>8</v>
      </c>
      <c r="AE5" t="s">
        <v>18</v>
      </c>
      <c r="AF5" t="s">
        <v>39</v>
      </c>
      <c r="AG5" t="s">
        <v>48</v>
      </c>
      <c r="AH5" t="s">
        <v>57</v>
      </c>
      <c r="AI5" t="s">
        <v>66</v>
      </c>
      <c r="AJ5" t="s">
        <v>117</v>
      </c>
      <c r="AK5"/>
      <c r="AM5" t="s">
        <v>7</v>
      </c>
      <c r="AN5" t="s">
        <v>8</v>
      </c>
      <c r="AO5" s="203" t="s">
        <v>34</v>
      </c>
      <c r="AP5" s="203" t="s">
        <v>43</v>
      </c>
      <c r="AQ5" s="203" t="s">
        <v>52</v>
      </c>
      <c r="AR5" s="203" t="s">
        <v>62</v>
      </c>
      <c r="AS5" s="203" t="s">
        <v>79</v>
      </c>
      <c r="AT5" s="203" t="s">
        <v>117</v>
      </c>
      <c r="AU5"/>
      <c r="AV5" t="s">
        <v>7</v>
      </c>
      <c r="AW5" t="s">
        <v>8</v>
      </c>
      <c r="AX5" t="s">
        <v>18</v>
      </c>
      <c r="AY5" t="s">
        <v>39</v>
      </c>
      <c r="AZ5" t="s">
        <v>48</v>
      </c>
      <c r="BA5" t="s">
        <v>57</v>
      </c>
      <c r="BB5" t="s">
        <v>66</v>
      </c>
      <c r="BC5" t="s">
        <v>117</v>
      </c>
      <c r="BD5"/>
      <c r="BF5" t="s">
        <v>7</v>
      </c>
      <c r="BG5" t="s">
        <v>8</v>
      </c>
      <c r="BH5" s="203" t="s">
        <v>34</v>
      </c>
      <c r="BI5" s="203" t="s">
        <v>43</v>
      </c>
      <c r="BJ5" s="203" t="s">
        <v>52</v>
      </c>
      <c r="BK5" s="203" t="s">
        <v>62</v>
      </c>
      <c r="BL5" s="203" t="s">
        <v>79</v>
      </c>
      <c r="BM5" s="203" t="s">
        <v>117</v>
      </c>
      <c r="BN5"/>
      <c r="BO5" t="s">
        <v>7</v>
      </c>
      <c r="BP5" t="s">
        <v>8</v>
      </c>
      <c r="BQ5" t="s">
        <v>18</v>
      </c>
      <c r="BR5" t="s">
        <v>39</v>
      </c>
      <c r="BS5" t="s">
        <v>48</v>
      </c>
      <c r="BT5" t="s">
        <v>57</v>
      </c>
      <c r="BU5" t="s">
        <v>66</v>
      </c>
      <c r="BV5" t="s">
        <v>117</v>
      </c>
      <c r="BW5"/>
    </row>
    <row r="6" spans="1:75" ht="15" x14ac:dyDescent="0.25">
      <c r="A6" s="205">
        <v>61200</v>
      </c>
      <c r="B6" t="s">
        <v>29</v>
      </c>
      <c r="C6"/>
      <c r="D6"/>
      <c r="E6"/>
      <c r="F6"/>
      <c r="G6"/>
      <c r="H6"/>
      <c r="I6"/>
      <c r="J6" s="205">
        <v>61200</v>
      </c>
      <c r="K6" t="s">
        <v>29</v>
      </c>
      <c r="L6"/>
      <c r="M6"/>
      <c r="N6"/>
      <c r="O6"/>
      <c r="P6"/>
      <c r="Q6"/>
      <c r="R6"/>
      <c r="S6"/>
      <c r="T6" s="205">
        <v>61200</v>
      </c>
      <c r="U6" t="s">
        <v>29</v>
      </c>
      <c r="V6"/>
      <c r="W6"/>
      <c r="X6"/>
      <c r="Y6"/>
      <c r="Z6"/>
      <c r="AA6"/>
      <c r="AB6"/>
      <c r="AC6" s="205">
        <v>61200</v>
      </c>
      <c r="AD6" t="s">
        <v>29</v>
      </c>
      <c r="AE6"/>
      <c r="AF6"/>
      <c r="AG6"/>
      <c r="AH6"/>
      <c r="AI6"/>
      <c r="AJ6"/>
      <c r="AK6"/>
      <c r="AM6" s="205">
        <v>61200</v>
      </c>
      <c r="AN6" t="s">
        <v>29</v>
      </c>
      <c r="AO6"/>
      <c r="AP6"/>
      <c r="AQ6"/>
      <c r="AR6"/>
      <c r="AS6"/>
      <c r="AT6"/>
      <c r="AU6"/>
      <c r="AV6" s="205">
        <v>61200</v>
      </c>
      <c r="AW6" t="s">
        <v>29</v>
      </c>
      <c r="AX6"/>
      <c r="AY6"/>
      <c r="AZ6"/>
      <c r="BA6"/>
      <c r="BB6"/>
      <c r="BC6"/>
      <c r="BD6"/>
      <c r="BF6" s="205">
        <v>61200</v>
      </c>
      <c r="BG6" t="s">
        <v>29</v>
      </c>
      <c r="BH6"/>
      <c r="BI6"/>
      <c r="BJ6"/>
      <c r="BK6"/>
      <c r="BL6"/>
      <c r="BM6"/>
      <c r="BN6"/>
      <c r="BO6" s="205">
        <v>61200</v>
      </c>
      <c r="BP6" t="s">
        <v>29</v>
      </c>
      <c r="BQ6"/>
      <c r="BR6"/>
      <c r="BS6"/>
      <c r="BT6"/>
      <c r="BU6"/>
      <c r="BV6"/>
      <c r="BW6"/>
    </row>
    <row r="7" spans="1:75" ht="15" x14ac:dyDescent="0.25">
      <c r="A7" s="205">
        <v>61300</v>
      </c>
      <c r="B7" t="s">
        <v>30</v>
      </c>
      <c r="C7"/>
      <c r="D7"/>
      <c r="E7"/>
      <c r="F7"/>
      <c r="G7"/>
      <c r="H7"/>
      <c r="I7"/>
      <c r="J7" s="205">
        <v>61300</v>
      </c>
      <c r="K7" t="s">
        <v>30</v>
      </c>
      <c r="L7"/>
      <c r="M7"/>
      <c r="N7"/>
      <c r="O7"/>
      <c r="P7"/>
      <c r="Q7"/>
      <c r="R7"/>
      <c r="S7"/>
      <c r="T7" s="205">
        <v>61300</v>
      </c>
      <c r="U7" t="s">
        <v>30</v>
      </c>
      <c r="V7"/>
      <c r="W7"/>
      <c r="X7"/>
      <c r="Y7"/>
      <c r="Z7"/>
      <c r="AA7"/>
      <c r="AB7"/>
      <c r="AC7" s="205">
        <v>61300</v>
      </c>
      <c r="AD7" t="s">
        <v>30</v>
      </c>
      <c r="AE7"/>
      <c r="AF7"/>
      <c r="AG7"/>
      <c r="AH7"/>
      <c r="AI7"/>
      <c r="AJ7"/>
      <c r="AK7"/>
      <c r="AM7" s="205">
        <v>61300</v>
      </c>
      <c r="AN7" t="s">
        <v>30</v>
      </c>
      <c r="AO7"/>
      <c r="AP7"/>
      <c r="AQ7"/>
      <c r="AR7"/>
      <c r="AS7"/>
      <c r="AT7"/>
      <c r="AU7"/>
      <c r="AV7" s="205">
        <v>61300</v>
      </c>
      <c r="AW7" t="s">
        <v>30</v>
      </c>
      <c r="AX7"/>
      <c r="AY7"/>
      <c r="AZ7"/>
      <c r="BA7"/>
      <c r="BB7"/>
      <c r="BC7"/>
      <c r="BD7"/>
      <c r="BF7" s="205">
        <v>61300</v>
      </c>
      <c r="BG7" t="s">
        <v>30</v>
      </c>
      <c r="BH7"/>
      <c r="BI7"/>
      <c r="BJ7"/>
      <c r="BK7"/>
      <c r="BL7"/>
      <c r="BM7"/>
      <c r="BN7"/>
      <c r="BO7" s="205">
        <v>61300</v>
      </c>
      <c r="BP7" t="s">
        <v>30</v>
      </c>
      <c r="BQ7"/>
      <c r="BR7"/>
      <c r="BS7"/>
      <c r="BT7"/>
      <c r="BU7"/>
      <c r="BV7"/>
      <c r="BW7"/>
    </row>
    <row r="8" spans="1:75" ht="15" x14ac:dyDescent="0.25">
      <c r="A8" s="205">
        <v>71200</v>
      </c>
      <c r="B8" t="s">
        <v>19</v>
      </c>
      <c r="C8"/>
      <c r="D8"/>
      <c r="E8"/>
      <c r="F8"/>
      <c r="G8"/>
      <c r="H8"/>
      <c r="I8"/>
      <c r="J8" s="205">
        <v>71200</v>
      </c>
      <c r="K8" t="s">
        <v>19</v>
      </c>
      <c r="L8"/>
      <c r="M8"/>
      <c r="N8"/>
      <c r="O8"/>
      <c r="P8"/>
      <c r="Q8"/>
      <c r="R8"/>
      <c r="S8"/>
      <c r="T8" s="205">
        <v>71200</v>
      </c>
      <c r="U8" t="s">
        <v>19</v>
      </c>
      <c r="V8"/>
      <c r="W8"/>
      <c r="X8"/>
      <c r="Y8"/>
      <c r="Z8"/>
      <c r="AA8"/>
      <c r="AB8"/>
      <c r="AC8" s="205">
        <v>71200</v>
      </c>
      <c r="AD8" t="s">
        <v>19</v>
      </c>
      <c r="AE8"/>
      <c r="AF8"/>
      <c r="AG8"/>
      <c r="AH8"/>
      <c r="AI8"/>
      <c r="AJ8"/>
      <c r="AK8"/>
      <c r="AM8" s="205">
        <v>71200</v>
      </c>
      <c r="AN8" t="s">
        <v>19</v>
      </c>
      <c r="AO8"/>
      <c r="AP8"/>
      <c r="AQ8"/>
      <c r="AR8"/>
      <c r="AS8"/>
      <c r="AT8"/>
      <c r="AU8"/>
      <c r="AV8" s="205">
        <v>71200</v>
      </c>
      <c r="AW8" t="s">
        <v>19</v>
      </c>
      <c r="AX8"/>
      <c r="AY8"/>
      <c r="AZ8"/>
      <c r="BA8"/>
      <c r="BB8"/>
      <c r="BC8"/>
      <c r="BD8"/>
      <c r="BF8" s="205">
        <v>71200</v>
      </c>
      <c r="BG8" t="s">
        <v>19</v>
      </c>
      <c r="BH8"/>
      <c r="BI8"/>
      <c r="BJ8"/>
      <c r="BK8"/>
      <c r="BL8"/>
      <c r="BM8"/>
      <c r="BN8"/>
      <c r="BO8" s="205">
        <v>71200</v>
      </c>
      <c r="BP8" t="s">
        <v>19</v>
      </c>
      <c r="BQ8"/>
      <c r="BR8"/>
      <c r="BS8"/>
      <c r="BT8"/>
      <c r="BU8"/>
      <c r="BV8"/>
      <c r="BW8"/>
    </row>
    <row r="9" spans="1:75" ht="15" x14ac:dyDescent="0.25">
      <c r="A9" s="205">
        <v>71300</v>
      </c>
      <c r="B9" t="s">
        <v>20</v>
      </c>
      <c r="C9"/>
      <c r="D9"/>
      <c r="E9"/>
      <c r="F9"/>
      <c r="G9"/>
      <c r="H9"/>
      <c r="I9"/>
      <c r="J9" s="205">
        <v>71300</v>
      </c>
      <c r="K9" t="s">
        <v>20</v>
      </c>
      <c r="L9"/>
      <c r="M9"/>
      <c r="N9"/>
      <c r="O9"/>
      <c r="P9"/>
      <c r="Q9"/>
      <c r="R9"/>
      <c r="S9"/>
      <c r="T9" s="205">
        <v>71300</v>
      </c>
      <c r="U9" t="s">
        <v>20</v>
      </c>
      <c r="V9"/>
      <c r="W9"/>
      <c r="X9"/>
      <c r="Y9"/>
      <c r="Z9"/>
      <c r="AA9"/>
      <c r="AB9"/>
      <c r="AC9" s="205">
        <v>71300</v>
      </c>
      <c r="AD9" t="s">
        <v>20</v>
      </c>
      <c r="AE9"/>
      <c r="AF9"/>
      <c r="AG9"/>
      <c r="AH9"/>
      <c r="AI9"/>
      <c r="AJ9"/>
      <c r="AK9"/>
      <c r="AM9" s="205">
        <v>71300</v>
      </c>
      <c r="AN9" t="s">
        <v>20</v>
      </c>
      <c r="AO9"/>
      <c r="AP9"/>
      <c r="AQ9"/>
      <c r="AR9"/>
      <c r="AS9"/>
      <c r="AT9"/>
      <c r="AU9"/>
      <c r="AV9" s="205">
        <v>71300</v>
      </c>
      <c r="AW9" t="s">
        <v>20</v>
      </c>
      <c r="AX9"/>
      <c r="AY9"/>
      <c r="AZ9"/>
      <c r="BA9"/>
      <c r="BB9"/>
      <c r="BC9"/>
      <c r="BD9"/>
      <c r="BF9" s="205">
        <v>71300</v>
      </c>
      <c r="BG9" t="s">
        <v>20</v>
      </c>
      <c r="BH9"/>
      <c r="BI9"/>
      <c r="BJ9"/>
      <c r="BK9"/>
      <c r="BL9"/>
      <c r="BM9"/>
      <c r="BN9"/>
      <c r="BO9" s="205">
        <v>71300</v>
      </c>
      <c r="BP9" t="s">
        <v>20</v>
      </c>
      <c r="BQ9"/>
      <c r="BR9"/>
      <c r="BS9"/>
      <c r="BT9"/>
      <c r="BU9"/>
      <c r="BV9"/>
      <c r="BW9"/>
    </row>
    <row r="10" spans="1:75" ht="15" x14ac:dyDescent="0.25">
      <c r="A10" s="205">
        <v>71400</v>
      </c>
      <c r="B10" t="s">
        <v>22</v>
      </c>
      <c r="C10"/>
      <c r="D10"/>
      <c r="E10"/>
      <c r="F10"/>
      <c r="G10"/>
      <c r="H10"/>
      <c r="I10"/>
      <c r="J10" s="205">
        <v>71400</v>
      </c>
      <c r="K10" t="s">
        <v>22</v>
      </c>
      <c r="L10"/>
      <c r="M10"/>
      <c r="N10"/>
      <c r="O10"/>
      <c r="P10"/>
      <c r="Q10"/>
      <c r="R10"/>
      <c r="S10"/>
      <c r="T10" s="205">
        <v>71400</v>
      </c>
      <c r="U10" t="s">
        <v>22</v>
      </c>
      <c r="V10"/>
      <c r="W10"/>
      <c r="X10"/>
      <c r="Y10"/>
      <c r="Z10"/>
      <c r="AA10"/>
      <c r="AB10"/>
      <c r="AC10" s="205">
        <v>71400</v>
      </c>
      <c r="AD10" t="s">
        <v>22</v>
      </c>
      <c r="AE10"/>
      <c r="AF10"/>
      <c r="AG10"/>
      <c r="AH10"/>
      <c r="AI10"/>
      <c r="AJ10"/>
      <c r="AK10"/>
      <c r="AM10" s="205">
        <v>71400</v>
      </c>
      <c r="AN10" t="s">
        <v>22</v>
      </c>
      <c r="AO10"/>
      <c r="AP10"/>
      <c r="AQ10"/>
      <c r="AR10"/>
      <c r="AS10"/>
      <c r="AT10"/>
      <c r="AU10"/>
      <c r="AV10" s="205">
        <v>71400</v>
      </c>
      <c r="AW10" t="s">
        <v>22</v>
      </c>
      <c r="AX10"/>
      <c r="AY10"/>
      <c r="AZ10"/>
      <c r="BA10"/>
      <c r="BB10"/>
      <c r="BC10"/>
      <c r="BD10"/>
      <c r="BF10" s="205">
        <v>71400</v>
      </c>
      <c r="BG10" t="s">
        <v>22</v>
      </c>
      <c r="BH10"/>
      <c r="BI10"/>
      <c r="BJ10"/>
      <c r="BK10"/>
      <c r="BL10"/>
      <c r="BM10"/>
      <c r="BN10"/>
      <c r="BO10" s="205">
        <v>71400</v>
      </c>
      <c r="BP10" t="s">
        <v>22</v>
      </c>
      <c r="BQ10"/>
      <c r="BR10"/>
      <c r="BS10"/>
      <c r="BT10"/>
      <c r="BU10"/>
      <c r="BV10"/>
      <c r="BW10"/>
    </row>
    <row r="11" spans="1:75" ht="15" x14ac:dyDescent="0.25">
      <c r="A11" s="206">
        <v>71600</v>
      </c>
      <c r="B11" t="s">
        <v>23</v>
      </c>
      <c r="C11" s="130">
        <f>C36/$H36</f>
        <v>0.17892104459107502</v>
      </c>
      <c r="D11" s="130">
        <f t="shared" ref="D11:G11" si="0">D36/$H36</f>
        <v>7.8249775785069794E-2</v>
      </c>
      <c r="E11" s="130">
        <f t="shared" si="0"/>
        <v>0.16863079651163201</v>
      </c>
      <c r="F11" s="130">
        <f t="shared" si="0"/>
        <v>0.3921972498654005</v>
      </c>
      <c r="G11" s="130">
        <f t="shared" si="0"/>
        <v>0.18200113324682271</v>
      </c>
      <c r="H11" s="130">
        <f>SUM(C11:G11)</f>
        <v>1</v>
      </c>
      <c r="I11" s="130">
        <f>I36/$I$51</f>
        <v>0.3708051882536898</v>
      </c>
      <c r="J11" s="206">
        <v>71600</v>
      </c>
      <c r="K11" t="s">
        <v>23</v>
      </c>
      <c r="L11" s="130">
        <f>L36/$Q36</f>
        <v>0.17892111637333896</v>
      </c>
      <c r="M11" s="130">
        <f t="shared" ref="M11:P11" si="1">M36/$Q36</f>
        <v>7.8249523324165932E-2</v>
      </c>
      <c r="N11" s="130">
        <f t="shared" si="1"/>
        <v>0.16863048323653373</v>
      </c>
      <c r="O11" s="130">
        <f t="shared" si="1"/>
        <v>0.39219730718425899</v>
      </c>
      <c r="P11" s="130">
        <f t="shared" si="1"/>
        <v>0.18200156988170238</v>
      </c>
      <c r="Q11" s="155">
        <f>SUM(L11:P11)</f>
        <v>1</v>
      </c>
      <c r="R11" s="130">
        <f>R36/$R$51</f>
        <v>0.37080515046070039</v>
      </c>
      <c r="S11"/>
      <c r="T11" s="206">
        <v>71600</v>
      </c>
      <c r="U11" t="s">
        <v>23</v>
      </c>
      <c r="V11" s="130">
        <v>0</v>
      </c>
      <c r="W11" s="130">
        <v>1</v>
      </c>
      <c r="X11" s="130">
        <v>0</v>
      </c>
      <c r="Y11" s="130">
        <v>0</v>
      </c>
      <c r="Z11" s="130">
        <v>0</v>
      </c>
      <c r="AA11" s="130">
        <f>SUM(V11:Z11)</f>
        <v>1</v>
      </c>
      <c r="AB11" s="130">
        <f>AB36/$I$51</f>
        <v>0.3708051882536898</v>
      </c>
      <c r="AC11" s="206">
        <v>71600</v>
      </c>
      <c r="AD11" t="s">
        <v>23</v>
      </c>
      <c r="AE11" s="130">
        <v>0</v>
      </c>
      <c r="AF11" s="130">
        <v>1</v>
      </c>
      <c r="AG11" s="130">
        <v>0</v>
      </c>
      <c r="AH11" s="130">
        <v>0</v>
      </c>
      <c r="AI11" s="130">
        <v>0</v>
      </c>
      <c r="AJ11" s="155">
        <f>SUM(AE11:AI11)</f>
        <v>1</v>
      </c>
      <c r="AK11" s="130">
        <f>AK36/$R$51</f>
        <v>0.37080515046070039</v>
      </c>
      <c r="AM11" s="206">
        <v>71600</v>
      </c>
      <c r="AN11" t="s">
        <v>23</v>
      </c>
      <c r="AO11" s="130">
        <v>0</v>
      </c>
      <c r="AP11" s="130">
        <v>0</v>
      </c>
      <c r="AQ11" s="130">
        <v>1</v>
      </c>
      <c r="AR11" s="130">
        <v>0</v>
      </c>
      <c r="AS11" s="130">
        <v>0</v>
      </c>
      <c r="AT11" s="130">
        <f>SUM(AO11:AS11)</f>
        <v>1</v>
      </c>
      <c r="AU11" s="130">
        <f>AU36/$I$51</f>
        <v>0.3708051882536898</v>
      </c>
      <c r="AV11" s="206">
        <v>71600</v>
      </c>
      <c r="AW11" t="s">
        <v>23</v>
      </c>
      <c r="AX11" s="130">
        <v>0</v>
      </c>
      <c r="AY11" s="130">
        <v>0</v>
      </c>
      <c r="AZ11" s="130">
        <v>1</v>
      </c>
      <c r="BA11" s="130">
        <v>0</v>
      </c>
      <c r="BB11" s="130">
        <v>0</v>
      </c>
      <c r="BC11" s="155">
        <f>SUM(AX11:BB11)</f>
        <v>1</v>
      </c>
      <c r="BD11" s="130">
        <f>BD36/$R$51</f>
        <v>0.37080515046070039</v>
      </c>
      <c r="BF11" s="206">
        <v>71600</v>
      </c>
      <c r="BG11" t="s">
        <v>23</v>
      </c>
      <c r="BH11" s="130">
        <v>0</v>
      </c>
      <c r="BI11" s="130">
        <v>0</v>
      </c>
      <c r="BJ11" s="130">
        <v>0</v>
      </c>
      <c r="BK11" s="130">
        <v>1</v>
      </c>
      <c r="BL11" s="130">
        <v>0</v>
      </c>
      <c r="BM11" s="130">
        <f>SUM(BH11:BL11)</f>
        <v>1</v>
      </c>
      <c r="BN11" s="130">
        <f>BN36/$I$51</f>
        <v>0.3708051882536898</v>
      </c>
      <c r="BO11" s="206">
        <v>71600</v>
      </c>
      <c r="BP11" t="s">
        <v>23</v>
      </c>
      <c r="BQ11" s="130">
        <v>0</v>
      </c>
      <c r="BR11" s="130">
        <v>0</v>
      </c>
      <c r="BS11" s="130">
        <v>0</v>
      </c>
      <c r="BT11" s="130">
        <v>1</v>
      </c>
      <c r="BU11" s="130">
        <v>0</v>
      </c>
      <c r="BV11" s="155">
        <f>SUM(BQ11:BU11)</f>
        <v>1</v>
      </c>
      <c r="BW11" s="130">
        <f>BW36/$R$51</f>
        <v>0.37080515046070039</v>
      </c>
    </row>
    <row r="12" spans="1:75" ht="15" x14ac:dyDescent="0.25">
      <c r="A12" s="205">
        <v>72100</v>
      </c>
      <c r="B12" t="s">
        <v>59</v>
      </c>
      <c r="C12"/>
      <c r="D12"/>
      <c r="E12"/>
      <c r="F12"/>
      <c r="G12"/>
      <c r="H12"/>
      <c r="I12"/>
      <c r="J12" s="205">
        <v>72100</v>
      </c>
      <c r="K12" t="s">
        <v>59</v>
      </c>
      <c r="L12"/>
      <c r="M12"/>
      <c r="N12"/>
      <c r="O12"/>
      <c r="P12"/>
      <c r="Q12"/>
      <c r="R12"/>
      <c r="S12"/>
      <c r="T12" s="205">
        <v>72100</v>
      </c>
      <c r="U12" t="s">
        <v>59</v>
      </c>
      <c r="V12"/>
      <c r="W12"/>
      <c r="X12"/>
      <c r="Y12"/>
      <c r="Z12"/>
      <c r="AA12"/>
      <c r="AB12"/>
      <c r="AC12" s="205">
        <v>72100</v>
      </c>
      <c r="AD12" t="s">
        <v>59</v>
      </c>
      <c r="AE12"/>
      <c r="AF12"/>
      <c r="AG12"/>
      <c r="AH12"/>
      <c r="AI12"/>
      <c r="AJ12"/>
      <c r="AK12"/>
      <c r="AM12" s="205">
        <v>72100</v>
      </c>
      <c r="AN12" t="s">
        <v>59</v>
      </c>
      <c r="AO12"/>
      <c r="AP12"/>
      <c r="AQ12"/>
      <c r="AR12"/>
      <c r="AS12"/>
      <c r="AT12"/>
      <c r="AU12"/>
      <c r="AV12" s="205">
        <v>72100</v>
      </c>
      <c r="AW12" t="s">
        <v>59</v>
      </c>
      <c r="AX12"/>
      <c r="AY12"/>
      <c r="AZ12"/>
      <c r="BA12"/>
      <c r="BB12"/>
      <c r="BC12"/>
      <c r="BD12"/>
      <c r="BF12" s="205">
        <v>72100</v>
      </c>
      <c r="BG12" t="s">
        <v>59</v>
      </c>
      <c r="BH12"/>
      <c r="BI12"/>
      <c r="BJ12"/>
      <c r="BK12"/>
      <c r="BL12"/>
      <c r="BM12"/>
      <c r="BN12"/>
      <c r="BO12" s="205">
        <v>72100</v>
      </c>
      <c r="BP12" t="s">
        <v>59</v>
      </c>
      <c r="BQ12"/>
      <c r="BR12"/>
      <c r="BS12"/>
      <c r="BT12"/>
      <c r="BU12"/>
      <c r="BV12"/>
      <c r="BW12"/>
    </row>
    <row r="13" spans="1:75" ht="15" x14ac:dyDescent="0.25">
      <c r="A13" s="206">
        <v>72200</v>
      </c>
      <c r="B13" t="s">
        <v>67</v>
      </c>
      <c r="C13" s="130">
        <f t="shared" ref="C13:G13" si="2">C38/$H38</f>
        <v>0</v>
      </c>
      <c r="D13" s="130">
        <f t="shared" si="2"/>
        <v>0</v>
      </c>
      <c r="E13" s="130">
        <f t="shared" si="2"/>
        <v>0</v>
      </c>
      <c r="F13" s="130">
        <f t="shared" si="2"/>
        <v>0</v>
      </c>
      <c r="G13" s="130">
        <f t="shared" si="2"/>
        <v>1</v>
      </c>
      <c r="H13" s="130">
        <f>SUM(C13:G13)</f>
        <v>1</v>
      </c>
      <c r="I13" s="130">
        <f>I38/$I$51</f>
        <v>4.8824343304732978E-3</v>
      </c>
      <c r="J13" s="206">
        <v>72200</v>
      </c>
      <c r="K13" t="s">
        <v>67</v>
      </c>
      <c r="L13" s="130">
        <f t="shared" ref="L13:P13" si="3">L38/$Q38</f>
        <v>0</v>
      </c>
      <c r="M13" s="130">
        <f t="shared" si="3"/>
        <v>0</v>
      </c>
      <c r="N13" s="130">
        <f t="shared" si="3"/>
        <v>0</v>
      </c>
      <c r="O13" s="130">
        <f t="shared" si="3"/>
        <v>0</v>
      </c>
      <c r="P13" s="130">
        <f t="shared" si="3"/>
        <v>1</v>
      </c>
      <c r="Q13" s="155">
        <f>SUM(L13:P13)</f>
        <v>1</v>
      </c>
      <c r="R13" s="130">
        <f>R38/$R$51</f>
        <v>4.8823161434100948E-3</v>
      </c>
      <c r="S13"/>
      <c r="T13" s="206">
        <v>72200</v>
      </c>
      <c r="U13" t="s">
        <v>67</v>
      </c>
      <c r="V13" s="130">
        <f t="shared" ref="V13:Z13" si="4">V38/$H38</f>
        <v>0</v>
      </c>
      <c r="W13" s="130">
        <f t="shared" si="4"/>
        <v>0</v>
      </c>
      <c r="X13" s="130">
        <f t="shared" si="4"/>
        <v>0</v>
      </c>
      <c r="Y13" s="130">
        <f t="shared" si="4"/>
        <v>0</v>
      </c>
      <c r="Z13" s="130">
        <f t="shared" si="4"/>
        <v>1</v>
      </c>
      <c r="AA13" s="130">
        <f>SUM(V13:Z13)</f>
        <v>1</v>
      </c>
      <c r="AB13" s="130">
        <f>AB38/$I$51</f>
        <v>4.8824343304732978E-3</v>
      </c>
      <c r="AC13" s="206">
        <v>72200</v>
      </c>
      <c r="AD13" t="s">
        <v>67</v>
      </c>
      <c r="AE13" s="130">
        <f t="shared" ref="AE13:AI13" si="5">AE38/$Q38</f>
        <v>0</v>
      </c>
      <c r="AF13" s="130">
        <f t="shared" si="5"/>
        <v>0</v>
      </c>
      <c r="AG13" s="130">
        <f t="shared" si="5"/>
        <v>0</v>
      </c>
      <c r="AH13" s="130">
        <f t="shared" si="5"/>
        <v>0</v>
      </c>
      <c r="AI13" s="130">
        <f t="shared" si="5"/>
        <v>1</v>
      </c>
      <c r="AJ13" s="155">
        <f>SUM(AE13:AI13)</f>
        <v>1</v>
      </c>
      <c r="AK13" s="130">
        <f>AK38/$R$51</f>
        <v>4.8823161434100948E-3</v>
      </c>
      <c r="AM13" s="206">
        <v>72200</v>
      </c>
      <c r="AN13" t="s">
        <v>67</v>
      </c>
      <c r="AO13" s="130">
        <f t="shared" ref="AO13:AS13" si="6">AO38/$H38</f>
        <v>0</v>
      </c>
      <c r="AP13" s="130">
        <f t="shared" si="6"/>
        <v>0</v>
      </c>
      <c r="AQ13" s="130">
        <f t="shared" si="6"/>
        <v>0</v>
      </c>
      <c r="AR13" s="130">
        <f t="shared" si="6"/>
        <v>0</v>
      </c>
      <c r="AS13" s="130">
        <f t="shared" si="6"/>
        <v>1</v>
      </c>
      <c r="AT13" s="130">
        <f>SUM(AO13:AS13)</f>
        <v>1</v>
      </c>
      <c r="AU13" s="130">
        <f>AU38/$I$51</f>
        <v>4.8824343304732978E-3</v>
      </c>
      <c r="AV13" s="206">
        <v>72200</v>
      </c>
      <c r="AW13" t="s">
        <v>67</v>
      </c>
      <c r="AX13" s="130">
        <f t="shared" ref="AX13:BB13" si="7">AX38/$Q38</f>
        <v>0</v>
      </c>
      <c r="AY13" s="130">
        <f t="shared" si="7"/>
        <v>0</v>
      </c>
      <c r="AZ13" s="130">
        <f t="shared" si="7"/>
        <v>0</v>
      </c>
      <c r="BA13" s="130">
        <f t="shared" si="7"/>
        <v>0</v>
      </c>
      <c r="BB13" s="130">
        <f t="shared" si="7"/>
        <v>1</v>
      </c>
      <c r="BC13" s="155">
        <f>SUM(AX13:BB13)</f>
        <v>1</v>
      </c>
      <c r="BD13" s="130">
        <f>BD38/$R$51</f>
        <v>4.8823161434100948E-3</v>
      </c>
      <c r="BF13" s="206">
        <v>72200</v>
      </c>
      <c r="BG13" t="s">
        <v>67</v>
      </c>
      <c r="BH13" s="130">
        <f t="shared" ref="BH13:BL13" si="8">BH38/$H38</f>
        <v>0</v>
      </c>
      <c r="BI13" s="130">
        <f t="shared" si="8"/>
        <v>0</v>
      </c>
      <c r="BJ13" s="130">
        <f t="shared" si="8"/>
        <v>0</v>
      </c>
      <c r="BK13" s="130">
        <f t="shared" si="8"/>
        <v>0</v>
      </c>
      <c r="BL13" s="130">
        <f t="shared" si="8"/>
        <v>1</v>
      </c>
      <c r="BM13" s="130">
        <f>SUM(BH13:BL13)</f>
        <v>1</v>
      </c>
      <c r="BN13" s="130">
        <f>BN38/$I$51</f>
        <v>4.8824343304732978E-3</v>
      </c>
      <c r="BO13" s="206">
        <v>72200</v>
      </c>
      <c r="BP13" t="s">
        <v>67</v>
      </c>
      <c r="BQ13" s="130">
        <f t="shared" ref="BQ13:BU13" si="9">BQ38/$Q38</f>
        <v>0</v>
      </c>
      <c r="BR13" s="130">
        <f t="shared" si="9"/>
        <v>0</v>
      </c>
      <c r="BS13" s="130">
        <f t="shared" si="9"/>
        <v>0</v>
      </c>
      <c r="BT13" s="130">
        <f t="shared" si="9"/>
        <v>0</v>
      </c>
      <c r="BU13" s="130">
        <f t="shared" si="9"/>
        <v>1</v>
      </c>
      <c r="BV13" s="155">
        <f>SUM(BQ13:BU13)</f>
        <v>1</v>
      </c>
      <c r="BW13" s="130">
        <f>BW38/$R$51</f>
        <v>4.8823161434100948E-3</v>
      </c>
    </row>
    <row r="14" spans="1:75" ht="15" x14ac:dyDescent="0.25">
      <c r="A14" s="205">
        <v>72300</v>
      </c>
      <c r="B14" t="s">
        <v>68</v>
      </c>
      <c r="C14"/>
      <c r="D14"/>
      <c r="E14"/>
      <c r="F14"/>
      <c r="G14"/>
      <c r="H14"/>
      <c r="I14"/>
      <c r="J14" s="205">
        <v>72300</v>
      </c>
      <c r="K14" t="s">
        <v>68</v>
      </c>
      <c r="L14"/>
      <c r="M14"/>
      <c r="N14"/>
      <c r="O14"/>
      <c r="P14"/>
      <c r="Q14"/>
      <c r="R14"/>
      <c r="S14"/>
      <c r="T14" s="205">
        <v>72300</v>
      </c>
      <c r="U14" t="s">
        <v>68</v>
      </c>
      <c r="V14"/>
      <c r="W14"/>
      <c r="X14"/>
      <c r="Y14"/>
      <c r="Z14"/>
      <c r="AA14"/>
      <c r="AB14"/>
      <c r="AC14" s="205">
        <v>72300</v>
      </c>
      <c r="AD14" t="s">
        <v>68</v>
      </c>
      <c r="AE14"/>
      <c r="AF14"/>
      <c r="AG14"/>
      <c r="AH14"/>
      <c r="AI14"/>
      <c r="AJ14"/>
      <c r="AK14"/>
      <c r="AM14" s="205">
        <v>72300</v>
      </c>
      <c r="AN14" t="s">
        <v>68</v>
      </c>
      <c r="AO14"/>
      <c r="AP14"/>
      <c r="AQ14"/>
      <c r="AR14"/>
      <c r="AS14"/>
      <c r="AT14"/>
      <c r="AU14"/>
      <c r="AV14" s="205">
        <v>72300</v>
      </c>
      <c r="AW14" t="s">
        <v>68</v>
      </c>
      <c r="AX14"/>
      <c r="AY14"/>
      <c r="AZ14"/>
      <c r="BA14"/>
      <c r="BB14"/>
      <c r="BC14"/>
      <c r="BD14"/>
      <c r="BF14" s="205">
        <v>72300</v>
      </c>
      <c r="BG14" t="s">
        <v>68</v>
      </c>
      <c r="BH14"/>
      <c r="BI14"/>
      <c r="BJ14"/>
      <c r="BK14"/>
      <c r="BL14"/>
      <c r="BM14"/>
      <c r="BN14"/>
      <c r="BO14" s="205">
        <v>72300</v>
      </c>
      <c r="BP14" t="s">
        <v>68</v>
      </c>
      <c r="BQ14"/>
      <c r="BR14"/>
      <c r="BS14"/>
      <c r="BT14"/>
      <c r="BU14"/>
      <c r="BV14"/>
      <c r="BW14"/>
    </row>
    <row r="15" spans="1:75" ht="15" x14ac:dyDescent="0.25">
      <c r="A15" s="206">
        <v>72400</v>
      </c>
      <c r="B15" t="s">
        <v>69</v>
      </c>
      <c r="C15" s="130">
        <f t="shared" ref="C15:G16" si="10">C40/$H40</f>
        <v>0</v>
      </c>
      <c r="D15" s="130">
        <f t="shared" si="10"/>
        <v>0</v>
      </c>
      <c r="E15" s="130">
        <f t="shared" si="10"/>
        <v>0</v>
      </c>
      <c r="F15" s="130">
        <f t="shared" si="10"/>
        <v>0</v>
      </c>
      <c r="G15" s="130">
        <f t="shared" si="10"/>
        <v>1</v>
      </c>
      <c r="H15" s="130">
        <f t="shared" ref="H15:H16" si="11">SUM(C15:G15)</f>
        <v>1</v>
      </c>
      <c r="I15" s="130">
        <f t="shared" ref="I15:I16" si="12">I40/$I$51</f>
        <v>3.4751890700454022E-2</v>
      </c>
      <c r="J15" s="206">
        <v>72400</v>
      </c>
      <c r="K15" t="s">
        <v>69</v>
      </c>
      <c r="L15" s="130">
        <f t="shared" ref="L15:P16" si="13">L40/$Q40</f>
        <v>0</v>
      </c>
      <c r="M15" s="130">
        <f t="shared" si="13"/>
        <v>0</v>
      </c>
      <c r="N15" s="130">
        <f t="shared" si="13"/>
        <v>0</v>
      </c>
      <c r="O15" s="130">
        <f t="shared" si="13"/>
        <v>0</v>
      </c>
      <c r="P15" s="130">
        <f t="shared" si="13"/>
        <v>1</v>
      </c>
      <c r="Q15" s="155">
        <f t="shared" ref="Q15:Q16" si="14">SUM(L15:P15)</f>
        <v>1</v>
      </c>
      <c r="R15" s="130">
        <f t="shared" ref="R15:R16" si="15">R40/$R$51</f>
        <v>3.4752088464896851E-2</v>
      </c>
      <c r="S15"/>
      <c r="T15" s="206">
        <v>72400</v>
      </c>
      <c r="U15" t="s">
        <v>69</v>
      </c>
      <c r="V15" s="130">
        <f t="shared" ref="V15:Z15" si="16">V40/$H40</f>
        <v>0</v>
      </c>
      <c r="W15" s="130">
        <f t="shared" si="16"/>
        <v>0</v>
      </c>
      <c r="X15" s="130">
        <f t="shared" si="16"/>
        <v>0</v>
      </c>
      <c r="Y15" s="130">
        <f t="shared" si="16"/>
        <v>0</v>
      </c>
      <c r="Z15" s="130">
        <f t="shared" si="16"/>
        <v>1</v>
      </c>
      <c r="AA15" s="130">
        <f t="shared" ref="AA15:AA16" si="17">SUM(V15:Z15)</f>
        <v>1</v>
      </c>
      <c r="AB15" s="130">
        <f t="shared" ref="AB15:AB16" si="18">AB40/$I$51</f>
        <v>3.4751890700454022E-2</v>
      </c>
      <c r="AC15" s="206">
        <v>72400</v>
      </c>
      <c r="AD15" t="s">
        <v>69</v>
      </c>
      <c r="AE15" s="130">
        <f t="shared" ref="AE15:AI15" si="19">AE40/$Q40</f>
        <v>0</v>
      </c>
      <c r="AF15" s="130">
        <f t="shared" si="19"/>
        <v>0</v>
      </c>
      <c r="AG15" s="130">
        <f t="shared" si="19"/>
        <v>0</v>
      </c>
      <c r="AH15" s="130">
        <f t="shared" si="19"/>
        <v>0</v>
      </c>
      <c r="AI15" s="130">
        <f t="shared" si="19"/>
        <v>1</v>
      </c>
      <c r="AJ15" s="155">
        <f t="shared" ref="AJ15:AJ16" si="20">SUM(AE15:AI15)</f>
        <v>1</v>
      </c>
      <c r="AK15" s="130">
        <f t="shared" ref="AK15:AK16" si="21">AK40/$R$51</f>
        <v>3.4752088464896851E-2</v>
      </c>
      <c r="AM15" s="206">
        <v>72400</v>
      </c>
      <c r="AN15" t="s">
        <v>69</v>
      </c>
      <c r="AO15" s="130">
        <f t="shared" ref="AO15:AS15" si="22">AO40/$H40</f>
        <v>0</v>
      </c>
      <c r="AP15" s="130">
        <f t="shared" si="22"/>
        <v>0</v>
      </c>
      <c r="AQ15" s="130">
        <f t="shared" si="22"/>
        <v>0</v>
      </c>
      <c r="AR15" s="130">
        <f t="shared" si="22"/>
        <v>0</v>
      </c>
      <c r="AS15" s="130">
        <f t="shared" si="22"/>
        <v>1</v>
      </c>
      <c r="AT15" s="130">
        <f t="shared" ref="AT15:AT16" si="23">SUM(AO15:AS15)</f>
        <v>1</v>
      </c>
      <c r="AU15" s="130">
        <f t="shared" ref="AU15:AU16" si="24">AU40/$I$51</f>
        <v>3.4751890700454022E-2</v>
      </c>
      <c r="AV15" s="206">
        <v>72400</v>
      </c>
      <c r="AW15" t="s">
        <v>69</v>
      </c>
      <c r="AX15" s="130">
        <f t="shared" ref="AX15:BB15" si="25">AX40/$Q40</f>
        <v>0</v>
      </c>
      <c r="AY15" s="130">
        <f t="shared" si="25"/>
        <v>0</v>
      </c>
      <c r="AZ15" s="130">
        <f t="shared" si="25"/>
        <v>0</v>
      </c>
      <c r="BA15" s="130">
        <f t="shared" si="25"/>
        <v>0</v>
      </c>
      <c r="BB15" s="130">
        <f t="shared" si="25"/>
        <v>1</v>
      </c>
      <c r="BC15" s="155">
        <f t="shared" ref="BC15:BC16" si="26">SUM(AX15:BB15)</f>
        <v>1</v>
      </c>
      <c r="BD15" s="130">
        <f t="shared" ref="BD15:BD16" si="27">BD40/$R$51</f>
        <v>3.4752088464896851E-2</v>
      </c>
      <c r="BF15" s="206">
        <v>72400</v>
      </c>
      <c r="BG15" t="s">
        <v>69</v>
      </c>
      <c r="BH15" s="130">
        <f t="shared" ref="BH15:BL15" si="28">BH40/$H40</f>
        <v>0</v>
      </c>
      <c r="BI15" s="130">
        <f t="shared" si="28"/>
        <v>0</v>
      </c>
      <c r="BJ15" s="130">
        <f t="shared" si="28"/>
        <v>0</v>
      </c>
      <c r="BK15" s="130">
        <f t="shared" si="28"/>
        <v>0</v>
      </c>
      <c r="BL15" s="130">
        <f t="shared" si="28"/>
        <v>1</v>
      </c>
      <c r="BM15" s="130">
        <f t="shared" ref="BM15:BM16" si="29">SUM(BH15:BL15)</f>
        <v>1</v>
      </c>
      <c r="BN15" s="130">
        <f t="shared" ref="BN15:BN16" si="30">BN40/$I$51</f>
        <v>3.4751890700454022E-2</v>
      </c>
      <c r="BO15" s="206">
        <v>72400</v>
      </c>
      <c r="BP15" t="s">
        <v>69</v>
      </c>
      <c r="BQ15" s="130">
        <f t="shared" ref="BQ15:BU15" si="31">BQ40/$Q40</f>
        <v>0</v>
      </c>
      <c r="BR15" s="130">
        <f t="shared" si="31"/>
        <v>0</v>
      </c>
      <c r="BS15" s="130">
        <f t="shared" si="31"/>
        <v>0</v>
      </c>
      <c r="BT15" s="130">
        <f t="shared" si="31"/>
        <v>0</v>
      </c>
      <c r="BU15" s="130">
        <f t="shared" si="31"/>
        <v>1</v>
      </c>
      <c r="BV15" s="155">
        <f t="shared" ref="BV15:BV16" si="32">SUM(BQ15:BU15)</f>
        <v>1</v>
      </c>
      <c r="BW15" s="130">
        <f t="shared" ref="BW15:BW16" si="33">BW40/$R$51</f>
        <v>3.4752088464896851E-2</v>
      </c>
    </row>
    <row r="16" spans="1:75" ht="15" x14ac:dyDescent="0.25">
      <c r="A16" s="206">
        <v>72500</v>
      </c>
      <c r="B16" t="s">
        <v>25</v>
      </c>
      <c r="C16" s="130">
        <f t="shared" si="10"/>
        <v>5.0901703650977563E-2</v>
      </c>
      <c r="D16" s="130">
        <f t="shared" si="10"/>
        <v>4.8989707433404861E-2</v>
      </c>
      <c r="E16" s="130">
        <f t="shared" si="10"/>
        <v>2.7131641978708258E-2</v>
      </c>
      <c r="F16" s="130">
        <f t="shared" si="10"/>
        <v>0.24568631831619636</v>
      </c>
      <c r="G16" s="130">
        <f t="shared" si="10"/>
        <v>0.62729062862071294</v>
      </c>
      <c r="H16" s="130">
        <f t="shared" si="11"/>
        <v>1</v>
      </c>
      <c r="I16" s="130">
        <f t="shared" si="12"/>
        <v>5.0359981412211423E-2</v>
      </c>
      <c r="J16" s="206">
        <v>72500</v>
      </c>
      <c r="K16" t="s">
        <v>25</v>
      </c>
      <c r="L16" s="130">
        <f t="shared" si="13"/>
        <v>5.0905483580528467E-2</v>
      </c>
      <c r="M16" s="130">
        <f t="shared" si="13"/>
        <v>4.8991540912546296E-2</v>
      </c>
      <c r="N16" s="130">
        <f t="shared" si="13"/>
        <v>2.7134854782969686E-2</v>
      </c>
      <c r="O16" s="130">
        <f t="shared" si="13"/>
        <v>0.2456801505275473</v>
      </c>
      <c r="P16" s="130">
        <f t="shared" si="13"/>
        <v>0.62728797019640825</v>
      </c>
      <c r="Q16" s="155">
        <f t="shared" si="14"/>
        <v>1</v>
      </c>
      <c r="R16" s="130">
        <f t="shared" si="15"/>
        <v>5.0360186886655979E-2</v>
      </c>
      <c r="S16"/>
      <c r="T16" s="206">
        <v>72500</v>
      </c>
      <c r="U16" t="s">
        <v>25</v>
      </c>
      <c r="V16" s="130">
        <v>0</v>
      </c>
      <c r="W16" s="130">
        <v>0</v>
      </c>
      <c r="X16" s="130">
        <v>0</v>
      </c>
      <c r="Y16" s="130">
        <v>0</v>
      </c>
      <c r="Z16" s="130">
        <v>1</v>
      </c>
      <c r="AA16" s="130">
        <f t="shared" si="17"/>
        <v>1</v>
      </c>
      <c r="AB16" s="130">
        <f t="shared" si="18"/>
        <v>5.0359981412211423E-2</v>
      </c>
      <c r="AC16" s="206">
        <v>72500</v>
      </c>
      <c r="AD16" t="s">
        <v>25</v>
      </c>
      <c r="AE16" s="130">
        <v>0</v>
      </c>
      <c r="AF16" s="130">
        <v>0</v>
      </c>
      <c r="AG16" s="130">
        <v>0</v>
      </c>
      <c r="AH16" s="130">
        <v>0</v>
      </c>
      <c r="AI16" s="130">
        <v>1</v>
      </c>
      <c r="AJ16" s="155">
        <f t="shared" si="20"/>
        <v>1</v>
      </c>
      <c r="AK16" s="130">
        <f t="shared" si="21"/>
        <v>5.0360186886655979E-2</v>
      </c>
      <c r="AM16" s="206">
        <v>72500</v>
      </c>
      <c r="AN16" t="s">
        <v>25</v>
      </c>
      <c r="AO16" s="130">
        <v>0</v>
      </c>
      <c r="AP16" s="130">
        <v>0</v>
      </c>
      <c r="AQ16" s="130">
        <v>0</v>
      </c>
      <c r="AR16" s="130">
        <v>0</v>
      </c>
      <c r="AS16" s="130">
        <v>1</v>
      </c>
      <c r="AT16" s="130">
        <f t="shared" si="23"/>
        <v>1</v>
      </c>
      <c r="AU16" s="130">
        <f t="shared" si="24"/>
        <v>5.0359981412211423E-2</v>
      </c>
      <c r="AV16" s="206">
        <v>72500</v>
      </c>
      <c r="AW16" t="s">
        <v>25</v>
      </c>
      <c r="AX16" s="130">
        <v>0</v>
      </c>
      <c r="AY16" s="130">
        <v>0</v>
      </c>
      <c r="AZ16" s="130">
        <v>0</v>
      </c>
      <c r="BA16" s="130">
        <v>0</v>
      </c>
      <c r="BB16" s="130">
        <v>1</v>
      </c>
      <c r="BC16" s="155">
        <f t="shared" si="26"/>
        <v>1</v>
      </c>
      <c r="BD16" s="130">
        <f t="shared" si="27"/>
        <v>5.0360186886655979E-2</v>
      </c>
      <c r="BF16" s="206">
        <v>72500</v>
      </c>
      <c r="BG16" t="s">
        <v>25</v>
      </c>
      <c r="BH16" s="130">
        <v>0</v>
      </c>
      <c r="BI16" s="130">
        <v>0</v>
      </c>
      <c r="BJ16" s="130">
        <v>0</v>
      </c>
      <c r="BK16" s="130">
        <v>0</v>
      </c>
      <c r="BL16" s="130">
        <v>1</v>
      </c>
      <c r="BM16" s="130">
        <f t="shared" si="29"/>
        <v>1</v>
      </c>
      <c r="BN16" s="130">
        <f t="shared" si="30"/>
        <v>5.0359981412211423E-2</v>
      </c>
      <c r="BO16" s="206">
        <v>72500</v>
      </c>
      <c r="BP16" t="s">
        <v>25</v>
      </c>
      <c r="BQ16" s="130">
        <v>0</v>
      </c>
      <c r="BR16" s="130">
        <v>0</v>
      </c>
      <c r="BS16" s="130">
        <v>0</v>
      </c>
      <c r="BT16" s="130">
        <v>0</v>
      </c>
      <c r="BU16" s="130">
        <v>1</v>
      </c>
      <c r="BV16" s="155">
        <f t="shared" si="32"/>
        <v>1</v>
      </c>
      <c r="BW16" s="130">
        <f t="shared" si="33"/>
        <v>5.0360186886655979E-2</v>
      </c>
    </row>
    <row r="17" spans="1:75" ht="15" x14ac:dyDescent="0.25">
      <c r="A17" s="205">
        <v>72600</v>
      </c>
      <c r="B17" t="s">
        <v>40</v>
      </c>
      <c r="C17"/>
      <c r="D17"/>
      <c r="E17"/>
      <c r="F17"/>
      <c r="G17"/>
      <c r="H17"/>
      <c r="I17"/>
      <c r="J17" s="205">
        <v>72600</v>
      </c>
      <c r="K17" t="s">
        <v>40</v>
      </c>
      <c r="L17"/>
      <c r="M17"/>
      <c r="N17"/>
      <c r="O17"/>
      <c r="P17"/>
      <c r="Q17"/>
      <c r="R17"/>
      <c r="S17"/>
      <c r="T17" s="205">
        <v>72600</v>
      </c>
      <c r="U17" t="s">
        <v>40</v>
      </c>
      <c r="V17"/>
      <c r="W17"/>
      <c r="X17"/>
      <c r="Y17"/>
      <c r="Z17"/>
      <c r="AA17"/>
      <c r="AB17"/>
      <c r="AC17" s="205">
        <v>72600</v>
      </c>
      <c r="AD17" t="s">
        <v>40</v>
      </c>
      <c r="AE17"/>
      <c r="AF17"/>
      <c r="AG17"/>
      <c r="AH17"/>
      <c r="AI17"/>
      <c r="AJ17"/>
      <c r="AK17"/>
      <c r="AM17" s="205">
        <v>72600</v>
      </c>
      <c r="AN17" t="s">
        <v>40</v>
      </c>
      <c r="AO17"/>
      <c r="AP17"/>
      <c r="AQ17"/>
      <c r="AR17"/>
      <c r="AS17"/>
      <c r="AT17"/>
      <c r="AU17"/>
      <c r="AV17" s="205">
        <v>72600</v>
      </c>
      <c r="AW17" t="s">
        <v>40</v>
      </c>
      <c r="AX17"/>
      <c r="AY17"/>
      <c r="AZ17"/>
      <c r="BA17"/>
      <c r="BB17"/>
      <c r="BC17"/>
      <c r="BD17"/>
      <c r="BF17" s="205">
        <v>72600</v>
      </c>
      <c r="BG17" t="s">
        <v>40</v>
      </c>
      <c r="BH17"/>
      <c r="BI17"/>
      <c r="BJ17"/>
      <c r="BK17"/>
      <c r="BL17"/>
      <c r="BM17"/>
      <c r="BN17"/>
      <c r="BO17" s="205">
        <v>72600</v>
      </c>
      <c r="BP17" t="s">
        <v>40</v>
      </c>
      <c r="BQ17"/>
      <c r="BR17"/>
      <c r="BS17"/>
      <c r="BT17"/>
      <c r="BU17"/>
      <c r="BV17"/>
      <c r="BW17"/>
    </row>
    <row r="18" spans="1:75" ht="15" x14ac:dyDescent="0.25">
      <c r="A18" s="206">
        <v>72800</v>
      </c>
      <c r="B18" t="s">
        <v>70</v>
      </c>
      <c r="C18" s="130">
        <f t="shared" ref="C18:G23" si="34">C43/$H43</f>
        <v>0</v>
      </c>
      <c r="D18" s="130">
        <f t="shared" si="34"/>
        <v>0</v>
      </c>
      <c r="E18" s="130">
        <f t="shared" si="34"/>
        <v>0</v>
      </c>
      <c r="F18" s="130">
        <f t="shared" si="34"/>
        <v>0</v>
      </c>
      <c r="G18" s="130">
        <f t="shared" si="34"/>
        <v>1</v>
      </c>
      <c r="H18" s="130">
        <f t="shared" ref="H18:H23" si="35">SUM(C18:G18)</f>
        <v>1</v>
      </c>
      <c r="I18" s="130">
        <f t="shared" ref="I18:I23" si="36">I43/$I$51</f>
        <v>2.2163530675084201E-2</v>
      </c>
      <c r="J18" s="206">
        <v>72800</v>
      </c>
      <c r="K18" t="s">
        <v>70</v>
      </c>
      <c r="L18" s="130">
        <f t="shared" ref="L18:P23" si="37">L43/$Q43</f>
        <v>0</v>
      </c>
      <c r="M18" s="130">
        <f t="shared" si="37"/>
        <v>0</v>
      </c>
      <c r="N18" s="130">
        <f t="shared" si="37"/>
        <v>0</v>
      </c>
      <c r="O18" s="130">
        <f t="shared" si="37"/>
        <v>0</v>
      </c>
      <c r="P18" s="130">
        <f t="shared" si="37"/>
        <v>1</v>
      </c>
      <c r="Q18" s="155">
        <f t="shared" ref="Q18:Q23" si="38">SUM(L18:P18)</f>
        <v>1</v>
      </c>
      <c r="R18" s="130">
        <f t="shared" ref="R18:R25" si="39">R43/$R$51</f>
        <v>2.2163467177542324E-2</v>
      </c>
      <c r="S18"/>
      <c r="T18" s="206">
        <v>72800</v>
      </c>
      <c r="U18" t="s">
        <v>70</v>
      </c>
      <c r="V18" s="130">
        <f t="shared" ref="V18:Z18" si="40">V43/$H43</f>
        <v>0</v>
      </c>
      <c r="W18" s="130">
        <f t="shared" si="40"/>
        <v>0</v>
      </c>
      <c r="X18" s="130">
        <f t="shared" si="40"/>
        <v>0</v>
      </c>
      <c r="Y18" s="130">
        <f t="shared" si="40"/>
        <v>0</v>
      </c>
      <c r="Z18" s="130">
        <f t="shared" si="40"/>
        <v>1</v>
      </c>
      <c r="AA18" s="130">
        <f t="shared" ref="AA18:AA23" si="41">SUM(V18:Z18)</f>
        <v>1</v>
      </c>
      <c r="AB18" s="130">
        <f t="shared" ref="AB18:AB23" si="42">AB43/$I$51</f>
        <v>2.2163530675084201E-2</v>
      </c>
      <c r="AC18" s="206">
        <v>72800</v>
      </c>
      <c r="AD18" t="s">
        <v>70</v>
      </c>
      <c r="AE18" s="130">
        <f t="shared" ref="AE18:AI18" si="43">AE43/$Q43</f>
        <v>0</v>
      </c>
      <c r="AF18" s="130">
        <f t="shared" si="43"/>
        <v>0</v>
      </c>
      <c r="AG18" s="130">
        <f t="shared" si="43"/>
        <v>0</v>
      </c>
      <c r="AH18" s="130">
        <f t="shared" si="43"/>
        <v>0</v>
      </c>
      <c r="AI18" s="130">
        <f t="shared" si="43"/>
        <v>1</v>
      </c>
      <c r="AJ18" s="155">
        <f t="shared" ref="AJ18:AJ23" si="44">SUM(AE18:AI18)</f>
        <v>1</v>
      </c>
      <c r="AK18" s="130">
        <f t="shared" ref="AK18:AK25" si="45">AK43/$R$51</f>
        <v>2.2163467177542324E-2</v>
      </c>
      <c r="AM18" s="206">
        <v>72800</v>
      </c>
      <c r="AN18" t="s">
        <v>70</v>
      </c>
      <c r="AO18" s="130">
        <f t="shared" ref="AO18:AS18" si="46">AO43/$H43</f>
        <v>0</v>
      </c>
      <c r="AP18" s="130">
        <f t="shared" si="46"/>
        <v>0</v>
      </c>
      <c r="AQ18" s="130">
        <f t="shared" si="46"/>
        <v>0</v>
      </c>
      <c r="AR18" s="130">
        <f t="shared" si="46"/>
        <v>0</v>
      </c>
      <c r="AS18" s="130">
        <f t="shared" si="46"/>
        <v>1</v>
      </c>
      <c r="AT18" s="130">
        <f t="shared" ref="AT18:AT23" si="47">SUM(AO18:AS18)</f>
        <v>1</v>
      </c>
      <c r="AU18" s="130">
        <f t="shared" ref="AU18:AU23" si="48">AU43/$I$51</f>
        <v>2.2163530675084201E-2</v>
      </c>
      <c r="AV18" s="206">
        <v>72800</v>
      </c>
      <c r="AW18" t="s">
        <v>70</v>
      </c>
      <c r="AX18" s="130">
        <f t="shared" ref="AX18:BB18" si="49">AX43/$Q43</f>
        <v>0</v>
      </c>
      <c r="AY18" s="130">
        <f t="shared" si="49"/>
        <v>0</v>
      </c>
      <c r="AZ18" s="130">
        <f t="shared" si="49"/>
        <v>0</v>
      </c>
      <c r="BA18" s="130">
        <f t="shared" si="49"/>
        <v>0</v>
      </c>
      <c r="BB18" s="130">
        <f t="shared" si="49"/>
        <v>1</v>
      </c>
      <c r="BC18" s="155">
        <f t="shared" ref="BC18:BC23" si="50">SUM(AX18:BB18)</f>
        <v>1</v>
      </c>
      <c r="BD18" s="130">
        <f t="shared" ref="BD18:BD25" si="51">BD43/$R$51</f>
        <v>2.2163467177542324E-2</v>
      </c>
      <c r="BF18" s="206">
        <v>72800</v>
      </c>
      <c r="BG18" t="s">
        <v>70</v>
      </c>
      <c r="BH18" s="130">
        <f t="shared" ref="BH18:BL18" si="52">BH43/$H43</f>
        <v>0</v>
      </c>
      <c r="BI18" s="130">
        <f t="shared" si="52"/>
        <v>0</v>
      </c>
      <c r="BJ18" s="130">
        <f t="shared" si="52"/>
        <v>0</v>
      </c>
      <c r="BK18" s="130">
        <f t="shared" si="52"/>
        <v>0</v>
      </c>
      <c r="BL18" s="130">
        <f t="shared" si="52"/>
        <v>1</v>
      </c>
      <c r="BM18" s="130">
        <f t="shared" ref="BM18:BM23" si="53">SUM(BH18:BL18)</f>
        <v>1</v>
      </c>
      <c r="BN18" s="130">
        <f t="shared" ref="BN18:BN23" si="54">BN43/$I$51</f>
        <v>2.2163530675084201E-2</v>
      </c>
      <c r="BO18" s="206">
        <v>72800</v>
      </c>
      <c r="BP18" t="s">
        <v>70</v>
      </c>
      <c r="BQ18" s="130">
        <f t="shared" ref="BQ18:BU18" si="55">BQ43/$Q43</f>
        <v>0</v>
      </c>
      <c r="BR18" s="130">
        <f t="shared" si="55"/>
        <v>0</v>
      </c>
      <c r="BS18" s="130">
        <f t="shared" si="55"/>
        <v>0</v>
      </c>
      <c r="BT18" s="130">
        <f t="shared" si="55"/>
        <v>0</v>
      </c>
      <c r="BU18" s="130">
        <f t="shared" si="55"/>
        <v>1</v>
      </c>
      <c r="BV18" s="155">
        <f t="shared" ref="BV18:BV23" si="56">SUM(BQ18:BU18)</f>
        <v>1</v>
      </c>
      <c r="BW18" s="130">
        <f t="shared" ref="BW18:BW25" si="57">BW43/$R$51</f>
        <v>2.2163467177542324E-2</v>
      </c>
    </row>
    <row r="19" spans="1:75" ht="15" x14ac:dyDescent="0.25">
      <c r="A19" s="206">
        <v>73100</v>
      </c>
      <c r="B19" t="s">
        <v>72</v>
      </c>
      <c r="C19" s="130">
        <f t="shared" si="34"/>
        <v>0</v>
      </c>
      <c r="D19" s="130">
        <f t="shared" si="34"/>
        <v>0</v>
      </c>
      <c r="E19" s="130">
        <f t="shared" si="34"/>
        <v>0</v>
      </c>
      <c r="F19" s="130">
        <f t="shared" si="34"/>
        <v>0</v>
      </c>
      <c r="G19" s="130">
        <f t="shared" si="34"/>
        <v>1</v>
      </c>
      <c r="H19" s="130">
        <f t="shared" si="35"/>
        <v>1</v>
      </c>
      <c r="I19" s="130">
        <f t="shared" si="36"/>
        <v>0.2853759317443007</v>
      </c>
      <c r="J19" s="206">
        <v>73100</v>
      </c>
      <c r="K19" t="s">
        <v>72</v>
      </c>
      <c r="L19" s="130">
        <f t="shared" si="37"/>
        <v>0</v>
      </c>
      <c r="M19" s="130">
        <f t="shared" si="37"/>
        <v>0</v>
      </c>
      <c r="N19" s="130">
        <f t="shared" si="37"/>
        <v>0</v>
      </c>
      <c r="O19" s="130">
        <f t="shared" si="37"/>
        <v>0</v>
      </c>
      <c r="P19" s="130">
        <f t="shared" si="37"/>
        <v>1</v>
      </c>
      <c r="Q19" s="155">
        <f t="shared" si="38"/>
        <v>1</v>
      </c>
      <c r="R19" s="130">
        <f t="shared" si="39"/>
        <v>0.28537574991420245</v>
      </c>
      <c r="S19"/>
      <c r="T19" s="206">
        <v>73100</v>
      </c>
      <c r="U19" t="s">
        <v>72</v>
      </c>
      <c r="V19" s="130">
        <f t="shared" ref="V19:Z19" si="58">V44/$H44</f>
        <v>0</v>
      </c>
      <c r="W19" s="130">
        <f t="shared" si="58"/>
        <v>0</v>
      </c>
      <c r="X19" s="130">
        <f t="shared" si="58"/>
        <v>0</v>
      </c>
      <c r="Y19" s="130">
        <f t="shared" si="58"/>
        <v>0</v>
      </c>
      <c r="Z19" s="130">
        <f t="shared" si="58"/>
        <v>1</v>
      </c>
      <c r="AA19" s="130">
        <f t="shared" si="41"/>
        <v>1</v>
      </c>
      <c r="AB19" s="130">
        <f t="shared" si="42"/>
        <v>0.2853759317443007</v>
      </c>
      <c r="AC19" s="206">
        <v>73100</v>
      </c>
      <c r="AD19" t="s">
        <v>72</v>
      </c>
      <c r="AE19" s="130">
        <f t="shared" ref="AE19:AI19" si="59">AE44/$Q44</f>
        <v>0</v>
      </c>
      <c r="AF19" s="130">
        <f t="shared" si="59"/>
        <v>0</v>
      </c>
      <c r="AG19" s="130">
        <f t="shared" si="59"/>
        <v>0</v>
      </c>
      <c r="AH19" s="130">
        <f t="shared" si="59"/>
        <v>0</v>
      </c>
      <c r="AI19" s="130">
        <f t="shared" si="59"/>
        <v>1</v>
      </c>
      <c r="AJ19" s="155">
        <f t="shared" si="44"/>
        <v>1</v>
      </c>
      <c r="AK19" s="130">
        <f t="shared" si="45"/>
        <v>0.28537574991420245</v>
      </c>
      <c r="AM19" s="206">
        <v>73100</v>
      </c>
      <c r="AN19" t="s">
        <v>72</v>
      </c>
      <c r="AO19" s="130">
        <f t="shared" ref="AO19:AS19" si="60">AO44/$H44</f>
        <v>0</v>
      </c>
      <c r="AP19" s="130">
        <f t="shared" si="60"/>
        <v>0</v>
      </c>
      <c r="AQ19" s="130">
        <f t="shared" si="60"/>
        <v>0</v>
      </c>
      <c r="AR19" s="130">
        <f t="shared" si="60"/>
        <v>0</v>
      </c>
      <c r="AS19" s="130">
        <f t="shared" si="60"/>
        <v>1</v>
      </c>
      <c r="AT19" s="130">
        <f t="shared" si="47"/>
        <v>1</v>
      </c>
      <c r="AU19" s="130">
        <f t="shared" si="48"/>
        <v>0.2853759317443007</v>
      </c>
      <c r="AV19" s="206">
        <v>73100</v>
      </c>
      <c r="AW19" t="s">
        <v>72</v>
      </c>
      <c r="AX19" s="130">
        <f t="shared" ref="AX19:BB19" si="61">AX44/$Q44</f>
        <v>0</v>
      </c>
      <c r="AY19" s="130">
        <f t="shared" si="61"/>
        <v>0</v>
      </c>
      <c r="AZ19" s="130">
        <f t="shared" si="61"/>
        <v>0</v>
      </c>
      <c r="BA19" s="130">
        <f t="shared" si="61"/>
        <v>0</v>
      </c>
      <c r="BB19" s="130">
        <f t="shared" si="61"/>
        <v>1</v>
      </c>
      <c r="BC19" s="155">
        <f t="shared" si="50"/>
        <v>1</v>
      </c>
      <c r="BD19" s="130">
        <f t="shared" si="51"/>
        <v>0.28537574991420245</v>
      </c>
      <c r="BF19" s="206">
        <v>73100</v>
      </c>
      <c r="BG19" t="s">
        <v>72</v>
      </c>
      <c r="BH19" s="130">
        <f t="shared" ref="BH19:BL19" si="62">BH44/$H44</f>
        <v>0</v>
      </c>
      <c r="BI19" s="130">
        <f t="shared" si="62"/>
        <v>0</v>
      </c>
      <c r="BJ19" s="130">
        <f t="shared" si="62"/>
        <v>0</v>
      </c>
      <c r="BK19" s="130">
        <f t="shared" si="62"/>
        <v>0</v>
      </c>
      <c r="BL19" s="130">
        <f t="shared" si="62"/>
        <v>1</v>
      </c>
      <c r="BM19" s="130">
        <f t="shared" si="53"/>
        <v>1</v>
      </c>
      <c r="BN19" s="130">
        <f t="shared" si="54"/>
        <v>0.2853759317443007</v>
      </c>
      <c r="BO19" s="206">
        <v>73100</v>
      </c>
      <c r="BP19" t="s">
        <v>72</v>
      </c>
      <c r="BQ19" s="130">
        <f t="shared" ref="BQ19:BU19" si="63">BQ44/$Q44</f>
        <v>0</v>
      </c>
      <c r="BR19" s="130">
        <f t="shared" si="63"/>
        <v>0</v>
      </c>
      <c r="BS19" s="130">
        <f t="shared" si="63"/>
        <v>0</v>
      </c>
      <c r="BT19" s="130">
        <f t="shared" si="63"/>
        <v>0</v>
      </c>
      <c r="BU19" s="130">
        <f t="shared" si="63"/>
        <v>1</v>
      </c>
      <c r="BV19" s="155">
        <f t="shared" si="56"/>
        <v>1</v>
      </c>
      <c r="BW19" s="130">
        <f t="shared" si="57"/>
        <v>0.28537574991420245</v>
      </c>
    </row>
    <row r="20" spans="1:75" ht="15" x14ac:dyDescent="0.25">
      <c r="A20" s="206">
        <v>73400</v>
      </c>
      <c r="B20" t="s">
        <v>73</v>
      </c>
      <c r="C20" s="130">
        <f t="shared" si="34"/>
        <v>0</v>
      </c>
      <c r="D20" s="130">
        <f t="shared" si="34"/>
        <v>0</v>
      </c>
      <c r="E20" s="130">
        <f t="shared" si="34"/>
        <v>0</v>
      </c>
      <c r="F20" s="130">
        <f t="shared" si="34"/>
        <v>0</v>
      </c>
      <c r="G20" s="130">
        <f t="shared" si="34"/>
        <v>1</v>
      </c>
      <c r="H20" s="130">
        <f t="shared" si="35"/>
        <v>1</v>
      </c>
      <c r="I20" s="130">
        <f t="shared" si="36"/>
        <v>1.6777677070664996E-2</v>
      </c>
      <c r="J20" s="206">
        <v>73400</v>
      </c>
      <c r="K20" t="s">
        <v>73</v>
      </c>
      <c r="L20" s="130">
        <f t="shared" si="37"/>
        <v>0</v>
      </c>
      <c r="M20" s="130">
        <f t="shared" si="37"/>
        <v>0</v>
      </c>
      <c r="N20" s="130">
        <f t="shared" si="37"/>
        <v>0</v>
      </c>
      <c r="O20" s="130">
        <f t="shared" si="37"/>
        <v>0</v>
      </c>
      <c r="P20" s="130">
        <f t="shared" si="37"/>
        <v>1</v>
      </c>
      <c r="Q20" s="155">
        <f t="shared" si="38"/>
        <v>1</v>
      </c>
      <c r="R20" s="130">
        <f t="shared" si="39"/>
        <v>1.6777497578119232E-2</v>
      </c>
      <c r="S20"/>
      <c r="T20" s="206">
        <v>73400</v>
      </c>
      <c r="U20" t="s">
        <v>73</v>
      </c>
      <c r="V20" s="130">
        <f t="shared" ref="V20:Z20" si="64">V45/$H45</f>
        <v>0</v>
      </c>
      <c r="W20" s="130">
        <f t="shared" si="64"/>
        <v>0</v>
      </c>
      <c r="X20" s="130">
        <f t="shared" si="64"/>
        <v>0</v>
      </c>
      <c r="Y20" s="130">
        <f t="shared" si="64"/>
        <v>0</v>
      </c>
      <c r="Z20" s="130">
        <f t="shared" si="64"/>
        <v>1</v>
      </c>
      <c r="AA20" s="130">
        <f t="shared" si="41"/>
        <v>1</v>
      </c>
      <c r="AB20" s="130">
        <f t="shared" si="42"/>
        <v>1.6777677070664996E-2</v>
      </c>
      <c r="AC20" s="206">
        <v>73400</v>
      </c>
      <c r="AD20" t="s">
        <v>73</v>
      </c>
      <c r="AE20" s="130">
        <f t="shared" ref="AE20:AI20" si="65">AE45/$Q45</f>
        <v>0</v>
      </c>
      <c r="AF20" s="130">
        <f t="shared" si="65"/>
        <v>0</v>
      </c>
      <c r="AG20" s="130">
        <f t="shared" si="65"/>
        <v>0</v>
      </c>
      <c r="AH20" s="130">
        <f t="shared" si="65"/>
        <v>0</v>
      </c>
      <c r="AI20" s="130">
        <f t="shared" si="65"/>
        <v>1</v>
      </c>
      <c r="AJ20" s="155">
        <f t="shared" si="44"/>
        <v>1</v>
      </c>
      <c r="AK20" s="130">
        <f t="shared" si="45"/>
        <v>1.6777497578119232E-2</v>
      </c>
      <c r="AM20" s="206">
        <v>73400</v>
      </c>
      <c r="AN20" t="s">
        <v>73</v>
      </c>
      <c r="AO20" s="130">
        <f t="shared" ref="AO20:AS20" si="66">AO45/$H45</f>
        <v>0</v>
      </c>
      <c r="AP20" s="130">
        <f t="shared" si="66"/>
        <v>0</v>
      </c>
      <c r="AQ20" s="130">
        <f t="shared" si="66"/>
        <v>0</v>
      </c>
      <c r="AR20" s="130">
        <f t="shared" si="66"/>
        <v>0</v>
      </c>
      <c r="AS20" s="130">
        <f t="shared" si="66"/>
        <v>1</v>
      </c>
      <c r="AT20" s="130">
        <f t="shared" si="47"/>
        <v>1</v>
      </c>
      <c r="AU20" s="130">
        <f t="shared" si="48"/>
        <v>1.6777677070664996E-2</v>
      </c>
      <c r="AV20" s="206">
        <v>73400</v>
      </c>
      <c r="AW20" t="s">
        <v>73</v>
      </c>
      <c r="AX20" s="130">
        <f t="shared" ref="AX20:BB20" si="67">AX45/$Q45</f>
        <v>0</v>
      </c>
      <c r="AY20" s="130">
        <f t="shared" si="67"/>
        <v>0</v>
      </c>
      <c r="AZ20" s="130">
        <f t="shared" si="67"/>
        <v>0</v>
      </c>
      <c r="BA20" s="130">
        <f t="shared" si="67"/>
        <v>0</v>
      </c>
      <c r="BB20" s="130">
        <f t="shared" si="67"/>
        <v>1</v>
      </c>
      <c r="BC20" s="155">
        <f t="shared" si="50"/>
        <v>1</v>
      </c>
      <c r="BD20" s="130">
        <f t="shared" si="51"/>
        <v>1.6777497578119232E-2</v>
      </c>
      <c r="BF20" s="206">
        <v>73400</v>
      </c>
      <c r="BG20" t="s">
        <v>73</v>
      </c>
      <c r="BH20" s="130">
        <f t="shared" ref="BH20:BL20" si="68">BH45/$H45</f>
        <v>0</v>
      </c>
      <c r="BI20" s="130">
        <f t="shared" si="68"/>
        <v>0</v>
      </c>
      <c r="BJ20" s="130">
        <f t="shared" si="68"/>
        <v>0</v>
      </c>
      <c r="BK20" s="130">
        <f t="shared" si="68"/>
        <v>0</v>
      </c>
      <c r="BL20" s="130">
        <f t="shared" si="68"/>
        <v>1</v>
      </c>
      <c r="BM20" s="130">
        <f t="shared" si="53"/>
        <v>1</v>
      </c>
      <c r="BN20" s="130">
        <f t="shared" si="54"/>
        <v>1.6777677070664996E-2</v>
      </c>
      <c r="BO20" s="206">
        <v>73400</v>
      </c>
      <c r="BP20" t="s">
        <v>73</v>
      </c>
      <c r="BQ20" s="130">
        <f t="shared" ref="BQ20:BU20" si="69">BQ45/$Q45</f>
        <v>0</v>
      </c>
      <c r="BR20" s="130">
        <f t="shared" si="69"/>
        <v>0</v>
      </c>
      <c r="BS20" s="130">
        <f t="shared" si="69"/>
        <v>0</v>
      </c>
      <c r="BT20" s="130">
        <f t="shared" si="69"/>
        <v>0</v>
      </c>
      <c r="BU20" s="130">
        <f t="shared" si="69"/>
        <v>1</v>
      </c>
      <c r="BV20" s="155">
        <f t="shared" si="56"/>
        <v>1</v>
      </c>
      <c r="BW20" s="130">
        <f t="shared" si="57"/>
        <v>1.6777497578119232E-2</v>
      </c>
    </row>
    <row r="21" spans="1:75" ht="15" x14ac:dyDescent="0.25">
      <c r="A21" s="206">
        <v>74100</v>
      </c>
      <c r="B21" t="s">
        <v>75</v>
      </c>
      <c r="C21" s="130">
        <f t="shared" si="34"/>
        <v>0</v>
      </c>
      <c r="D21" s="130">
        <f t="shared" si="34"/>
        <v>0</v>
      </c>
      <c r="E21" s="130">
        <f t="shared" si="34"/>
        <v>0</v>
      </c>
      <c r="F21" s="130">
        <f t="shared" si="34"/>
        <v>0</v>
      </c>
      <c r="G21" s="130">
        <f t="shared" si="34"/>
        <v>1</v>
      </c>
      <c r="H21" s="130">
        <f t="shared" si="35"/>
        <v>1</v>
      </c>
      <c r="I21" s="130"/>
      <c r="J21" s="206">
        <v>74100</v>
      </c>
      <c r="K21" t="s">
        <v>75</v>
      </c>
      <c r="L21" s="130">
        <f t="shared" si="37"/>
        <v>0</v>
      </c>
      <c r="M21" s="130">
        <f t="shared" si="37"/>
        <v>0</v>
      </c>
      <c r="N21" s="130">
        <f t="shared" si="37"/>
        <v>0</v>
      </c>
      <c r="O21" s="130">
        <f t="shared" si="37"/>
        <v>0</v>
      </c>
      <c r="P21" s="130">
        <f t="shared" si="37"/>
        <v>1</v>
      </c>
      <c r="Q21" s="155">
        <f t="shared" si="38"/>
        <v>1</v>
      </c>
      <c r="R21" s="130"/>
      <c r="S21"/>
      <c r="T21" s="206">
        <v>74100</v>
      </c>
      <c r="U21" t="s">
        <v>75</v>
      </c>
      <c r="V21" s="130">
        <f t="shared" ref="V21:Z21" si="70">V46/$H46</f>
        <v>0</v>
      </c>
      <c r="W21" s="130">
        <f t="shared" si="70"/>
        <v>0</v>
      </c>
      <c r="X21" s="130">
        <f t="shared" si="70"/>
        <v>0</v>
      </c>
      <c r="Y21" s="130">
        <f t="shared" si="70"/>
        <v>0</v>
      </c>
      <c r="Z21" s="130">
        <f t="shared" si="70"/>
        <v>1</v>
      </c>
      <c r="AA21" s="130">
        <f t="shared" si="41"/>
        <v>1</v>
      </c>
      <c r="AB21" s="130"/>
      <c r="AC21" s="206">
        <v>74100</v>
      </c>
      <c r="AD21" t="s">
        <v>75</v>
      </c>
      <c r="AE21" s="130">
        <f t="shared" ref="AE21:AI21" si="71">AE46/$Q46</f>
        <v>0</v>
      </c>
      <c r="AF21" s="130">
        <f t="shared" si="71"/>
        <v>0</v>
      </c>
      <c r="AG21" s="130">
        <f t="shared" si="71"/>
        <v>0</v>
      </c>
      <c r="AH21" s="130">
        <f t="shared" si="71"/>
        <v>0</v>
      </c>
      <c r="AI21" s="130">
        <f t="shared" si="71"/>
        <v>1</v>
      </c>
      <c r="AJ21" s="155">
        <f t="shared" si="44"/>
        <v>1</v>
      </c>
      <c r="AK21" s="130"/>
      <c r="AM21" s="206">
        <v>74100</v>
      </c>
      <c r="AN21" t="s">
        <v>75</v>
      </c>
      <c r="AO21" s="130">
        <f t="shared" ref="AO21:AS21" si="72">AO46/$H46</f>
        <v>0</v>
      </c>
      <c r="AP21" s="130">
        <f t="shared" si="72"/>
        <v>0</v>
      </c>
      <c r="AQ21" s="130">
        <f t="shared" si="72"/>
        <v>0</v>
      </c>
      <c r="AR21" s="130">
        <f t="shared" si="72"/>
        <v>0</v>
      </c>
      <c r="AS21" s="130">
        <f t="shared" si="72"/>
        <v>1</v>
      </c>
      <c r="AT21" s="130">
        <f t="shared" si="47"/>
        <v>1</v>
      </c>
      <c r="AU21" s="130"/>
      <c r="AV21" s="206">
        <v>74100</v>
      </c>
      <c r="AW21" t="s">
        <v>75</v>
      </c>
      <c r="AX21" s="130">
        <f t="shared" ref="AX21:BB21" si="73">AX46/$Q46</f>
        <v>0</v>
      </c>
      <c r="AY21" s="130">
        <f t="shared" si="73"/>
        <v>0</v>
      </c>
      <c r="AZ21" s="130">
        <f t="shared" si="73"/>
        <v>0</v>
      </c>
      <c r="BA21" s="130">
        <f t="shared" si="73"/>
        <v>0</v>
      </c>
      <c r="BB21" s="130">
        <f t="shared" si="73"/>
        <v>1</v>
      </c>
      <c r="BC21" s="155">
        <f t="shared" si="50"/>
        <v>1</v>
      </c>
      <c r="BD21" s="130"/>
      <c r="BF21" s="206">
        <v>74100</v>
      </c>
      <c r="BG21" t="s">
        <v>75</v>
      </c>
      <c r="BH21" s="130">
        <f t="shared" ref="BH21:BL21" si="74">BH46/$H46</f>
        <v>0</v>
      </c>
      <c r="BI21" s="130">
        <f t="shared" si="74"/>
        <v>0</v>
      </c>
      <c r="BJ21" s="130">
        <f t="shared" si="74"/>
        <v>0</v>
      </c>
      <c r="BK21" s="130">
        <f t="shared" si="74"/>
        <v>0</v>
      </c>
      <c r="BL21" s="130">
        <f t="shared" si="74"/>
        <v>1</v>
      </c>
      <c r="BM21" s="130">
        <f t="shared" si="53"/>
        <v>1</v>
      </c>
      <c r="BN21" s="130"/>
      <c r="BO21" s="206">
        <v>74100</v>
      </c>
      <c r="BP21" t="s">
        <v>75</v>
      </c>
      <c r="BQ21" s="130">
        <f t="shared" ref="BQ21:BU21" si="75">BQ46/$Q46</f>
        <v>0</v>
      </c>
      <c r="BR21" s="130">
        <f t="shared" si="75"/>
        <v>0</v>
      </c>
      <c r="BS21" s="130">
        <f t="shared" si="75"/>
        <v>0</v>
      </c>
      <c r="BT21" s="130">
        <f t="shared" si="75"/>
        <v>0</v>
      </c>
      <c r="BU21" s="130">
        <f t="shared" si="75"/>
        <v>1</v>
      </c>
      <c r="BV21" s="155">
        <f t="shared" si="56"/>
        <v>1</v>
      </c>
      <c r="BW21" s="130"/>
    </row>
    <row r="22" spans="1:75" ht="15" x14ac:dyDescent="0.25">
      <c r="A22" s="206">
        <v>74200</v>
      </c>
      <c r="B22" t="s">
        <v>76</v>
      </c>
      <c r="C22" s="130">
        <f t="shared" si="34"/>
        <v>0</v>
      </c>
      <c r="D22" s="130">
        <f t="shared" si="34"/>
        <v>0</v>
      </c>
      <c r="E22" s="130">
        <f t="shared" si="34"/>
        <v>0</v>
      </c>
      <c r="F22" s="130">
        <f t="shared" si="34"/>
        <v>0</v>
      </c>
      <c r="G22" s="130">
        <f t="shared" si="34"/>
        <v>1</v>
      </c>
      <c r="H22" s="130">
        <f t="shared" si="35"/>
        <v>1</v>
      </c>
      <c r="I22" s="130">
        <f t="shared" si="36"/>
        <v>1.5743888322556743E-2</v>
      </c>
      <c r="J22" s="206">
        <v>74200</v>
      </c>
      <c r="K22" t="s">
        <v>76</v>
      </c>
      <c r="L22" s="130">
        <f t="shared" si="37"/>
        <v>0</v>
      </c>
      <c r="M22" s="130">
        <f t="shared" si="37"/>
        <v>0</v>
      </c>
      <c r="N22" s="130">
        <f t="shared" si="37"/>
        <v>0</v>
      </c>
      <c r="O22" s="130">
        <f t="shared" si="37"/>
        <v>0</v>
      </c>
      <c r="P22" s="130">
        <f t="shared" si="37"/>
        <v>1</v>
      </c>
      <c r="Q22" s="155">
        <f t="shared" si="38"/>
        <v>1</v>
      </c>
      <c r="R22" s="130">
        <f t="shared" si="39"/>
        <v>1.5744125581577197E-2</v>
      </c>
      <c r="S22"/>
      <c r="T22" s="206">
        <v>74200</v>
      </c>
      <c r="U22" t="s">
        <v>76</v>
      </c>
      <c r="V22" s="130">
        <f t="shared" ref="V22:Z22" si="76">V47/$H47</f>
        <v>0</v>
      </c>
      <c r="W22" s="130">
        <f t="shared" si="76"/>
        <v>0</v>
      </c>
      <c r="X22" s="130">
        <f t="shared" si="76"/>
        <v>0</v>
      </c>
      <c r="Y22" s="130">
        <f t="shared" si="76"/>
        <v>0</v>
      </c>
      <c r="Z22" s="130">
        <f t="shared" si="76"/>
        <v>1</v>
      </c>
      <c r="AA22" s="130">
        <f t="shared" si="41"/>
        <v>1</v>
      </c>
      <c r="AB22" s="130">
        <f t="shared" si="42"/>
        <v>1.5743888322556743E-2</v>
      </c>
      <c r="AC22" s="206">
        <v>74200</v>
      </c>
      <c r="AD22" t="s">
        <v>76</v>
      </c>
      <c r="AE22" s="130">
        <f t="shared" ref="AE22:AI22" si="77">AE47/$Q47</f>
        <v>0</v>
      </c>
      <c r="AF22" s="130">
        <f t="shared" si="77"/>
        <v>0</v>
      </c>
      <c r="AG22" s="130">
        <f t="shared" si="77"/>
        <v>0</v>
      </c>
      <c r="AH22" s="130">
        <f t="shared" si="77"/>
        <v>0</v>
      </c>
      <c r="AI22" s="130">
        <f t="shared" si="77"/>
        <v>1</v>
      </c>
      <c r="AJ22" s="155">
        <f t="shared" si="44"/>
        <v>1</v>
      </c>
      <c r="AK22" s="130">
        <f t="shared" si="45"/>
        <v>1.5744125581577197E-2</v>
      </c>
      <c r="AM22" s="206">
        <v>74200</v>
      </c>
      <c r="AN22" t="s">
        <v>76</v>
      </c>
      <c r="AO22" s="130">
        <f t="shared" ref="AO22:AS22" si="78">AO47/$H47</f>
        <v>0</v>
      </c>
      <c r="AP22" s="130">
        <f t="shared" si="78"/>
        <v>0</v>
      </c>
      <c r="AQ22" s="130">
        <f t="shared" si="78"/>
        <v>0</v>
      </c>
      <c r="AR22" s="130">
        <f t="shared" si="78"/>
        <v>0</v>
      </c>
      <c r="AS22" s="130">
        <f t="shared" si="78"/>
        <v>1</v>
      </c>
      <c r="AT22" s="130">
        <f t="shared" si="47"/>
        <v>1</v>
      </c>
      <c r="AU22" s="130">
        <f t="shared" si="48"/>
        <v>1.5743888322556743E-2</v>
      </c>
      <c r="AV22" s="206">
        <v>74200</v>
      </c>
      <c r="AW22" t="s">
        <v>76</v>
      </c>
      <c r="AX22" s="130">
        <f t="shared" ref="AX22:BB22" si="79">AX47/$Q47</f>
        <v>0</v>
      </c>
      <c r="AY22" s="130">
        <f t="shared" si="79"/>
        <v>0</v>
      </c>
      <c r="AZ22" s="130">
        <f t="shared" si="79"/>
        <v>0</v>
      </c>
      <c r="BA22" s="130">
        <f t="shared" si="79"/>
        <v>0</v>
      </c>
      <c r="BB22" s="130">
        <f t="shared" si="79"/>
        <v>1</v>
      </c>
      <c r="BC22" s="155">
        <f t="shared" si="50"/>
        <v>1</v>
      </c>
      <c r="BD22" s="130">
        <f t="shared" si="51"/>
        <v>1.5744125581577197E-2</v>
      </c>
      <c r="BF22" s="206">
        <v>74200</v>
      </c>
      <c r="BG22" t="s">
        <v>76</v>
      </c>
      <c r="BH22" s="130">
        <f t="shared" ref="BH22:BL22" si="80">BH47/$H47</f>
        <v>0</v>
      </c>
      <c r="BI22" s="130">
        <f t="shared" si="80"/>
        <v>0</v>
      </c>
      <c r="BJ22" s="130">
        <f t="shared" si="80"/>
        <v>0</v>
      </c>
      <c r="BK22" s="130">
        <f t="shared" si="80"/>
        <v>0</v>
      </c>
      <c r="BL22" s="130">
        <f t="shared" si="80"/>
        <v>1</v>
      </c>
      <c r="BM22" s="130">
        <f t="shared" si="53"/>
        <v>1</v>
      </c>
      <c r="BN22" s="130">
        <f t="shared" si="54"/>
        <v>1.5743888322556743E-2</v>
      </c>
      <c r="BO22" s="206">
        <v>74200</v>
      </c>
      <c r="BP22" t="s">
        <v>76</v>
      </c>
      <c r="BQ22" s="130">
        <f t="shared" ref="BQ22:BU22" si="81">BQ47/$Q47</f>
        <v>0</v>
      </c>
      <c r="BR22" s="130">
        <f t="shared" si="81"/>
        <v>0</v>
      </c>
      <c r="BS22" s="130">
        <f t="shared" si="81"/>
        <v>0</v>
      </c>
      <c r="BT22" s="130">
        <f t="shared" si="81"/>
        <v>0</v>
      </c>
      <c r="BU22" s="130">
        <f t="shared" si="81"/>
        <v>1</v>
      </c>
      <c r="BV22" s="155">
        <f t="shared" si="56"/>
        <v>1</v>
      </c>
      <c r="BW22" s="130">
        <f t="shared" si="57"/>
        <v>1.5744125581577197E-2</v>
      </c>
    </row>
    <row r="23" spans="1:75" ht="15" x14ac:dyDescent="0.25">
      <c r="A23" s="206">
        <v>74500</v>
      </c>
      <c r="B23" t="s">
        <v>49</v>
      </c>
      <c r="C23" s="130">
        <f t="shared" si="34"/>
        <v>0</v>
      </c>
      <c r="D23" s="130">
        <f t="shared" si="34"/>
        <v>0</v>
      </c>
      <c r="E23" s="130">
        <f t="shared" si="34"/>
        <v>1.3843411839592616E-2</v>
      </c>
      <c r="F23" s="130">
        <f t="shared" si="34"/>
        <v>0.79428389560789303</v>
      </c>
      <c r="G23" s="130">
        <f t="shared" si="34"/>
        <v>0.19187269255251432</v>
      </c>
      <c r="H23" s="130">
        <f t="shared" si="35"/>
        <v>1</v>
      </c>
      <c r="I23" s="130">
        <f t="shared" si="36"/>
        <v>0.10276399160200363</v>
      </c>
      <c r="J23" s="206">
        <v>74500</v>
      </c>
      <c r="K23" t="s">
        <v>49</v>
      </c>
      <c r="L23" s="130">
        <f t="shared" si="37"/>
        <v>0</v>
      </c>
      <c r="M23" s="130">
        <f t="shared" si="37"/>
        <v>0</v>
      </c>
      <c r="N23" s="130">
        <f t="shared" si="37"/>
        <v>1.384191836993511E-2</v>
      </c>
      <c r="O23" s="130">
        <f t="shared" si="37"/>
        <v>0.79428409883536599</v>
      </c>
      <c r="P23" s="130">
        <f t="shared" si="37"/>
        <v>0.19187398279469892</v>
      </c>
      <c r="Q23" s="155">
        <f t="shared" si="38"/>
        <v>1</v>
      </c>
      <c r="R23" s="130">
        <f t="shared" si="39"/>
        <v>0.10276376779485041</v>
      </c>
      <c r="S23"/>
      <c r="T23" s="206">
        <v>74500</v>
      </c>
      <c r="U23" t="s">
        <v>49</v>
      </c>
      <c r="V23" s="130">
        <f t="shared" ref="V23:W23" si="82">V48/$H48</f>
        <v>0</v>
      </c>
      <c r="W23" s="130">
        <f t="shared" si="82"/>
        <v>0</v>
      </c>
      <c r="X23" s="130">
        <v>0</v>
      </c>
      <c r="Y23" s="130">
        <v>1</v>
      </c>
      <c r="Z23" s="130">
        <v>0</v>
      </c>
      <c r="AA23" s="130">
        <f t="shared" si="41"/>
        <v>1</v>
      </c>
      <c r="AB23" s="130">
        <f t="shared" si="42"/>
        <v>0.10276399160200363</v>
      </c>
      <c r="AC23" s="206">
        <v>74500</v>
      </c>
      <c r="AD23" t="s">
        <v>49</v>
      </c>
      <c r="AE23" s="130">
        <f t="shared" ref="AE23:AF23" si="83">AE48/$Q48</f>
        <v>0</v>
      </c>
      <c r="AF23" s="130">
        <f t="shared" si="83"/>
        <v>0</v>
      </c>
      <c r="AG23" s="130">
        <v>0</v>
      </c>
      <c r="AH23" s="130">
        <v>1</v>
      </c>
      <c r="AI23" s="130">
        <v>0</v>
      </c>
      <c r="AJ23" s="155">
        <f t="shared" si="44"/>
        <v>1</v>
      </c>
      <c r="AK23" s="130">
        <f t="shared" si="45"/>
        <v>0.10276376779485041</v>
      </c>
      <c r="AM23" s="206">
        <v>74500</v>
      </c>
      <c r="AN23" t="s">
        <v>49</v>
      </c>
      <c r="AO23" s="130">
        <f t="shared" ref="AO23:AP23" si="84">AO48/$H48</f>
        <v>0</v>
      </c>
      <c r="AP23" s="130">
        <f t="shared" si="84"/>
        <v>0</v>
      </c>
      <c r="AQ23" s="130">
        <v>0</v>
      </c>
      <c r="AR23" s="130">
        <v>1</v>
      </c>
      <c r="AS23" s="130">
        <v>0</v>
      </c>
      <c r="AT23" s="130">
        <f t="shared" si="47"/>
        <v>1</v>
      </c>
      <c r="AU23" s="130">
        <f t="shared" si="48"/>
        <v>0.10276399160200363</v>
      </c>
      <c r="AV23" s="206">
        <v>74500</v>
      </c>
      <c r="AW23" t="s">
        <v>49</v>
      </c>
      <c r="AX23" s="130">
        <f t="shared" ref="AX23:AY23" si="85">AX48/$Q48</f>
        <v>0</v>
      </c>
      <c r="AY23" s="130">
        <f t="shared" si="85"/>
        <v>0</v>
      </c>
      <c r="AZ23" s="130">
        <v>0</v>
      </c>
      <c r="BA23" s="130">
        <v>1</v>
      </c>
      <c r="BB23" s="130">
        <v>0</v>
      </c>
      <c r="BC23" s="155">
        <f t="shared" si="50"/>
        <v>1</v>
      </c>
      <c r="BD23" s="130">
        <f t="shared" si="51"/>
        <v>0.10276376779485041</v>
      </c>
      <c r="BF23" s="206">
        <v>74500</v>
      </c>
      <c r="BG23" t="s">
        <v>49</v>
      </c>
      <c r="BH23" s="130">
        <f t="shared" ref="BH23:BI23" si="86">BH48/$H48</f>
        <v>0</v>
      </c>
      <c r="BI23" s="130">
        <f t="shared" si="86"/>
        <v>0</v>
      </c>
      <c r="BJ23" s="130">
        <v>0</v>
      </c>
      <c r="BK23" s="130">
        <v>1</v>
      </c>
      <c r="BL23" s="130">
        <v>0</v>
      </c>
      <c r="BM23" s="130">
        <f t="shared" si="53"/>
        <v>1</v>
      </c>
      <c r="BN23" s="130">
        <f t="shared" si="54"/>
        <v>0.10276399160200363</v>
      </c>
      <c r="BO23" s="206">
        <v>74500</v>
      </c>
      <c r="BP23" t="s">
        <v>49</v>
      </c>
      <c r="BQ23" s="130">
        <f t="shared" ref="BQ23:BR23" si="87">BQ48/$Q48</f>
        <v>0</v>
      </c>
      <c r="BR23" s="130">
        <f t="shared" si="87"/>
        <v>0</v>
      </c>
      <c r="BS23" s="130">
        <v>0</v>
      </c>
      <c r="BT23" s="130">
        <v>1</v>
      </c>
      <c r="BU23" s="130">
        <v>0</v>
      </c>
      <c r="BV23" s="155">
        <f t="shared" si="56"/>
        <v>1</v>
      </c>
      <c r="BW23" s="130">
        <f t="shared" si="57"/>
        <v>0.10276376779485041</v>
      </c>
    </row>
    <row r="24" spans="1:75" ht="15" x14ac:dyDescent="0.25">
      <c r="A24" s="205">
        <v>74700</v>
      </c>
      <c r="B24" t="s">
        <v>77</v>
      </c>
      <c r="C24"/>
      <c r="D24"/>
      <c r="E24"/>
      <c r="F24"/>
      <c r="G24"/>
      <c r="H24"/>
      <c r="I24"/>
      <c r="J24" s="205">
        <v>74700</v>
      </c>
      <c r="K24" t="s">
        <v>77</v>
      </c>
      <c r="L24"/>
      <c r="M24"/>
      <c r="N24"/>
      <c r="O24"/>
      <c r="P24"/>
      <c r="Q24"/>
      <c r="R24"/>
      <c r="S24"/>
      <c r="T24" s="205">
        <v>74700</v>
      </c>
      <c r="U24" t="s">
        <v>77</v>
      </c>
      <c r="V24"/>
      <c r="W24"/>
      <c r="X24"/>
      <c r="Y24"/>
      <c r="Z24"/>
      <c r="AA24"/>
      <c r="AB24"/>
      <c r="AC24" s="205">
        <v>74700</v>
      </c>
      <c r="AD24" t="s">
        <v>77</v>
      </c>
      <c r="AE24"/>
      <c r="AF24"/>
      <c r="AG24"/>
      <c r="AH24"/>
      <c r="AI24"/>
      <c r="AJ24"/>
      <c r="AK24"/>
      <c r="AM24" s="205">
        <v>74700</v>
      </c>
      <c r="AN24" t="s">
        <v>77</v>
      </c>
      <c r="AO24"/>
      <c r="AP24"/>
      <c r="AQ24"/>
      <c r="AR24"/>
      <c r="AS24"/>
      <c r="AT24"/>
      <c r="AU24"/>
      <c r="AV24" s="205">
        <v>74700</v>
      </c>
      <c r="AW24" t="s">
        <v>77</v>
      </c>
      <c r="AX24"/>
      <c r="AY24"/>
      <c r="AZ24"/>
      <c r="BA24"/>
      <c r="BB24"/>
      <c r="BC24"/>
      <c r="BD24"/>
      <c r="BF24" s="205">
        <v>74700</v>
      </c>
      <c r="BG24" t="s">
        <v>77</v>
      </c>
      <c r="BH24"/>
      <c r="BI24"/>
      <c r="BJ24"/>
      <c r="BK24"/>
      <c r="BL24"/>
      <c r="BM24"/>
      <c r="BN24"/>
      <c r="BO24" s="205">
        <v>74700</v>
      </c>
      <c r="BP24" t="s">
        <v>77</v>
      </c>
      <c r="BQ24"/>
      <c r="BR24"/>
      <c r="BS24"/>
      <c r="BT24"/>
      <c r="BU24"/>
      <c r="BV24"/>
      <c r="BW24"/>
    </row>
    <row r="25" spans="1:75" ht="15" x14ac:dyDescent="0.25">
      <c r="A25" s="206">
        <v>75700</v>
      </c>
      <c r="B25" t="s">
        <v>27</v>
      </c>
      <c r="C25" s="130">
        <f t="shared" ref="C25:G25" si="88">C50/$H50</f>
        <v>0.13466038975495068</v>
      </c>
      <c r="D25" s="130">
        <f t="shared" si="88"/>
        <v>0.12958347586701199</v>
      </c>
      <c r="E25" s="130">
        <f t="shared" si="88"/>
        <v>7.1769100870405667E-2</v>
      </c>
      <c r="F25" s="130">
        <f t="shared" si="88"/>
        <v>0.66398703350763166</v>
      </c>
      <c r="G25" s="130">
        <f t="shared" si="88"/>
        <v>0</v>
      </c>
      <c r="H25" s="130">
        <f>SUM(C25:G25)</f>
        <v>1</v>
      </c>
      <c r="I25" s="130">
        <f>I50/$I$51</f>
        <v>9.637548588856118E-2</v>
      </c>
      <c r="J25" s="206">
        <v>75700</v>
      </c>
      <c r="K25" t="s">
        <v>27</v>
      </c>
      <c r="L25" s="130">
        <f t="shared" ref="L25:P25" si="89">L50/$Q50</f>
        <v>0.13466024340770791</v>
      </c>
      <c r="M25" s="130">
        <f t="shared" si="89"/>
        <v>0.12958361505521748</v>
      </c>
      <c r="N25" s="130">
        <f t="shared" si="89"/>
        <v>7.1768649988731129E-2</v>
      </c>
      <c r="O25" s="130">
        <f t="shared" si="89"/>
        <v>0.66398749154834347</v>
      </c>
      <c r="P25" s="130">
        <f t="shared" si="89"/>
        <v>0</v>
      </c>
      <c r="Q25" s="155">
        <f>SUM(L25:P25)</f>
        <v>1</v>
      </c>
      <c r="R25" s="130">
        <f t="shared" si="39"/>
        <v>9.6375649998045113E-2</v>
      </c>
      <c r="S25"/>
      <c r="T25" s="206">
        <v>75700</v>
      </c>
      <c r="U25" t="s">
        <v>27</v>
      </c>
      <c r="V25" s="130">
        <v>0</v>
      </c>
      <c r="W25" s="130">
        <v>0</v>
      </c>
      <c r="X25" s="130">
        <v>0</v>
      </c>
      <c r="Y25" s="130">
        <v>1</v>
      </c>
      <c r="Z25" s="130">
        <f t="shared" ref="Z25" si="90">Z50/$H50</f>
        <v>0</v>
      </c>
      <c r="AA25" s="130">
        <f>SUM(V25:Z25)</f>
        <v>1</v>
      </c>
      <c r="AB25" s="130">
        <f>AB50/$I$51</f>
        <v>9.637548588856118E-2</v>
      </c>
      <c r="AC25" s="206">
        <v>75700</v>
      </c>
      <c r="AD25" t="s">
        <v>27</v>
      </c>
      <c r="AE25" s="130">
        <v>0</v>
      </c>
      <c r="AF25" s="130">
        <v>0</v>
      </c>
      <c r="AG25" s="130">
        <v>0</v>
      </c>
      <c r="AH25" s="130">
        <v>1</v>
      </c>
      <c r="AI25" s="130">
        <f t="shared" ref="AI25" si="91">AI50/$Q50</f>
        <v>0</v>
      </c>
      <c r="AJ25" s="155">
        <f>SUM(AE25:AI25)</f>
        <v>1</v>
      </c>
      <c r="AK25" s="130">
        <f t="shared" si="45"/>
        <v>9.6375649998045113E-2</v>
      </c>
      <c r="AM25" s="206">
        <v>75700</v>
      </c>
      <c r="AN25" t="s">
        <v>27</v>
      </c>
      <c r="AO25" s="130">
        <v>0</v>
      </c>
      <c r="AP25" s="130">
        <v>0</v>
      </c>
      <c r="AQ25" s="130">
        <v>0</v>
      </c>
      <c r="AR25" s="130">
        <v>1</v>
      </c>
      <c r="AS25" s="130">
        <f t="shared" ref="AS25" si="92">AS50/$H50</f>
        <v>0</v>
      </c>
      <c r="AT25" s="130">
        <f>SUM(AO25:AS25)</f>
        <v>1</v>
      </c>
      <c r="AU25" s="130">
        <f>AU50/$I$51</f>
        <v>9.637548588856118E-2</v>
      </c>
      <c r="AV25" s="206">
        <v>75700</v>
      </c>
      <c r="AW25" t="s">
        <v>27</v>
      </c>
      <c r="AX25" s="130">
        <v>0</v>
      </c>
      <c r="AY25" s="130">
        <v>0</v>
      </c>
      <c r="AZ25" s="130">
        <v>0</v>
      </c>
      <c r="BA25" s="130">
        <v>1</v>
      </c>
      <c r="BB25" s="130">
        <f t="shared" ref="BB25" si="93">BB50/$Q50</f>
        <v>0</v>
      </c>
      <c r="BC25" s="155">
        <f>SUM(AX25:BB25)</f>
        <v>1</v>
      </c>
      <c r="BD25" s="130">
        <f t="shared" si="51"/>
        <v>9.6375649998045113E-2</v>
      </c>
      <c r="BF25" s="206">
        <v>75700</v>
      </c>
      <c r="BG25" t="s">
        <v>27</v>
      </c>
      <c r="BH25" s="130">
        <v>0</v>
      </c>
      <c r="BI25" s="130">
        <v>0</v>
      </c>
      <c r="BJ25" s="130">
        <v>0</v>
      </c>
      <c r="BK25" s="130">
        <v>1</v>
      </c>
      <c r="BL25" s="130">
        <f t="shared" ref="BL25" si="94">BL50/$H50</f>
        <v>0</v>
      </c>
      <c r="BM25" s="130">
        <f>SUM(BH25:BL25)</f>
        <v>1</v>
      </c>
      <c r="BN25" s="130">
        <f>BN50/$I$51</f>
        <v>9.637548588856118E-2</v>
      </c>
      <c r="BO25" s="206">
        <v>75700</v>
      </c>
      <c r="BP25" t="s">
        <v>27</v>
      </c>
      <c r="BQ25" s="130">
        <v>0</v>
      </c>
      <c r="BR25" s="130">
        <v>0</v>
      </c>
      <c r="BS25" s="130">
        <v>0</v>
      </c>
      <c r="BT25" s="130">
        <v>1</v>
      </c>
      <c r="BU25" s="130">
        <f t="shared" ref="BU25" si="95">BU50/$Q50</f>
        <v>0</v>
      </c>
      <c r="BV25" s="155">
        <f>SUM(BQ25:BU25)</f>
        <v>1</v>
      </c>
      <c r="BW25" s="130">
        <f t="shared" si="57"/>
        <v>9.6375649998045113E-2</v>
      </c>
    </row>
    <row r="26" spans="1:75" ht="15" x14ac:dyDescent="0.25">
      <c r="A26" t="s">
        <v>117</v>
      </c>
      <c r="B26"/>
      <c r="C26"/>
      <c r="D26"/>
      <c r="E26"/>
      <c r="F26"/>
      <c r="G26"/>
      <c r="H26"/>
      <c r="I26"/>
      <c r="J26" t="s">
        <v>117</v>
      </c>
      <c r="K26"/>
      <c r="L26"/>
      <c r="M26"/>
      <c r="N26"/>
      <c r="O26"/>
      <c r="P26"/>
      <c r="Q26"/>
      <c r="R26"/>
      <c r="S26"/>
      <c r="T26" t="s">
        <v>117</v>
      </c>
      <c r="U26"/>
      <c r="V26"/>
      <c r="W26"/>
      <c r="X26"/>
      <c r="Y26"/>
      <c r="Z26"/>
      <c r="AA26"/>
      <c r="AB26"/>
      <c r="AC26" t="s">
        <v>117</v>
      </c>
      <c r="AD26"/>
      <c r="AE26"/>
      <c r="AF26"/>
      <c r="AG26"/>
      <c r="AH26"/>
      <c r="AI26"/>
      <c r="AJ26"/>
      <c r="AK26"/>
      <c r="AM26" t="s">
        <v>117</v>
      </c>
      <c r="AN26"/>
      <c r="AO26"/>
      <c r="AP26"/>
      <c r="AQ26"/>
      <c r="AR26"/>
      <c r="AS26"/>
      <c r="AT26"/>
      <c r="AU26"/>
      <c r="AV26" t="s">
        <v>117</v>
      </c>
      <c r="AW26"/>
      <c r="AX26"/>
      <c r="AY26"/>
      <c r="AZ26"/>
      <c r="BA26"/>
      <c r="BB26"/>
      <c r="BC26"/>
      <c r="BD26"/>
      <c r="BF26" t="s">
        <v>117</v>
      </c>
      <c r="BG26"/>
      <c r="BH26"/>
      <c r="BI26"/>
      <c r="BJ26"/>
      <c r="BK26"/>
      <c r="BL26"/>
      <c r="BM26"/>
      <c r="BN26"/>
      <c r="BO26" t="s">
        <v>117</v>
      </c>
      <c r="BP26"/>
      <c r="BQ26"/>
      <c r="BR26"/>
      <c r="BS26"/>
      <c r="BT26"/>
      <c r="BU26"/>
      <c r="BV26"/>
      <c r="BW26"/>
    </row>
    <row r="29" spans="1:75" ht="15" x14ac:dyDescent="0.25">
      <c r="A29" s="216" t="s">
        <v>112</v>
      </c>
      <c r="C29" s="216" t="s">
        <v>5</v>
      </c>
      <c r="I29"/>
      <c r="J29" s="216" t="s">
        <v>112</v>
      </c>
      <c r="L29" s="216" t="s">
        <v>5</v>
      </c>
      <c r="R29"/>
      <c r="S29"/>
      <c r="T29" s="216" t="s">
        <v>112</v>
      </c>
      <c r="V29" s="216" t="s">
        <v>5</v>
      </c>
      <c r="AB29"/>
      <c r="AC29" s="216" t="s">
        <v>112</v>
      </c>
      <c r="AE29" s="216" t="s">
        <v>5</v>
      </c>
      <c r="AK29"/>
      <c r="AM29" s="216" t="s">
        <v>112</v>
      </c>
      <c r="AO29" s="216" t="s">
        <v>5</v>
      </c>
      <c r="AU29"/>
      <c r="AV29" s="216" t="s">
        <v>112</v>
      </c>
      <c r="AX29" s="216" t="s">
        <v>5</v>
      </c>
      <c r="BD29"/>
      <c r="BF29" s="216" t="s">
        <v>112</v>
      </c>
      <c r="BH29" s="216" t="s">
        <v>5</v>
      </c>
      <c r="BN29"/>
      <c r="BO29" s="216" t="s">
        <v>112</v>
      </c>
      <c r="BQ29" s="216" t="s">
        <v>5</v>
      </c>
      <c r="BW29"/>
    </row>
    <row r="30" spans="1:75" ht="36.75" x14ac:dyDescent="0.25">
      <c r="A30" s="217" t="s">
        <v>7</v>
      </c>
      <c r="B30" s="217" t="s">
        <v>8</v>
      </c>
      <c r="C30" s="204" t="s">
        <v>34</v>
      </c>
      <c r="D30" s="204" t="s">
        <v>43</v>
      </c>
      <c r="E30" s="204" t="s">
        <v>52</v>
      </c>
      <c r="F30" s="204" t="s">
        <v>62</v>
      </c>
      <c r="G30" s="204" t="s">
        <v>79</v>
      </c>
      <c r="H30" s="204" t="s">
        <v>117</v>
      </c>
      <c r="I30"/>
      <c r="J30" s="217" t="s">
        <v>7</v>
      </c>
      <c r="K30" s="217" t="s">
        <v>8</v>
      </c>
      <c r="L30" s="204" t="s">
        <v>18</v>
      </c>
      <c r="M30" s="204" t="s">
        <v>39</v>
      </c>
      <c r="N30" s="204" t="s">
        <v>48</v>
      </c>
      <c r="O30" s="204" t="s">
        <v>57</v>
      </c>
      <c r="P30" s="204" t="s">
        <v>66</v>
      </c>
      <c r="Q30" s="204" t="s">
        <v>117</v>
      </c>
      <c r="R30"/>
      <c r="S30"/>
      <c r="T30" s="217" t="s">
        <v>7</v>
      </c>
      <c r="U30" s="217" t="s">
        <v>8</v>
      </c>
      <c r="V30" s="204" t="s">
        <v>34</v>
      </c>
      <c r="W30" s="204" t="s">
        <v>43</v>
      </c>
      <c r="X30" s="204" t="s">
        <v>52</v>
      </c>
      <c r="Y30" s="204" t="s">
        <v>62</v>
      </c>
      <c r="Z30" s="204" t="s">
        <v>79</v>
      </c>
      <c r="AA30" s="204" t="s">
        <v>117</v>
      </c>
      <c r="AB30"/>
      <c r="AC30" s="217" t="s">
        <v>7</v>
      </c>
      <c r="AD30" s="217" t="s">
        <v>8</v>
      </c>
      <c r="AE30" s="204" t="s">
        <v>18</v>
      </c>
      <c r="AF30" s="204" t="s">
        <v>39</v>
      </c>
      <c r="AG30" s="204" t="s">
        <v>48</v>
      </c>
      <c r="AH30" s="204" t="s">
        <v>57</v>
      </c>
      <c r="AI30" s="204" t="s">
        <v>66</v>
      </c>
      <c r="AJ30" s="204" t="s">
        <v>117</v>
      </c>
      <c r="AK30"/>
      <c r="AM30" s="217" t="s">
        <v>7</v>
      </c>
      <c r="AN30" s="217" t="s">
        <v>8</v>
      </c>
      <c r="AO30" s="204" t="s">
        <v>34</v>
      </c>
      <c r="AP30" s="204" t="s">
        <v>43</v>
      </c>
      <c r="AQ30" s="204" t="s">
        <v>52</v>
      </c>
      <c r="AR30" s="204" t="s">
        <v>62</v>
      </c>
      <c r="AS30" s="204" t="s">
        <v>79</v>
      </c>
      <c r="AT30" s="204" t="s">
        <v>117</v>
      </c>
      <c r="AU30"/>
      <c r="AV30" s="217" t="s">
        <v>7</v>
      </c>
      <c r="AW30" s="217" t="s">
        <v>8</v>
      </c>
      <c r="AX30" s="204" t="s">
        <v>18</v>
      </c>
      <c r="AY30" s="204" t="s">
        <v>39</v>
      </c>
      <c r="AZ30" s="204" t="s">
        <v>48</v>
      </c>
      <c r="BA30" s="204" t="s">
        <v>57</v>
      </c>
      <c r="BB30" s="204" t="s">
        <v>66</v>
      </c>
      <c r="BC30" s="204" t="s">
        <v>117</v>
      </c>
      <c r="BD30"/>
      <c r="BF30" s="217" t="s">
        <v>7</v>
      </c>
      <c r="BG30" s="217" t="s">
        <v>8</v>
      </c>
      <c r="BH30" s="204" t="s">
        <v>34</v>
      </c>
      <c r="BI30" s="204" t="s">
        <v>43</v>
      </c>
      <c r="BJ30" s="204" t="s">
        <v>52</v>
      </c>
      <c r="BK30" s="204" t="s">
        <v>62</v>
      </c>
      <c r="BL30" s="204" t="s">
        <v>79</v>
      </c>
      <c r="BM30" s="204" t="s">
        <v>117</v>
      </c>
      <c r="BN30"/>
      <c r="BO30" s="217" t="s">
        <v>7</v>
      </c>
      <c r="BP30" s="217" t="s">
        <v>8</v>
      </c>
      <c r="BQ30" s="204" t="s">
        <v>18</v>
      </c>
      <c r="BR30" s="204" t="s">
        <v>39</v>
      </c>
      <c r="BS30" s="204" t="s">
        <v>48</v>
      </c>
      <c r="BT30" s="204" t="s">
        <v>57</v>
      </c>
      <c r="BU30" s="204" t="s">
        <v>66</v>
      </c>
      <c r="BV30" s="204" t="s">
        <v>117</v>
      </c>
      <c r="BW30"/>
    </row>
    <row r="31" spans="1:75" ht="15" x14ac:dyDescent="0.25">
      <c r="A31" s="22">
        <v>61200</v>
      </c>
      <c r="B31" s="22" t="s">
        <v>29</v>
      </c>
      <c r="C31" s="207">
        <v>316019</v>
      </c>
      <c r="D31" s="207">
        <v>304108</v>
      </c>
      <c r="E31" s="207">
        <v>168428</v>
      </c>
      <c r="F31" s="207"/>
      <c r="G31" s="207">
        <v>448067</v>
      </c>
      <c r="H31" s="207">
        <v>1236622</v>
      </c>
      <c r="I31"/>
      <c r="J31" s="22">
        <v>61200</v>
      </c>
      <c r="K31" s="22" t="s">
        <v>29</v>
      </c>
      <c r="L31" s="207">
        <v>304543</v>
      </c>
      <c r="M31" s="207">
        <v>293065</v>
      </c>
      <c r="N31" s="207">
        <v>162312</v>
      </c>
      <c r="O31" s="207"/>
      <c r="P31" s="207">
        <v>431797</v>
      </c>
      <c r="Q31" s="207">
        <v>1191717</v>
      </c>
      <c r="R31"/>
      <c r="S31"/>
      <c r="T31" s="22">
        <v>61200</v>
      </c>
      <c r="U31" s="22" t="s">
        <v>29</v>
      </c>
      <c r="V31" s="207">
        <v>316019</v>
      </c>
      <c r="W31" s="207">
        <v>304108</v>
      </c>
      <c r="X31" s="207">
        <v>168428</v>
      </c>
      <c r="Y31" s="207"/>
      <c r="Z31" s="207">
        <v>448067</v>
      </c>
      <c r="AA31" s="207">
        <v>1236622</v>
      </c>
      <c r="AB31"/>
      <c r="AC31" s="22">
        <v>61200</v>
      </c>
      <c r="AD31" s="22" t="s">
        <v>29</v>
      </c>
      <c r="AE31" s="207">
        <v>304543</v>
      </c>
      <c r="AF31" s="207">
        <v>293065</v>
      </c>
      <c r="AG31" s="207">
        <v>162312</v>
      </c>
      <c r="AH31" s="207"/>
      <c r="AI31" s="207">
        <v>431797</v>
      </c>
      <c r="AJ31" s="207">
        <v>1191717</v>
      </c>
      <c r="AK31"/>
      <c r="AM31" s="22">
        <v>61200</v>
      </c>
      <c r="AN31" s="22" t="s">
        <v>29</v>
      </c>
      <c r="AO31" s="207">
        <v>316019</v>
      </c>
      <c r="AP31" s="207">
        <v>304108</v>
      </c>
      <c r="AQ31" s="207">
        <v>168428</v>
      </c>
      <c r="AR31" s="207"/>
      <c r="AS31" s="207">
        <v>448067</v>
      </c>
      <c r="AT31" s="207">
        <v>1236622</v>
      </c>
      <c r="AU31"/>
      <c r="AV31" s="22">
        <v>61200</v>
      </c>
      <c r="AW31" s="22" t="s">
        <v>29</v>
      </c>
      <c r="AX31" s="207">
        <v>304543</v>
      </c>
      <c r="AY31" s="207">
        <v>293065</v>
      </c>
      <c r="AZ31" s="207">
        <v>162312</v>
      </c>
      <c r="BA31" s="207"/>
      <c r="BB31" s="207">
        <v>431797</v>
      </c>
      <c r="BC31" s="207">
        <v>1191717</v>
      </c>
      <c r="BD31"/>
      <c r="BF31" s="22">
        <v>61200</v>
      </c>
      <c r="BG31" s="22" t="s">
        <v>29</v>
      </c>
      <c r="BH31" s="207">
        <v>316019</v>
      </c>
      <c r="BI31" s="207">
        <v>304108</v>
      </c>
      <c r="BJ31" s="207">
        <v>168428</v>
      </c>
      <c r="BK31" s="207"/>
      <c r="BL31" s="207">
        <v>448067</v>
      </c>
      <c r="BM31" s="207">
        <v>1236622</v>
      </c>
      <c r="BN31"/>
      <c r="BO31" s="22">
        <v>61200</v>
      </c>
      <c r="BP31" s="22" t="s">
        <v>29</v>
      </c>
      <c r="BQ31" s="207">
        <v>304543</v>
      </c>
      <c r="BR31" s="207">
        <v>293065</v>
      </c>
      <c r="BS31" s="207">
        <v>162312</v>
      </c>
      <c r="BT31" s="207"/>
      <c r="BU31" s="207">
        <v>431797</v>
      </c>
      <c r="BV31" s="207">
        <v>1191717</v>
      </c>
      <c r="BW31"/>
    </row>
    <row r="32" spans="1:75" ht="15" x14ac:dyDescent="0.25">
      <c r="A32" s="22">
        <v>61300</v>
      </c>
      <c r="B32" s="22" t="s">
        <v>30</v>
      </c>
      <c r="C32" s="207">
        <v>577806</v>
      </c>
      <c r="D32" s="207">
        <v>556026.00999999791</v>
      </c>
      <c r="E32" s="207">
        <v>307952</v>
      </c>
      <c r="F32" s="207">
        <v>161605</v>
      </c>
      <c r="G32" s="207">
        <v>605353</v>
      </c>
      <c r="H32" s="207">
        <v>2208742.0099999979</v>
      </c>
      <c r="I32"/>
      <c r="J32" s="22">
        <v>61300</v>
      </c>
      <c r="K32" s="22" t="s">
        <v>30</v>
      </c>
      <c r="L32" s="207">
        <v>556823</v>
      </c>
      <c r="M32" s="207">
        <v>535836</v>
      </c>
      <c r="N32" s="207">
        <v>296771</v>
      </c>
      <c r="O32" s="207">
        <v>155735</v>
      </c>
      <c r="P32" s="207">
        <v>583367</v>
      </c>
      <c r="Q32" s="207">
        <v>2128532</v>
      </c>
      <c r="R32"/>
      <c r="S32"/>
      <c r="T32" s="22">
        <v>61300</v>
      </c>
      <c r="U32" s="22" t="s">
        <v>30</v>
      </c>
      <c r="V32" s="207">
        <v>577806</v>
      </c>
      <c r="W32" s="207">
        <v>556026.00999999791</v>
      </c>
      <c r="X32" s="207">
        <v>307952</v>
      </c>
      <c r="Y32" s="207">
        <v>161605</v>
      </c>
      <c r="Z32" s="207">
        <v>605353</v>
      </c>
      <c r="AA32" s="207">
        <v>2208742.0099999979</v>
      </c>
      <c r="AB32"/>
      <c r="AC32" s="22">
        <v>61300</v>
      </c>
      <c r="AD32" s="22" t="s">
        <v>30</v>
      </c>
      <c r="AE32" s="207">
        <v>556823</v>
      </c>
      <c r="AF32" s="207">
        <v>535836</v>
      </c>
      <c r="AG32" s="207">
        <v>296771</v>
      </c>
      <c r="AH32" s="207">
        <v>155735</v>
      </c>
      <c r="AI32" s="207">
        <v>583367</v>
      </c>
      <c r="AJ32" s="207">
        <v>2128532</v>
      </c>
      <c r="AK32"/>
      <c r="AM32" s="22">
        <v>61300</v>
      </c>
      <c r="AN32" s="22" t="s">
        <v>30</v>
      </c>
      <c r="AO32" s="207">
        <v>577806</v>
      </c>
      <c r="AP32" s="207">
        <v>556026.00999999791</v>
      </c>
      <c r="AQ32" s="207">
        <v>307952</v>
      </c>
      <c r="AR32" s="207">
        <v>161605</v>
      </c>
      <c r="AS32" s="207">
        <v>605353</v>
      </c>
      <c r="AT32" s="207">
        <v>2208742.0099999979</v>
      </c>
      <c r="AU32"/>
      <c r="AV32" s="22">
        <v>61300</v>
      </c>
      <c r="AW32" s="22" t="s">
        <v>30</v>
      </c>
      <c r="AX32" s="207">
        <v>556823</v>
      </c>
      <c r="AY32" s="207">
        <v>535836</v>
      </c>
      <c r="AZ32" s="207">
        <v>296771</v>
      </c>
      <c r="BA32" s="207">
        <v>155735</v>
      </c>
      <c r="BB32" s="207">
        <v>583367</v>
      </c>
      <c r="BC32" s="207">
        <v>2128532</v>
      </c>
      <c r="BD32"/>
      <c r="BF32" s="22">
        <v>61300</v>
      </c>
      <c r="BG32" s="22" t="s">
        <v>30</v>
      </c>
      <c r="BH32" s="207">
        <v>577806</v>
      </c>
      <c r="BI32" s="207">
        <v>556026.00999999791</v>
      </c>
      <c r="BJ32" s="207">
        <v>307952</v>
      </c>
      <c r="BK32" s="207">
        <v>161605</v>
      </c>
      <c r="BL32" s="207">
        <v>605353</v>
      </c>
      <c r="BM32" s="207">
        <v>2208742.0099999979</v>
      </c>
      <c r="BN32"/>
      <c r="BO32" s="22">
        <v>61300</v>
      </c>
      <c r="BP32" s="22" t="s">
        <v>30</v>
      </c>
      <c r="BQ32" s="207">
        <v>556823</v>
      </c>
      <c r="BR32" s="207">
        <v>535836</v>
      </c>
      <c r="BS32" s="207">
        <v>296771</v>
      </c>
      <c r="BT32" s="207">
        <v>155735</v>
      </c>
      <c r="BU32" s="207">
        <v>583367</v>
      </c>
      <c r="BV32" s="207">
        <v>2128532</v>
      </c>
      <c r="BW32"/>
    </row>
    <row r="33" spans="1:75" ht="15" x14ac:dyDescent="0.25">
      <c r="A33" s="22">
        <v>71200</v>
      </c>
      <c r="B33" s="22" t="s">
        <v>19</v>
      </c>
      <c r="C33" s="207">
        <v>38752</v>
      </c>
      <c r="D33" s="207">
        <v>37291</v>
      </c>
      <c r="E33" s="207">
        <v>20655</v>
      </c>
      <c r="F33" s="207">
        <v>37544</v>
      </c>
      <c r="G33" s="207"/>
      <c r="H33" s="207">
        <v>134242</v>
      </c>
      <c r="I33"/>
      <c r="J33" s="22">
        <v>71200</v>
      </c>
      <c r="K33" s="22" t="s">
        <v>19</v>
      </c>
      <c r="L33" s="207">
        <v>37345</v>
      </c>
      <c r="M33" s="207">
        <v>35937</v>
      </c>
      <c r="N33" s="207">
        <v>19904</v>
      </c>
      <c r="O33" s="207">
        <v>36181</v>
      </c>
      <c r="P33" s="207"/>
      <c r="Q33" s="207">
        <v>129367</v>
      </c>
      <c r="R33"/>
      <c r="S33"/>
      <c r="T33" s="22">
        <v>71200</v>
      </c>
      <c r="U33" s="22" t="s">
        <v>19</v>
      </c>
      <c r="V33" s="207">
        <v>38752</v>
      </c>
      <c r="W33" s="207">
        <v>37291</v>
      </c>
      <c r="X33" s="207">
        <v>20655</v>
      </c>
      <c r="Y33" s="207">
        <v>37544</v>
      </c>
      <c r="Z33" s="207"/>
      <c r="AA33" s="207">
        <v>134242</v>
      </c>
      <c r="AB33"/>
      <c r="AC33" s="22">
        <v>71200</v>
      </c>
      <c r="AD33" s="22" t="s">
        <v>19</v>
      </c>
      <c r="AE33" s="207">
        <v>37345</v>
      </c>
      <c r="AF33" s="207">
        <v>35937</v>
      </c>
      <c r="AG33" s="207">
        <v>19904</v>
      </c>
      <c r="AH33" s="207">
        <v>36181</v>
      </c>
      <c r="AI33" s="207"/>
      <c r="AJ33" s="207">
        <v>129367</v>
      </c>
      <c r="AK33"/>
      <c r="AM33" s="22">
        <v>71200</v>
      </c>
      <c r="AN33" s="22" t="s">
        <v>19</v>
      </c>
      <c r="AO33" s="207">
        <v>38752</v>
      </c>
      <c r="AP33" s="207">
        <v>37291</v>
      </c>
      <c r="AQ33" s="207">
        <v>20655</v>
      </c>
      <c r="AR33" s="207">
        <v>37544</v>
      </c>
      <c r="AS33" s="207"/>
      <c r="AT33" s="207">
        <v>134242</v>
      </c>
      <c r="AU33"/>
      <c r="AV33" s="22">
        <v>71200</v>
      </c>
      <c r="AW33" s="22" t="s">
        <v>19</v>
      </c>
      <c r="AX33" s="207">
        <v>37345</v>
      </c>
      <c r="AY33" s="207">
        <v>35937</v>
      </c>
      <c r="AZ33" s="207">
        <v>19904</v>
      </c>
      <c r="BA33" s="207">
        <v>36181</v>
      </c>
      <c r="BB33" s="207"/>
      <c r="BC33" s="207">
        <v>129367</v>
      </c>
      <c r="BD33"/>
      <c r="BF33" s="22">
        <v>71200</v>
      </c>
      <c r="BG33" s="22" t="s">
        <v>19</v>
      </c>
      <c r="BH33" s="207">
        <v>38752</v>
      </c>
      <c r="BI33" s="207">
        <v>37291</v>
      </c>
      <c r="BJ33" s="207">
        <v>20655</v>
      </c>
      <c r="BK33" s="207">
        <v>37544</v>
      </c>
      <c r="BL33" s="207"/>
      <c r="BM33" s="207">
        <v>134242</v>
      </c>
      <c r="BN33"/>
      <c r="BO33" s="22">
        <v>71200</v>
      </c>
      <c r="BP33" s="22" t="s">
        <v>19</v>
      </c>
      <c r="BQ33" s="207">
        <v>37345</v>
      </c>
      <c r="BR33" s="207">
        <v>35937</v>
      </c>
      <c r="BS33" s="207">
        <v>19904</v>
      </c>
      <c r="BT33" s="207">
        <v>36181</v>
      </c>
      <c r="BU33" s="207"/>
      <c r="BV33" s="207">
        <v>129367</v>
      </c>
      <c r="BW33"/>
    </row>
    <row r="34" spans="1:75" ht="15" x14ac:dyDescent="0.25">
      <c r="A34" s="22">
        <v>71300</v>
      </c>
      <c r="B34" s="22" t="s">
        <v>20</v>
      </c>
      <c r="C34" s="207">
        <v>155178</v>
      </c>
      <c r="D34" s="207">
        <v>149331</v>
      </c>
      <c r="E34" s="207">
        <v>82706</v>
      </c>
      <c r="F34" s="207">
        <v>149776</v>
      </c>
      <c r="G34" s="207"/>
      <c r="H34" s="207">
        <v>536991</v>
      </c>
      <c r="I34"/>
      <c r="J34" s="22">
        <v>71300</v>
      </c>
      <c r="K34" s="22" t="s">
        <v>20</v>
      </c>
      <c r="L34" s="207">
        <v>149544</v>
      </c>
      <c r="M34" s="207">
        <v>143908</v>
      </c>
      <c r="N34" s="207">
        <v>79703</v>
      </c>
      <c r="O34" s="207">
        <v>144338</v>
      </c>
      <c r="P34" s="207"/>
      <c r="Q34" s="207">
        <v>517493</v>
      </c>
      <c r="R34"/>
      <c r="S34"/>
      <c r="T34" s="22">
        <v>71300</v>
      </c>
      <c r="U34" s="22" t="s">
        <v>20</v>
      </c>
      <c r="V34" s="207">
        <v>155178</v>
      </c>
      <c r="W34" s="207">
        <v>149331</v>
      </c>
      <c r="X34" s="207">
        <v>82706</v>
      </c>
      <c r="Y34" s="207">
        <v>149776</v>
      </c>
      <c r="Z34" s="207"/>
      <c r="AA34" s="207">
        <v>536991</v>
      </c>
      <c r="AB34"/>
      <c r="AC34" s="22">
        <v>71300</v>
      </c>
      <c r="AD34" s="22" t="s">
        <v>20</v>
      </c>
      <c r="AE34" s="207">
        <v>149544</v>
      </c>
      <c r="AF34" s="207">
        <v>143908</v>
      </c>
      <c r="AG34" s="207">
        <v>79703</v>
      </c>
      <c r="AH34" s="207">
        <v>144338</v>
      </c>
      <c r="AI34" s="207"/>
      <c r="AJ34" s="207">
        <v>517493</v>
      </c>
      <c r="AK34"/>
      <c r="AM34" s="22">
        <v>71300</v>
      </c>
      <c r="AN34" s="22" t="s">
        <v>20</v>
      </c>
      <c r="AO34" s="207">
        <v>155178</v>
      </c>
      <c r="AP34" s="207">
        <v>149331</v>
      </c>
      <c r="AQ34" s="207">
        <v>82706</v>
      </c>
      <c r="AR34" s="207">
        <v>149776</v>
      </c>
      <c r="AS34" s="207"/>
      <c r="AT34" s="207">
        <v>536991</v>
      </c>
      <c r="AU34"/>
      <c r="AV34" s="22">
        <v>71300</v>
      </c>
      <c r="AW34" s="22" t="s">
        <v>20</v>
      </c>
      <c r="AX34" s="207">
        <v>149544</v>
      </c>
      <c r="AY34" s="207">
        <v>143908</v>
      </c>
      <c r="AZ34" s="207">
        <v>79703</v>
      </c>
      <c r="BA34" s="207">
        <v>144338</v>
      </c>
      <c r="BB34" s="207"/>
      <c r="BC34" s="207">
        <v>517493</v>
      </c>
      <c r="BD34"/>
      <c r="BF34" s="22">
        <v>71300</v>
      </c>
      <c r="BG34" s="22" t="s">
        <v>20</v>
      </c>
      <c r="BH34" s="207">
        <v>155178</v>
      </c>
      <c r="BI34" s="207">
        <v>149331</v>
      </c>
      <c r="BJ34" s="207">
        <v>82706</v>
      </c>
      <c r="BK34" s="207">
        <v>149776</v>
      </c>
      <c r="BL34" s="207"/>
      <c r="BM34" s="207">
        <v>536991</v>
      </c>
      <c r="BN34"/>
      <c r="BO34" s="22">
        <v>71300</v>
      </c>
      <c r="BP34" s="22" t="s">
        <v>20</v>
      </c>
      <c r="BQ34" s="207">
        <v>149544</v>
      </c>
      <c r="BR34" s="207">
        <v>143908</v>
      </c>
      <c r="BS34" s="207">
        <v>79703</v>
      </c>
      <c r="BT34" s="207">
        <v>144338</v>
      </c>
      <c r="BU34" s="207"/>
      <c r="BV34" s="207">
        <v>517493</v>
      </c>
      <c r="BW34"/>
    </row>
    <row r="35" spans="1:75" ht="15" x14ac:dyDescent="0.25">
      <c r="A35" s="22">
        <v>71400</v>
      </c>
      <c r="B35" s="22" t="s">
        <v>22</v>
      </c>
      <c r="C35" s="207">
        <v>2383617</v>
      </c>
      <c r="D35" s="207">
        <v>2287362</v>
      </c>
      <c r="E35" s="207">
        <v>1245489</v>
      </c>
      <c r="F35" s="207">
        <v>422517</v>
      </c>
      <c r="G35" s="207">
        <v>2641080</v>
      </c>
      <c r="H35" s="207">
        <v>8980065</v>
      </c>
      <c r="I35"/>
      <c r="J35" s="22">
        <v>71400</v>
      </c>
      <c r="K35" s="22" t="s">
        <v>22</v>
      </c>
      <c r="L35" s="207">
        <v>2297064</v>
      </c>
      <c r="M35" s="207">
        <v>2204304</v>
      </c>
      <c r="N35" s="207">
        <v>1200263</v>
      </c>
      <c r="O35" s="207">
        <v>407175</v>
      </c>
      <c r="P35" s="207">
        <v>2545178</v>
      </c>
      <c r="Q35" s="207">
        <v>8653984</v>
      </c>
      <c r="R35"/>
      <c r="S35"/>
      <c r="T35" s="22">
        <v>71400</v>
      </c>
      <c r="U35" s="22" t="s">
        <v>22</v>
      </c>
      <c r="V35" s="207">
        <v>2383617</v>
      </c>
      <c r="W35" s="207">
        <v>2287362</v>
      </c>
      <c r="X35" s="207">
        <v>1245489</v>
      </c>
      <c r="Y35" s="207">
        <v>422517</v>
      </c>
      <c r="Z35" s="207">
        <v>2641080</v>
      </c>
      <c r="AA35" s="207">
        <v>8980065</v>
      </c>
      <c r="AB35"/>
      <c r="AC35" s="22">
        <v>71400</v>
      </c>
      <c r="AD35" s="22" t="s">
        <v>22</v>
      </c>
      <c r="AE35" s="207">
        <v>2297064</v>
      </c>
      <c r="AF35" s="207">
        <v>2204304</v>
      </c>
      <c r="AG35" s="207">
        <v>1200263</v>
      </c>
      <c r="AH35" s="207">
        <v>407175</v>
      </c>
      <c r="AI35" s="207">
        <v>2545178</v>
      </c>
      <c r="AJ35" s="207">
        <v>8653984</v>
      </c>
      <c r="AK35"/>
      <c r="AM35" s="22">
        <v>71400</v>
      </c>
      <c r="AN35" s="22" t="s">
        <v>22</v>
      </c>
      <c r="AO35" s="207">
        <v>2383617</v>
      </c>
      <c r="AP35" s="207">
        <v>2287362</v>
      </c>
      <c r="AQ35" s="207">
        <v>1245489</v>
      </c>
      <c r="AR35" s="207">
        <v>422517</v>
      </c>
      <c r="AS35" s="207">
        <v>2641080</v>
      </c>
      <c r="AT35" s="207">
        <v>8980065</v>
      </c>
      <c r="AU35"/>
      <c r="AV35" s="22">
        <v>71400</v>
      </c>
      <c r="AW35" s="22" t="s">
        <v>22</v>
      </c>
      <c r="AX35" s="207">
        <v>2297064</v>
      </c>
      <c r="AY35" s="207">
        <v>2204304</v>
      </c>
      <c r="AZ35" s="207">
        <v>1200263</v>
      </c>
      <c r="BA35" s="207">
        <v>407175</v>
      </c>
      <c r="BB35" s="207">
        <v>2545178</v>
      </c>
      <c r="BC35" s="207">
        <v>8653984</v>
      </c>
      <c r="BD35"/>
      <c r="BF35" s="22">
        <v>71400</v>
      </c>
      <c r="BG35" s="22" t="s">
        <v>22</v>
      </c>
      <c r="BH35" s="207">
        <v>2383617</v>
      </c>
      <c r="BI35" s="207">
        <v>2287362</v>
      </c>
      <c r="BJ35" s="207">
        <v>1245489</v>
      </c>
      <c r="BK35" s="207">
        <v>422517</v>
      </c>
      <c r="BL35" s="207">
        <v>2641080</v>
      </c>
      <c r="BM35" s="207">
        <v>8980065</v>
      </c>
      <c r="BN35"/>
      <c r="BO35" s="22">
        <v>71400</v>
      </c>
      <c r="BP35" s="22" t="s">
        <v>22</v>
      </c>
      <c r="BQ35" s="207">
        <v>2297064</v>
      </c>
      <c r="BR35" s="207">
        <v>2204304</v>
      </c>
      <c r="BS35" s="207">
        <v>1200263</v>
      </c>
      <c r="BT35" s="207">
        <v>407175</v>
      </c>
      <c r="BU35" s="207">
        <v>2545178</v>
      </c>
      <c r="BV35" s="207">
        <v>8653984</v>
      </c>
      <c r="BW35"/>
    </row>
    <row r="36" spans="1:75" ht="15" x14ac:dyDescent="0.25">
      <c r="A36" s="208">
        <v>71600</v>
      </c>
      <c r="B36" s="22" t="s">
        <v>23</v>
      </c>
      <c r="C36" s="207">
        <v>253561</v>
      </c>
      <c r="D36" s="207">
        <v>110893</v>
      </c>
      <c r="E36" s="207">
        <v>238978</v>
      </c>
      <c r="F36" s="207">
        <v>555809</v>
      </c>
      <c r="G36" s="207">
        <v>257926</v>
      </c>
      <c r="H36" s="207">
        <v>1417167</v>
      </c>
      <c r="I36" s="151">
        <f>H36</f>
        <v>1417167</v>
      </c>
      <c r="J36" s="208">
        <v>71600</v>
      </c>
      <c r="K36" s="22" t="s">
        <v>23</v>
      </c>
      <c r="L36" s="207">
        <v>244354</v>
      </c>
      <c r="M36" s="207">
        <v>106866</v>
      </c>
      <c r="N36" s="207">
        <v>230300</v>
      </c>
      <c r="O36" s="207">
        <v>535627</v>
      </c>
      <c r="P36" s="207">
        <v>248561</v>
      </c>
      <c r="Q36" s="207">
        <v>1365708</v>
      </c>
      <c r="R36" s="151">
        <f>Q36</f>
        <v>1365708</v>
      </c>
      <c r="S36"/>
      <c r="T36" s="208">
        <v>71600</v>
      </c>
      <c r="U36" s="22" t="s">
        <v>23</v>
      </c>
      <c r="V36" s="207">
        <v>253561</v>
      </c>
      <c r="W36" s="207">
        <v>110893</v>
      </c>
      <c r="X36" s="207">
        <v>238978</v>
      </c>
      <c r="Y36" s="207">
        <v>555809</v>
      </c>
      <c r="Z36" s="207">
        <v>257926</v>
      </c>
      <c r="AA36" s="207">
        <v>1417167</v>
      </c>
      <c r="AB36" s="151">
        <f>AA36</f>
        <v>1417167</v>
      </c>
      <c r="AC36" s="208">
        <v>71600</v>
      </c>
      <c r="AD36" s="22" t="s">
        <v>23</v>
      </c>
      <c r="AE36" s="207">
        <v>244354</v>
      </c>
      <c r="AF36" s="207">
        <v>106866</v>
      </c>
      <c r="AG36" s="207">
        <v>230300</v>
      </c>
      <c r="AH36" s="207">
        <v>535627</v>
      </c>
      <c r="AI36" s="207">
        <v>248561</v>
      </c>
      <c r="AJ36" s="207">
        <v>1365708</v>
      </c>
      <c r="AK36" s="151">
        <f>AJ36</f>
        <v>1365708</v>
      </c>
      <c r="AM36" s="208">
        <v>71600</v>
      </c>
      <c r="AN36" s="22" t="s">
        <v>23</v>
      </c>
      <c r="AO36" s="207">
        <v>253561</v>
      </c>
      <c r="AP36" s="207">
        <v>110893</v>
      </c>
      <c r="AQ36" s="207">
        <v>238978</v>
      </c>
      <c r="AR36" s="207">
        <v>555809</v>
      </c>
      <c r="AS36" s="207">
        <v>257926</v>
      </c>
      <c r="AT36" s="207">
        <v>1417167</v>
      </c>
      <c r="AU36" s="151">
        <f>AT36</f>
        <v>1417167</v>
      </c>
      <c r="AV36" s="208">
        <v>71600</v>
      </c>
      <c r="AW36" s="22" t="s">
        <v>23</v>
      </c>
      <c r="AX36" s="207">
        <v>244354</v>
      </c>
      <c r="AY36" s="207">
        <v>106866</v>
      </c>
      <c r="AZ36" s="207">
        <v>230300</v>
      </c>
      <c r="BA36" s="207">
        <v>535627</v>
      </c>
      <c r="BB36" s="207">
        <v>248561</v>
      </c>
      <c r="BC36" s="207">
        <v>1365708</v>
      </c>
      <c r="BD36" s="151">
        <f>BC36</f>
        <v>1365708</v>
      </c>
      <c r="BF36" s="208">
        <v>71600</v>
      </c>
      <c r="BG36" s="22" t="s">
        <v>23</v>
      </c>
      <c r="BH36" s="207">
        <v>253561</v>
      </c>
      <c r="BI36" s="207">
        <v>110893</v>
      </c>
      <c r="BJ36" s="207">
        <v>238978</v>
      </c>
      <c r="BK36" s="207">
        <v>555809</v>
      </c>
      <c r="BL36" s="207">
        <v>257926</v>
      </c>
      <c r="BM36" s="207">
        <v>1417167</v>
      </c>
      <c r="BN36" s="151">
        <f>BM36</f>
        <v>1417167</v>
      </c>
      <c r="BO36" s="208">
        <v>71600</v>
      </c>
      <c r="BP36" s="22" t="s">
        <v>23</v>
      </c>
      <c r="BQ36" s="207">
        <v>244354</v>
      </c>
      <c r="BR36" s="207">
        <v>106866</v>
      </c>
      <c r="BS36" s="207">
        <v>230300</v>
      </c>
      <c r="BT36" s="207">
        <v>535627</v>
      </c>
      <c r="BU36" s="207">
        <v>248561</v>
      </c>
      <c r="BV36" s="207">
        <v>1365708</v>
      </c>
      <c r="BW36" s="151">
        <f>BV36</f>
        <v>1365708</v>
      </c>
    </row>
    <row r="37" spans="1:75" ht="15" x14ac:dyDescent="0.25">
      <c r="A37" s="22">
        <v>72100</v>
      </c>
      <c r="B37" s="22" t="s">
        <v>59</v>
      </c>
      <c r="C37" s="207"/>
      <c r="D37" s="207"/>
      <c r="E37" s="207"/>
      <c r="F37" s="207">
        <v>170240</v>
      </c>
      <c r="G37" s="207"/>
      <c r="H37" s="207">
        <v>170240</v>
      </c>
      <c r="I37"/>
      <c r="J37" s="22">
        <v>72100</v>
      </c>
      <c r="K37" s="22" t="s">
        <v>59</v>
      </c>
      <c r="L37" s="207"/>
      <c r="M37" s="207"/>
      <c r="N37" s="207"/>
      <c r="O37" s="207">
        <v>164059</v>
      </c>
      <c r="P37" s="207"/>
      <c r="Q37" s="207">
        <v>164059</v>
      </c>
      <c r="R37"/>
      <c r="S37"/>
      <c r="T37" s="22">
        <v>72100</v>
      </c>
      <c r="U37" s="22" t="s">
        <v>59</v>
      </c>
      <c r="V37" s="207"/>
      <c r="W37" s="207"/>
      <c r="X37" s="207"/>
      <c r="Y37" s="207">
        <v>170240</v>
      </c>
      <c r="Z37" s="207"/>
      <c r="AA37" s="207">
        <v>170240</v>
      </c>
      <c r="AB37"/>
      <c r="AC37" s="22">
        <v>72100</v>
      </c>
      <c r="AD37" s="22" t="s">
        <v>59</v>
      </c>
      <c r="AE37" s="207"/>
      <c r="AF37" s="207"/>
      <c r="AG37" s="207"/>
      <c r="AH37" s="207">
        <v>164059</v>
      </c>
      <c r="AI37" s="207"/>
      <c r="AJ37" s="207">
        <v>164059</v>
      </c>
      <c r="AK37"/>
      <c r="AM37" s="22">
        <v>72100</v>
      </c>
      <c r="AN37" s="22" t="s">
        <v>59</v>
      </c>
      <c r="AO37" s="207"/>
      <c r="AP37" s="207"/>
      <c r="AQ37" s="207"/>
      <c r="AR37" s="207">
        <v>170240</v>
      </c>
      <c r="AS37" s="207"/>
      <c r="AT37" s="207">
        <v>170240</v>
      </c>
      <c r="AU37"/>
      <c r="AV37" s="22">
        <v>72100</v>
      </c>
      <c r="AW37" s="22" t="s">
        <v>59</v>
      </c>
      <c r="AX37" s="207"/>
      <c r="AY37" s="207"/>
      <c r="AZ37" s="207"/>
      <c r="BA37" s="207">
        <v>164059</v>
      </c>
      <c r="BB37" s="207"/>
      <c r="BC37" s="207">
        <v>164059</v>
      </c>
      <c r="BD37"/>
      <c r="BF37" s="22">
        <v>72100</v>
      </c>
      <c r="BG37" s="22" t="s">
        <v>59</v>
      </c>
      <c r="BH37" s="207"/>
      <c r="BI37" s="207"/>
      <c r="BJ37" s="207"/>
      <c r="BK37" s="207">
        <v>170240</v>
      </c>
      <c r="BL37" s="207"/>
      <c r="BM37" s="207">
        <v>170240</v>
      </c>
      <c r="BN37"/>
      <c r="BO37" s="22">
        <v>72100</v>
      </c>
      <c r="BP37" s="22" t="s">
        <v>59</v>
      </c>
      <c r="BQ37" s="207"/>
      <c r="BR37" s="207"/>
      <c r="BS37" s="207"/>
      <c r="BT37" s="207">
        <v>164059</v>
      </c>
      <c r="BU37" s="207"/>
      <c r="BV37" s="207">
        <v>164059</v>
      </c>
      <c r="BW37"/>
    </row>
    <row r="38" spans="1:75" ht="15" x14ac:dyDescent="0.25">
      <c r="A38" s="208">
        <v>72200</v>
      </c>
      <c r="B38" s="22" t="s">
        <v>67</v>
      </c>
      <c r="C38" s="207"/>
      <c r="D38" s="207"/>
      <c r="E38" s="207"/>
      <c r="F38" s="207"/>
      <c r="G38" s="207">
        <v>18660</v>
      </c>
      <c r="H38" s="207">
        <v>18660</v>
      </c>
      <c r="I38" s="151">
        <f>H38</f>
        <v>18660</v>
      </c>
      <c r="J38" s="208">
        <v>72200</v>
      </c>
      <c r="K38" s="22" t="s">
        <v>67</v>
      </c>
      <c r="L38" s="207"/>
      <c r="M38" s="207"/>
      <c r="N38" s="207"/>
      <c r="O38" s="207"/>
      <c r="P38" s="207">
        <v>17982</v>
      </c>
      <c r="Q38" s="207">
        <v>17982</v>
      </c>
      <c r="R38" s="151">
        <f>Q38</f>
        <v>17982</v>
      </c>
      <c r="S38"/>
      <c r="T38" s="208">
        <v>72200</v>
      </c>
      <c r="U38" s="22" t="s">
        <v>67</v>
      </c>
      <c r="V38" s="207"/>
      <c r="W38" s="207"/>
      <c r="X38" s="207"/>
      <c r="Y38" s="207"/>
      <c r="Z38" s="207">
        <v>18660</v>
      </c>
      <c r="AA38" s="207">
        <v>18660</v>
      </c>
      <c r="AB38" s="151">
        <f>AA38</f>
        <v>18660</v>
      </c>
      <c r="AC38" s="208">
        <v>72200</v>
      </c>
      <c r="AD38" s="22" t="s">
        <v>67</v>
      </c>
      <c r="AE38" s="207"/>
      <c r="AF38" s="207"/>
      <c r="AG38" s="207"/>
      <c r="AH38" s="207"/>
      <c r="AI38" s="207">
        <v>17982</v>
      </c>
      <c r="AJ38" s="207">
        <v>17982</v>
      </c>
      <c r="AK38" s="151">
        <f>AJ38</f>
        <v>17982</v>
      </c>
      <c r="AM38" s="208">
        <v>72200</v>
      </c>
      <c r="AN38" s="22" t="s">
        <v>67</v>
      </c>
      <c r="AO38" s="207"/>
      <c r="AP38" s="207"/>
      <c r="AQ38" s="207"/>
      <c r="AR38" s="207"/>
      <c r="AS38" s="207">
        <v>18660</v>
      </c>
      <c r="AT38" s="207">
        <v>18660</v>
      </c>
      <c r="AU38" s="151">
        <f>AT38</f>
        <v>18660</v>
      </c>
      <c r="AV38" s="208">
        <v>72200</v>
      </c>
      <c r="AW38" s="22" t="s">
        <v>67</v>
      </c>
      <c r="AX38" s="207"/>
      <c r="AY38" s="207"/>
      <c r="AZ38" s="207"/>
      <c r="BA38" s="207"/>
      <c r="BB38" s="207">
        <v>17982</v>
      </c>
      <c r="BC38" s="207">
        <v>17982</v>
      </c>
      <c r="BD38" s="151">
        <f>BC38</f>
        <v>17982</v>
      </c>
      <c r="BF38" s="208">
        <v>72200</v>
      </c>
      <c r="BG38" s="22" t="s">
        <v>67</v>
      </c>
      <c r="BH38" s="207"/>
      <c r="BI38" s="207"/>
      <c r="BJ38" s="207"/>
      <c r="BK38" s="207"/>
      <c r="BL38" s="207">
        <v>18660</v>
      </c>
      <c r="BM38" s="207">
        <v>18660</v>
      </c>
      <c r="BN38" s="151">
        <f>BM38</f>
        <v>18660</v>
      </c>
      <c r="BO38" s="208">
        <v>72200</v>
      </c>
      <c r="BP38" s="22" t="s">
        <v>67</v>
      </c>
      <c r="BQ38" s="207"/>
      <c r="BR38" s="207"/>
      <c r="BS38" s="207"/>
      <c r="BT38" s="207"/>
      <c r="BU38" s="207">
        <v>17982</v>
      </c>
      <c r="BV38" s="207">
        <v>17982</v>
      </c>
      <c r="BW38" s="151">
        <f>BV38</f>
        <v>17982</v>
      </c>
    </row>
    <row r="39" spans="1:75" ht="15" x14ac:dyDescent="0.25">
      <c r="A39" s="22">
        <v>72300</v>
      </c>
      <c r="B39" s="22" t="s">
        <v>68</v>
      </c>
      <c r="C39" s="207"/>
      <c r="D39" s="207"/>
      <c r="E39" s="207"/>
      <c r="F39" s="207"/>
      <c r="G39" s="207">
        <v>45004</v>
      </c>
      <c r="H39" s="207">
        <v>45004</v>
      </c>
      <c r="I39"/>
      <c r="J39" s="22">
        <v>72300</v>
      </c>
      <c r="K39" s="22" t="s">
        <v>68</v>
      </c>
      <c r="L39" s="207"/>
      <c r="M39" s="207"/>
      <c r="N39" s="207"/>
      <c r="O39" s="207"/>
      <c r="P39" s="207">
        <v>43370</v>
      </c>
      <c r="Q39" s="207">
        <v>43370</v>
      </c>
      <c r="R39"/>
      <c r="S39"/>
      <c r="T39" s="22">
        <v>72300</v>
      </c>
      <c r="U39" s="22" t="s">
        <v>68</v>
      </c>
      <c r="V39" s="207"/>
      <c r="W39" s="207"/>
      <c r="X39" s="207"/>
      <c r="Y39" s="207"/>
      <c r="Z39" s="207">
        <v>45004</v>
      </c>
      <c r="AA39" s="207">
        <v>45004</v>
      </c>
      <c r="AB39"/>
      <c r="AC39" s="22">
        <v>72300</v>
      </c>
      <c r="AD39" s="22" t="s">
        <v>68</v>
      </c>
      <c r="AE39" s="207"/>
      <c r="AF39" s="207"/>
      <c r="AG39" s="207"/>
      <c r="AH39" s="207"/>
      <c r="AI39" s="207">
        <v>43370</v>
      </c>
      <c r="AJ39" s="207">
        <v>43370</v>
      </c>
      <c r="AK39"/>
      <c r="AM39" s="22">
        <v>72300</v>
      </c>
      <c r="AN39" s="22" t="s">
        <v>68</v>
      </c>
      <c r="AO39" s="207"/>
      <c r="AP39" s="207"/>
      <c r="AQ39" s="207"/>
      <c r="AR39" s="207"/>
      <c r="AS39" s="207">
        <v>45004</v>
      </c>
      <c r="AT39" s="207">
        <v>45004</v>
      </c>
      <c r="AU39"/>
      <c r="AV39" s="22">
        <v>72300</v>
      </c>
      <c r="AW39" s="22" t="s">
        <v>68</v>
      </c>
      <c r="AX39" s="207"/>
      <c r="AY39" s="207"/>
      <c r="AZ39" s="207"/>
      <c r="BA39" s="207"/>
      <c r="BB39" s="207">
        <v>43370</v>
      </c>
      <c r="BC39" s="207">
        <v>43370</v>
      </c>
      <c r="BD39"/>
      <c r="BF39" s="22">
        <v>72300</v>
      </c>
      <c r="BG39" s="22" t="s">
        <v>68</v>
      </c>
      <c r="BH39" s="207"/>
      <c r="BI39" s="207"/>
      <c r="BJ39" s="207"/>
      <c r="BK39" s="207"/>
      <c r="BL39" s="207">
        <v>45004</v>
      </c>
      <c r="BM39" s="207">
        <v>45004</v>
      </c>
      <c r="BN39"/>
      <c r="BO39" s="22">
        <v>72300</v>
      </c>
      <c r="BP39" s="22" t="s">
        <v>68</v>
      </c>
      <c r="BQ39" s="207"/>
      <c r="BR39" s="207"/>
      <c r="BS39" s="207"/>
      <c r="BT39" s="207"/>
      <c r="BU39" s="207">
        <v>43370</v>
      </c>
      <c r="BV39" s="207">
        <v>43370</v>
      </c>
      <c r="BW39"/>
    </row>
    <row r="40" spans="1:75" ht="15" x14ac:dyDescent="0.25">
      <c r="A40" s="208">
        <v>72400</v>
      </c>
      <c r="B40" s="22" t="s">
        <v>69</v>
      </c>
      <c r="C40" s="207"/>
      <c r="D40" s="207"/>
      <c r="E40" s="207"/>
      <c r="F40" s="207"/>
      <c r="G40" s="207">
        <v>132817</v>
      </c>
      <c r="H40" s="207">
        <v>132817</v>
      </c>
      <c r="I40" s="151">
        <f t="shared" ref="I40:I41" si="96">H40</f>
        <v>132817</v>
      </c>
      <c r="J40" s="208">
        <v>72400</v>
      </c>
      <c r="K40" s="22" t="s">
        <v>69</v>
      </c>
      <c r="L40" s="207"/>
      <c r="M40" s="207"/>
      <c r="N40" s="207"/>
      <c r="O40" s="207"/>
      <c r="P40" s="207">
        <v>127995</v>
      </c>
      <c r="Q40" s="207">
        <v>127995</v>
      </c>
      <c r="R40" s="151">
        <f t="shared" ref="R40:R41" si="97">Q40</f>
        <v>127995</v>
      </c>
      <c r="S40"/>
      <c r="T40" s="208">
        <v>72400</v>
      </c>
      <c r="U40" s="22" t="s">
        <v>69</v>
      </c>
      <c r="V40" s="207"/>
      <c r="W40" s="207"/>
      <c r="X40" s="207"/>
      <c r="Y40" s="207"/>
      <c r="Z40" s="207">
        <v>132817</v>
      </c>
      <c r="AA40" s="207">
        <v>132817</v>
      </c>
      <c r="AB40" s="151">
        <f t="shared" ref="AB40:AB41" si="98">AA40</f>
        <v>132817</v>
      </c>
      <c r="AC40" s="208">
        <v>72400</v>
      </c>
      <c r="AD40" s="22" t="s">
        <v>69</v>
      </c>
      <c r="AE40" s="207"/>
      <c r="AF40" s="207"/>
      <c r="AG40" s="207"/>
      <c r="AH40" s="207"/>
      <c r="AI40" s="207">
        <v>127995</v>
      </c>
      <c r="AJ40" s="207">
        <v>127995</v>
      </c>
      <c r="AK40" s="151">
        <f t="shared" ref="AK40:AK41" si="99">AJ40</f>
        <v>127995</v>
      </c>
      <c r="AM40" s="208">
        <v>72400</v>
      </c>
      <c r="AN40" s="22" t="s">
        <v>69</v>
      </c>
      <c r="AO40" s="207"/>
      <c r="AP40" s="207"/>
      <c r="AQ40" s="207"/>
      <c r="AR40" s="207"/>
      <c r="AS40" s="207">
        <v>132817</v>
      </c>
      <c r="AT40" s="207">
        <v>132817</v>
      </c>
      <c r="AU40" s="151">
        <f t="shared" ref="AU40:AU41" si="100">AT40</f>
        <v>132817</v>
      </c>
      <c r="AV40" s="208">
        <v>72400</v>
      </c>
      <c r="AW40" s="22" t="s">
        <v>69</v>
      </c>
      <c r="AX40" s="207"/>
      <c r="AY40" s="207"/>
      <c r="AZ40" s="207"/>
      <c r="BA40" s="207"/>
      <c r="BB40" s="207">
        <v>127995</v>
      </c>
      <c r="BC40" s="207">
        <v>127995</v>
      </c>
      <c r="BD40" s="151">
        <f t="shared" ref="BD40:BD41" si="101">BC40</f>
        <v>127995</v>
      </c>
      <c r="BF40" s="208">
        <v>72400</v>
      </c>
      <c r="BG40" s="22" t="s">
        <v>69</v>
      </c>
      <c r="BH40" s="207"/>
      <c r="BI40" s="207"/>
      <c r="BJ40" s="207"/>
      <c r="BK40" s="207"/>
      <c r="BL40" s="207">
        <v>132817</v>
      </c>
      <c r="BM40" s="207">
        <v>132817</v>
      </c>
      <c r="BN40" s="151">
        <f t="shared" ref="BN40:BN41" si="102">BM40</f>
        <v>132817</v>
      </c>
      <c r="BO40" s="208">
        <v>72400</v>
      </c>
      <c r="BP40" s="22" t="s">
        <v>69</v>
      </c>
      <c r="BQ40" s="207"/>
      <c r="BR40" s="207"/>
      <c r="BS40" s="207"/>
      <c r="BT40" s="207"/>
      <c r="BU40" s="207">
        <v>127995</v>
      </c>
      <c r="BV40" s="207">
        <v>127995</v>
      </c>
      <c r="BW40" s="151">
        <f t="shared" ref="BW40:BW41" si="103">BV40</f>
        <v>127995</v>
      </c>
    </row>
    <row r="41" spans="1:75" ht="15" x14ac:dyDescent="0.25">
      <c r="A41" s="208">
        <v>72500</v>
      </c>
      <c r="B41" s="22" t="s">
        <v>25</v>
      </c>
      <c r="C41" s="207">
        <v>9797</v>
      </c>
      <c r="D41" s="207">
        <v>9429</v>
      </c>
      <c r="E41" s="207">
        <v>5222</v>
      </c>
      <c r="F41" s="207">
        <v>47287</v>
      </c>
      <c r="G41" s="207">
        <v>120734</v>
      </c>
      <c r="H41" s="207">
        <v>192469</v>
      </c>
      <c r="I41" s="151">
        <f t="shared" si="96"/>
        <v>192469</v>
      </c>
      <c r="J41" s="208">
        <v>72500</v>
      </c>
      <c r="K41" s="22" t="s">
        <v>25</v>
      </c>
      <c r="L41" s="207">
        <v>9442</v>
      </c>
      <c r="M41" s="207">
        <v>9087</v>
      </c>
      <c r="N41" s="207">
        <v>5033</v>
      </c>
      <c r="O41" s="207">
        <v>45569</v>
      </c>
      <c r="P41" s="207">
        <v>116350</v>
      </c>
      <c r="Q41" s="207">
        <v>185481</v>
      </c>
      <c r="R41" s="151">
        <f t="shared" si="97"/>
        <v>185481</v>
      </c>
      <c r="S41"/>
      <c r="T41" s="208">
        <v>72500</v>
      </c>
      <c r="U41" s="22" t="s">
        <v>25</v>
      </c>
      <c r="V41" s="207">
        <v>9797</v>
      </c>
      <c r="W41" s="207">
        <v>9429</v>
      </c>
      <c r="X41" s="207">
        <v>5222</v>
      </c>
      <c r="Y41" s="207">
        <v>47287</v>
      </c>
      <c r="Z41" s="207">
        <v>120734</v>
      </c>
      <c r="AA41" s="207">
        <v>192469</v>
      </c>
      <c r="AB41" s="151">
        <f t="shared" si="98"/>
        <v>192469</v>
      </c>
      <c r="AC41" s="208">
        <v>72500</v>
      </c>
      <c r="AD41" s="22" t="s">
        <v>25</v>
      </c>
      <c r="AE41" s="207">
        <v>9442</v>
      </c>
      <c r="AF41" s="207">
        <v>9087</v>
      </c>
      <c r="AG41" s="207">
        <v>5033</v>
      </c>
      <c r="AH41" s="207">
        <v>45569</v>
      </c>
      <c r="AI41" s="207">
        <v>116350</v>
      </c>
      <c r="AJ41" s="207">
        <v>185481</v>
      </c>
      <c r="AK41" s="151">
        <f t="shared" si="99"/>
        <v>185481</v>
      </c>
      <c r="AM41" s="208">
        <v>72500</v>
      </c>
      <c r="AN41" s="22" t="s">
        <v>25</v>
      </c>
      <c r="AO41" s="207">
        <v>9797</v>
      </c>
      <c r="AP41" s="207">
        <v>9429</v>
      </c>
      <c r="AQ41" s="207">
        <v>5222</v>
      </c>
      <c r="AR41" s="207">
        <v>47287</v>
      </c>
      <c r="AS41" s="207">
        <v>120734</v>
      </c>
      <c r="AT41" s="207">
        <v>192469</v>
      </c>
      <c r="AU41" s="151">
        <f t="shared" si="100"/>
        <v>192469</v>
      </c>
      <c r="AV41" s="208">
        <v>72500</v>
      </c>
      <c r="AW41" s="22" t="s">
        <v>25</v>
      </c>
      <c r="AX41" s="207">
        <v>9442</v>
      </c>
      <c r="AY41" s="207">
        <v>9087</v>
      </c>
      <c r="AZ41" s="207">
        <v>5033</v>
      </c>
      <c r="BA41" s="207">
        <v>45569</v>
      </c>
      <c r="BB41" s="207">
        <v>116350</v>
      </c>
      <c r="BC41" s="207">
        <v>185481</v>
      </c>
      <c r="BD41" s="151">
        <f t="shared" si="101"/>
        <v>185481</v>
      </c>
      <c r="BF41" s="208">
        <v>72500</v>
      </c>
      <c r="BG41" s="22" t="s">
        <v>25</v>
      </c>
      <c r="BH41" s="207">
        <v>9797</v>
      </c>
      <c r="BI41" s="207">
        <v>9429</v>
      </c>
      <c r="BJ41" s="207">
        <v>5222</v>
      </c>
      <c r="BK41" s="207">
        <v>47287</v>
      </c>
      <c r="BL41" s="207">
        <v>120734</v>
      </c>
      <c r="BM41" s="207">
        <v>192469</v>
      </c>
      <c r="BN41" s="151">
        <f t="shared" si="102"/>
        <v>192469</v>
      </c>
      <c r="BO41" s="208">
        <v>72500</v>
      </c>
      <c r="BP41" s="22" t="s">
        <v>25</v>
      </c>
      <c r="BQ41" s="207">
        <v>9442</v>
      </c>
      <c r="BR41" s="207">
        <v>9087</v>
      </c>
      <c r="BS41" s="207">
        <v>5033</v>
      </c>
      <c r="BT41" s="207">
        <v>45569</v>
      </c>
      <c r="BU41" s="207">
        <v>116350</v>
      </c>
      <c r="BV41" s="207">
        <v>185481</v>
      </c>
      <c r="BW41" s="151">
        <f t="shared" si="103"/>
        <v>185481</v>
      </c>
    </row>
    <row r="42" spans="1:75" ht="15" x14ac:dyDescent="0.25">
      <c r="A42" s="22">
        <v>72600</v>
      </c>
      <c r="B42" s="22" t="s">
        <v>40</v>
      </c>
      <c r="C42" s="207"/>
      <c r="D42" s="207">
        <v>46929075.990000002</v>
      </c>
      <c r="E42" s="207"/>
      <c r="F42" s="207"/>
      <c r="G42" s="207"/>
      <c r="H42" s="207">
        <v>46929075.990000002</v>
      </c>
      <c r="I42"/>
      <c r="J42" s="22">
        <v>72600</v>
      </c>
      <c r="K42" s="22" t="s">
        <v>40</v>
      </c>
      <c r="L42" s="207"/>
      <c r="M42" s="207">
        <v>45225000</v>
      </c>
      <c r="N42" s="207"/>
      <c r="O42" s="207"/>
      <c r="P42" s="207"/>
      <c r="Q42" s="207">
        <v>45225000</v>
      </c>
      <c r="R42"/>
      <c r="S42"/>
      <c r="T42" s="22">
        <v>72600</v>
      </c>
      <c r="U42" s="22" t="s">
        <v>40</v>
      </c>
      <c r="V42" s="207"/>
      <c r="W42" s="207">
        <v>46929075.990000002</v>
      </c>
      <c r="X42" s="207"/>
      <c r="Y42" s="207"/>
      <c r="Z42" s="207"/>
      <c r="AA42" s="207">
        <v>46929075.990000002</v>
      </c>
      <c r="AB42"/>
      <c r="AC42" s="22">
        <v>72600</v>
      </c>
      <c r="AD42" s="22" t="s">
        <v>40</v>
      </c>
      <c r="AE42" s="207"/>
      <c r="AF42" s="207">
        <v>45225000</v>
      </c>
      <c r="AG42" s="207"/>
      <c r="AH42" s="207"/>
      <c r="AI42" s="207"/>
      <c r="AJ42" s="207">
        <v>45225000</v>
      </c>
      <c r="AK42"/>
      <c r="AM42" s="22">
        <v>72600</v>
      </c>
      <c r="AN42" s="22" t="s">
        <v>40</v>
      </c>
      <c r="AO42" s="207"/>
      <c r="AP42" s="207">
        <v>46929075.990000002</v>
      </c>
      <c r="AQ42" s="207"/>
      <c r="AR42" s="207"/>
      <c r="AS42" s="207"/>
      <c r="AT42" s="207">
        <v>46929075.990000002</v>
      </c>
      <c r="AU42"/>
      <c r="AV42" s="22">
        <v>72600</v>
      </c>
      <c r="AW42" s="22" t="s">
        <v>40</v>
      </c>
      <c r="AX42" s="207"/>
      <c r="AY42" s="207">
        <v>45225000</v>
      </c>
      <c r="AZ42" s="207"/>
      <c r="BA42" s="207"/>
      <c r="BB42" s="207"/>
      <c r="BC42" s="207">
        <v>45225000</v>
      </c>
      <c r="BD42"/>
      <c r="BF42" s="22">
        <v>72600</v>
      </c>
      <c r="BG42" s="22" t="s">
        <v>40</v>
      </c>
      <c r="BH42" s="207"/>
      <c r="BI42" s="207">
        <v>46929075.990000002</v>
      </c>
      <c r="BJ42" s="207"/>
      <c r="BK42" s="207"/>
      <c r="BL42" s="207"/>
      <c r="BM42" s="207">
        <v>46929075.990000002</v>
      </c>
      <c r="BN42"/>
      <c r="BO42" s="22">
        <v>72600</v>
      </c>
      <c r="BP42" s="22" t="s">
        <v>40</v>
      </c>
      <c r="BQ42" s="207"/>
      <c r="BR42" s="207">
        <v>45225000</v>
      </c>
      <c r="BS42" s="207"/>
      <c r="BT42" s="207"/>
      <c r="BU42" s="207"/>
      <c r="BV42" s="207">
        <v>45225000</v>
      </c>
      <c r="BW42"/>
    </row>
    <row r="43" spans="1:75" ht="15" x14ac:dyDescent="0.25">
      <c r="A43" s="208">
        <v>72800</v>
      </c>
      <c r="B43" s="22" t="s">
        <v>70</v>
      </c>
      <c r="C43" s="207"/>
      <c r="D43" s="207"/>
      <c r="E43" s="207"/>
      <c r="F43" s="207"/>
      <c r="G43" s="207">
        <v>84706</v>
      </c>
      <c r="H43" s="207">
        <v>84706</v>
      </c>
      <c r="I43" s="151">
        <f t="shared" ref="I43:I48" si="104">H43</f>
        <v>84706</v>
      </c>
      <c r="J43" s="208">
        <v>72800</v>
      </c>
      <c r="K43" s="22" t="s">
        <v>70</v>
      </c>
      <c r="L43" s="207"/>
      <c r="M43" s="207"/>
      <c r="N43" s="207"/>
      <c r="O43" s="207"/>
      <c r="P43" s="207">
        <v>81630</v>
      </c>
      <c r="Q43" s="207">
        <v>81630</v>
      </c>
      <c r="R43" s="151">
        <f t="shared" ref="R43:R48" si="105">Q43</f>
        <v>81630</v>
      </c>
      <c r="S43"/>
      <c r="T43" s="208">
        <v>72800</v>
      </c>
      <c r="U43" s="22" t="s">
        <v>70</v>
      </c>
      <c r="V43" s="207"/>
      <c r="W43" s="207"/>
      <c r="X43" s="207"/>
      <c r="Y43" s="207"/>
      <c r="Z43" s="207">
        <v>84706</v>
      </c>
      <c r="AA43" s="207">
        <v>84706</v>
      </c>
      <c r="AB43" s="151">
        <f t="shared" ref="AB43:AB45" si="106">AA43</f>
        <v>84706</v>
      </c>
      <c r="AC43" s="208">
        <v>72800</v>
      </c>
      <c r="AD43" s="22" t="s">
        <v>70</v>
      </c>
      <c r="AE43" s="207"/>
      <c r="AF43" s="207"/>
      <c r="AG43" s="207"/>
      <c r="AH43" s="207"/>
      <c r="AI43" s="207">
        <v>81630</v>
      </c>
      <c r="AJ43" s="207">
        <v>81630</v>
      </c>
      <c r="AK43" s="151">
        <f t="shared" ref="AK43:AK45" si="107">AJ43</f>
        <v>81630</v>
      </c>
      <c r="AM43" s="208">
        <v>72800</v>
      </c>
      <c r="AN43" s="22" t="s">
        <v>70</v>
      </c>
      <c r="AO43" s="207"/>
      <c r="AP43" s="207"/>
      <c r="AQ43" s="207"/>
      <c r="AR43" s="207"/>
      <c r="AS43" s="207">
        <v>84706</v>
      </c>
      <c r="AT43" s="207">
        <v>84706</v>
      </c>
      <c r="AU43" s="151">
        <f t="shared" ref="AU43:AU45" si="108">AT43</f>
        <v>84706</v>
      </c>
      <c r="AV43" s="208">
        <v>72800</v>
      </c>
      <c r="AW43" s="22" t="s">
        <v>70</v>
      </c>
      <c r="AX43" s="207"/>
      <c r="AY43" s="207"/>
      <c r="AZ43" s="207"/>
      <c r="BA43" s="207"/>
      <c r="BB43" s="207">
        <v>81630</v>
      </c>
      <c r="BC43" s="207">
        <v>81630</v>
      </c>
      <c r="BD43" s="151">
        <f t="shared" ref="BD43:BD45" si="109">BC43</f>
        <v>81630</v>
      </c>
      <c r="BF43" s="208">
        <v>72800</v>
      </c>
      <c r="BG43" s="22" t="s">
        <v>70</v>
      </c>
      <c r="BH43" s="207"/>
      <c r="BI43" s="207"/>
      <c r="BJ43" s="207"/>
      <c r="BK43" s="207"/>
      <c r="BL43" s="207">
        <v>84706</v>
      </c>
      <c r="BM43" s="207">
        <v>84706</v>
      </c>
      <c r="BN43" s="151">
        <f t="shared" ref="BN43:BN45" si="110">BM43</f>
        <v>84706</v>
      </c>
      <c r="BO43" s="208">
        <v>72800</v>
      </c>
      <c r="BP43" s="22" t="s">
        <v>70</v>
      </c>
      <c r="BQ43" s="207"/>
      <c r="BR43" s="207"/>
      <c r="BS43" s="207"/>
      <c r="BT43" s="207"/>
      <c r="BU43" s="207">
        <v>81630</v>
      </c>
      <c r="BV43" s="207">
        <v>81630</v>
      </c>
      <c r="BW43" s="151">
        <f t="shared" ref="BW43:BW45" si="111">BV43</f>
        <v>81630</v>
      </c>
    </row>
    <row r="44" spans="1:75" ht="15" x14ac:dyDescent="0.25">
      <c r="A44" s="208">
        <v>73100</v>
      </c>
      <c r="B44" s="22" t="s">
        <v>72</v>
      </c>
      <c r="C44" s="207"/>
      <c r="D44" s="207"/>
      <c r="E44" s="207"/>
      <c r="F44" s="207"/>
      <c r="G44" s="207">
        <v>1090668</v>
      </c>
      <c r="H44" s="207">
        <v>1090668</v>
      </c>
      <c r="I44" s="151">
        <f t="shared" si="104"/>
        <v>1090668</v>
      </c>
      <c r="J44" s="208">
        <v>73100</v>
      </c>
      <c r="K44" s="22" t="s">
        <v>72</v>
      </c>
      <c r="L44" s="207"/>
      <c r="M44" s="207"/>
      <c r="N44" s="207"/>
      <c r="O44" s="207"/>
      <c r="P44" s="207">
        <v>1051064</v>
      </c>
      <c r="Q44" s="207">
        <v>1051064</v>
      </c>
      <c r="R44" s="151">
        <f t="shared" si="105"/>
        <v>1051064</v>
      </c>
      <c r="S44"/>
      <c r="T44" s="208">
        <v>73100</v>
      </c>
      <c r="U44" s="22" t="s">
        <v>72</v>
      </c>
      <c r="V44" s="207"/>
      <c r="W44" s="207"/>
      <c r="X44" s="207"/>
      <c r="Y44" s="207"/>
      <c r="Z44" s="207">
        <v>1090668</v>
      </c>
      <c r="AA44" s="207">
        <v>1090668</v>
      </c>
      <c r="AB44" s="151">
        <f t="shared" si="106"/>
        <v>1090668</v>
      </c>
      <c r="AC44" s="208">
        <v>73100</v>
      </c>
      <c r="AD44" s="22" t="s">
        <v>72</v>
      </c>
      <c r="AE44" s="207"/>
      <c r="AF44" s="207"/>
      <c r="AG44" s="207"/>
      <c r="AH44" s="207"/>
      <c r="AI44" s="207">
        <v>1051064</v>
      </c>
      <c r="AJ44" s="207">
        <v>1051064</v>
      </c>
      <c r="AK44" s="151">
        <f t="shared" si="107"/>
        <v>1051064</v>
      </c>
      <c r="AM44" s="208">
        <v>73100</v>
      </c>
      <c r="AN44" s="22" t="s">
        <v>72</v>
      </c>
      <c r="AO44" s="207"/>
      <c r="AP44" s="207"/>
      <c r="AQ44" s="207"/>
      <c r="AR44" s="207"/>
      <c r="AS44" s="207">
        <v>1090668</v>
      </c>
      <c r="AT44" s="207">
        <v>1090668</v>
      </c>
      <c r="AU44" s="151">
        <f t="shared" si="108"/>
        <v>1090668</v>
      </c>
      <c r="AV44" s="208">
        <v>73100</v>
      </c>
      <c r="AW44" s="22" t="s">
        <v>72</v>
      </c>
      <c r="AX44" s="207"/>
      <c r="AY44" s="207"/>
      <c r="AZ44" s="207"/>
      <c r="BA44" s="207"/>
      <c r="BB44" s="207">
        <v>1051064</v>
      </c>
      <c r="BC44" s="207">
        <v>1051064</v>
      </c>
      <c r="BD44" s="151">
        <f t="shared" si="109"/>
        <v>1051064</v>
      </c>
      <c r="BF44" s="208">
        <v>73100</v>
      </c>
      <c r="BG44" s="22" t="s">
        <v>72</v>
      </c>
      <c r="BH44" s="207"/>
      <c r="BI44" s="207"/>
      <c r="BJ44" s="207"/>
      <c r="BK44" s="207"/>
      <c r="BL44" s="207">
        <v>1090668</v>
      </c>
      <c r="BM44" s="207">
        <v>1090668</v>
      </c>
      <c r="BN44" s="151">
        <f t="shared" si="110"/>
        <v>1090668</v>
      </c>
      <c r="BO44" s="208">
        <v>73100</v>
      </c>
      <c r="BP44" s="22" t="s">
        <v>72</v>
      </c>
      <c r="BQ44" s="207"/>
      <c r="BR44" s="207"/>
      <c r="BS44" s="207"/>
      <c r="BT44" s="207"/>
      <c r="BU44" s="207">
        <v>1051064</v>
      </c>
      <c r="BV44" s="207">
        <v>1051064</v>
      </c>
      <c r="BW44" s="151">
        <f t="shared" si="111"/>
        <v>1051064</v>
      </c>
    </row>
    <row r="45" spans="1:75" ht="15" x14ac:dyDescent="0.25">
      <c r="A45" s="208">
        <v>73400</v>
      </c>
      <c r="B45" s="22" t="s">
        <v>73</v>
      </c>
      <c r="C45" s="207"/>
      <c r="D45" s="207"/>
      <c r="E45" s="207"/>
      <c r="F45" s="207"/>
      <c r="G45" s="207">
        <v>64122</v>
      </c>
      <c r="H45" s="207">
        <v>64122</v>
      </c>
      <c r="I45" s="151">
        <f t="shared" si="104"/>
        <v>64122</v>
      </c>
      <c r="J45" s="208">
        <v>73400</v>
      </c>
      <c r="K45" s="22" t="s">
        <v>73</v>
      </c>
      <c r="L45" s="207"/>
      <c r="M45" s="207"/>
      <c r="N45" s="207"/>
      <c r="O45" s="207"/>
      <c r="P45" s="207">
        <v>61793</v>
      </c>
      <c r="Q45" s="207">
        <v>61793</v>
      </c>
      <c r="R45" s="151">
        <f t="shared" si="105"/>
        <v>61793</v>
      </c>
      <c r="S45"/>
      <c r="T45" s="208">
        <v>73400</v>
      </c>
      <c r="U45" s="22" t="s">
        <v>73</v>
      </c>
      <c r="V45" s="207"/>
      <c r="W45" s="207"/>
      <c r="X45" s="207"/>
      <c r="Y45" s="207"/>
      <c r="Z45" s="207">
        <v>64122</v>
      </c>
      <c r="AA45" s="207">
        <v>64122</v>
      </c>
      <c r="AB45" s="151">
        <f t="shared" si="106"/>
        <v>64122</v>
      </c>
      <c r="AC45" s="208">
        <v>73400</v>
      </c>
      <c r="AD45" s="22" t="s">
        <v>73</v>
      </c>
      <c r="AE45" s="207"/>
      <c r="AF45" s="207"/>
      <c r="AG45" s="207"/>
      <c r="AH45" s="207"/>
      <c r="AI45" s="207">
        <v>61793</v>
      </c>
      <c r="AJ45" s="207">
        <v>61793</v>
      </c>
      <c r="AK45" s="151">
        <f t="shared" si="107"/>
        <v>61793</v>
      </c>
      <c r="AM45" s="208">
        <v>73400</v>
      </c>
      <c r="AN45" s="22" t="s">
        <v>73</v>
      </c>
      <c r="AO45" s="207"/>
      <c r="AP45" s="207"/>
      <c r="AQ45" s="207"/>
      <c r="AR45" s="207"/>
      <c r="AS45" s="207">
        <v>64122</v>
      </c>
      <c r="AT45" s="207">
        <v>64122</v>
      </c>
      <c r="AU45" s="151">
        <f t="shared" si="108"/>
        <v>64122</v>
      </c>
      <c r="AV45" s="208">
        <v>73400</v>
      </c>
      <c r="AW45" s="22" t="s">
        <v>73</v>
      </c>
      <c r="AX45" s="207"/>
      <c r="AY45" s="207"/>
      <c r="AZ45" s="207"/>
      <c r="BA45" s="207"/>
      <c r="BB45" s="207">
        <v>61793</v>
      </c>
      <c r="BC45" s="207">
        <v>61793</v>
      </c>
      <c r="BD45" s="151">
        <f t="shared" si="109"/>
        <v>61793</v>
      </c>
      <c r="BF45" s="208">
        <v>73400</v>
      </c>
      <c r="BG45" s="22" t="s">
        <v>73</v>
      </c>
      <c r="BH45" s="207"/>
      <c r="BI45" s="207"/>
      <c r="BJ45" s="207"/>
      <c r="BK45" s="207"/>
      <c r="BL45" s="207">
        <v>64122</v>
      </c>
      <c r="BM45" s="207">
        <v>64122</v>
      </c>
      <c r="BN45" s="151">
        <f t="shared" si="110"/>
        <v>64122</v>
      </c>
      <c r="BO45" s="208">
        <v>73400</v>
      </c>
      <c r="BP45" s="22" t="s">
        <v>73</v>
      </c>
      <c r="BQ45" s="207"/>
      <c r="BR45" s="207"/>
      <c r="BS45" s="207"/>
      <c r="BT45" s="207"/>
      <c r="BU45" s="207">
        <v>61793</v>
      </c>
      <c r="BV45" s="207">
        <v>61793</v>
      </c>
      <c r="BW45" s="151">
        <f t="shared" si="111"/>
        <v>61793</v>
      </c>
    </row>
    <row r="46" spans="1:75" ht="15" x14ac:dyDescent="0.25">
      <c r="A46" s="208">
        <v>74100</v>
      </c>
      <c r="B46" s="22" t="s">
        <v>75</v>
      </c>
      <c r="C46" s="207"/>
      <c r="D46" s="207"/>
      <c r="E46" s="207"/>
      <c r="F46" s="207"/>
      <c r="G46" s="207">
        <v>172918</v>
      </c>
      <c r="H46" s="207">
        <v>172918</v>
      </c>
      <c r="I46" s="256"/>
      <c r="J46" s="208">
        <v>74100</v>
      </c>
      <c r="K46" s="22" t="s">
        <v>75</v>
      </c>
      <c r="L46" s="207"/>
      <c r="M46" s="207"/>
      <c r="N46" s="207"/>
      <c r="O46" s="207"/>
      <c r="P46" s="207">
        <v>166640</v>
      </c>
      <c r="Q46" s="207">
        <v>166640</v>
      </c>
      <c r="R46" s="256"/>
      <c r="S46"/>
      <c r="T46" s="208">
        <v>74100</v>
      </c>
      <c r="U46" s="22" t="s">
        <v>75</v>
      </c>
      <c r="V46" s="207"/>
      <c r="W46" s="207"/>
      <c r="X46" s="207"/>
      <c r="Y46" s="207"/>
      <c r="Z46" s="207">
        <v>172918</v>
      </c>
      <c r="AA46" s="207">
        <v>172918</v>
      </c>
      <c r="AB46" s="256"/>
      <c r="AC46" s="208">
        <v>74100</v>
      </c>
      <c r="AD46" s="22" t="s">
        <v>75</v>
      </c>
      <c r="AE46" s="207"/>
      <c r="AF46" s="207"/>
      <c r="AG46" s="207"/>
      <c r="AH46" s="207"/>
      <c r="AI46" s="207">
        <v>166640</v>
      </c>
      <c r="AJ46" s="207">
        <v>166640</v>
      </c>
      <c r="AK46" s="256"/>
      <c r="AM46" s="208">
        <v>74100</v>
      </c>
      <c r="AN46" s="22" t="s">
        <v>75</v>
      </c>
      <c r="AO46" s="207"/>
      <c r="AP46" s="207"/>
      <c r="AQ46" s="207"/>
      <c r="AR46" s="207"/>
      <c r="AS46" s="207">
        <v>172918</v>
      </c>
      <c r="AT46" s="207">
        <v>172918</v>
      </c>
      <c r="AU46" s="256"/>
      <c r="AV46" s="208">
        <v>74100</v>
      </c>
      <c r="AW46" s="22" t="s">
        <v>75</v>
      </c>
      <c r="AX46" s="207"/>
      <c r="AY46" s="207"/>
      <c r="AZ46" s="207"/>
      <c r="BA46" s="207"/>
      <c r="BB46" s="207">
        <v>166640</v>
      </c>
      <c r="BC46" s="207">
        <v>166640</v>
      </c>
      <c r="BD46" s="256"/>
      <c r="BF46" s="208">
        <v>74100</v>
      </c>
      <c r="BG46" s="22" t="s">
        <v>75</v>
      </c>
      <c r="BH46" s="207"/>
      <c r="BI46" s="207"/>
      <c r="BJ46" s="207"/>
      <c r="BK46" s="207"/>
      <c r="BL46" s="207">
        <v>172918</v>
      </c>
      <c r="BM46" s="207">
        <v>172918</v>
      </c>
      <c r="BN46" s="256"/>
      <c r="BO46" s="208">
        <v>74100</v>
      </c>
      <c r="BP46" s="22" t="s">
        <v>75</v>
      </c>
      <c r="BQ46" s="207"/>
      <c r="BR46" s="207"/>
      <c r="BS46" s="207"/>
      <c r="BT46" s="207"/>
      <c r="BU46" s="207">
        <v>166640</v>
      </c>
      <c r="BV46" s="207">
        <v>166640</v>
      </c>
      <c r="BW46" s="256"/>
    </row>
    <row r="47" spans="1:75" ht="15" x14ac:dyDescent="0.25">
      <c r="A47" s="208">
        <v>74200</v>
      </c>
      <c r="B47" s="22" t="s">
        <v>76</v>
      </c>
      <c r="C47" s="207"/>
      <c r="D47" s="207"/>
      <c r="E47" s="207"/>
      <c r="F47" s="207"/>
      <c r="G47" s="207">
        <v>60171</v>
      </c>
      <c r="H47" s="207">
        <v>60171</v>
      </c>
      <c r="I47" s="151">
        <f t="shared" si="104"/>
        <v>60171</v>
      </c>
      <c r="J47" s="208">
        <v>74200</v>
      </c>
      <c r="K47" s="22" t="s">
        <v>76</v>
      </c>
      <c r="L47" s="207"/>
      <c r="M47" s="207"/>
      <c r="N47" s="207"/>
      <c r="O47" s="207"/>
      <c r="P47" s="207">
        <v>57987</v>
      </c>
      <c r="Q47" s="207">
        <v>57987</v>
      </c>
      <c r="R47" s="151">
        <f t="shared" si="105"/>
        <v>57987</v>
      </c>
      <c r="S47"/>
      <c r="T47" s="208">
        <v>74200</v>
      </c>
      <c r="U47" s="22" t="s">
        <v>76</v>
      </c>
      <c r="V47" s="207"/>
      <c r="W47" s="207"/>
      <c r="X47" s="207"/>
      <c r="Y47" s="207"/>
      <c r="Z47" s="207">
        <v>60171</v>
      </c>
      <c r="AA47" s="207">
        <v>60171</v>
      </c>
      <c r="AB47" s="151">
        <f t="shared" ref="AB47:AB48" si="112">AA47</f>
        <v>60171</v>
      </c>
      <c r="AC47" s="208">
        <v>74200</v>
      </c>
      <c r="AD47" s="22" t="s">
        <v>76</v>
      </c>
      <c r="AE47" s="207"/>
      <c r="AF47" s="207"/>
      <c r="AG47" s="207"/>
      <c r="AH47" s="207"/>
      <c r="AI47" s="207">
        <v>57987</v>
      </c>
      <c r="AJ47" s="207">
        <v>57987</v>
      </c>
      <c r="AK47" s="151">
        <f t="shared" ref="AK47:AK48" si="113">AJ47</f>
        <v>57987</v>
      </c>
      <c r="AM47" s="208">
        <v>74200</v>
      </c>
      <c r="AN47" s="22" t="s">
        <v>76</v>
      </c>
      <c r="AO47" s="207"/>
      <c r="AP47" s="207"/>
      <c r="AQ47" s="207"/>
      <c r="AR47" s="207"/>
      <c r="AS47" s="207">
        <v>60171</v>
      </c>
      <c r="AT47" s="207">
        <v>60171</v>
      </c>
      <c r="AU47" s="151">
        <f t="shared" ref="AU47:AU48" si="114">AT47</f>
        <v>60171</v>
      </c>
      <c r="AV47" s="208">
        <v>74200</v>
      </c>
      <c r="AW47" s="22" t="s">
        <v>76</v>
      </c>
      <c r="AX47" s="207"/>
      <c r="AY47" s="207"/>
      <c r="AZ47" s="207"/>
      <c r="BA47" s="207"/>
      <c r="BB47" s="207">
        <v>57987</v>
      </c>
      <c r="BC47" s="207">
        <v>57987</v>
      </c>
      <c r="BD47" s="151">
        <f t="shared" ref="BD47:BD48" si="115">BC47</f>
        <v>57987</v>
      </c>
      <c r="BF47" s="208">
        <v>74200</v>
      </c>
      <c r="BG47" s="22" t="s">
        <v>76</v>
      </c>
      <c r="BH47" s="207"/>
      <c r="BI47" s="207"/>
      <c r="BJ47" s="207"/>
      <c r="BK47" s="207"/>
      <c r="BL47" s="207">
        <v>60171</v>
      </c>
      <c r="BM47" s="207">
        <v>60171</v>
      </c>
      <c r="BN47" s="151">
        <f t="shared" ref="BN47:BN48" si="116">BM47</f>
        <v>60171</v>
      </c>
      <c r="BO47" s="208">
        <v>74200</v>
      </c>
      <c r="BP47" s="22" t="s">
        <v>76</v>
      </c>
      <c r="BQ47" s="207"/>
      <c r="BR47" s="207"/>
      <c r="BS47" s="207"/>
      <c r="BT47" s="207"/>
      <c r="BU47" s="207">
        <v>57987</v>
      </c>
      <c r="BV47" s="207">
        <v>57987</v>
      </c>
      <c r="BW47" s="151">
        <f t="shared" ref="BW47:BW48" si="117">BV47</f>
        <v>57987</v>
      </c>
    </row>
    <row r="48" spans="1:75" ht="15" x14ac:dyDescent="0.25">
      <c r="A48" s="208">
        <v>74500</v>
      </c>
      <c r="B48" s="22" t="s">
        <v>49</v>
      </c>
      <c r="C48" s="207"/>
      <c r="D48" s="207"/>
      <c r="E48" s="207">
        <v>5437</v>
      </c>
      <c r="F48" s="207">
        <v>311955</v>
      </c>
      <c r="G48" s="207">
        <v>75358</v>
      </c>
      <c r="H48" s="207">
        <v>392750</v>
      </c>
      <c r="I48" s="151">
        <f t="shared" si="104"/>
        <v>392750</v>
      </c>
      <c r="J48" s="208">
        <v>74500</v>
      </c>
      <c r="K48" s="22" t="s">
        <v>49</v>
      </c>
      <c r="L48" s="207"/>
      <c r="M48" s="207"/>
      <c r="N48" s="207">
        <v>5239</v>
      </c>
      <c r="O48" s="207">
        <v>300627</v>
      </c>
      <c r="P48" s="207">
        <v>72622</v>
      </c>
      <c r="Q48" s="207">
        <v>378488</v>
      </c>
      <c r="R48" s="151">
        <f t="shared" si="105"/>
        <v>378488</v>
      </c>
      <c r="S48"/>
      <c r="T48" s="208">
        <v>74500</v>
      </c>
      <c r="U48" s="22" t="s">
        <v>49</v>
      </c>
      <c r="V48" s="207"/>
      <c r="W48" s="207"/>
      <c r="X48" s="207">
        <v>5437</v>
      </c>
      <c r="Y48" s="207">
        <v>311955</v>
      </c>
      <c r="Z48" s="207">
        <v>75358</v>
      </c>
      <c r="AA48" s="207">
        <v>392750</v>
      </c>
      <c r="AB48" s="151">
        <f t="shared" si="112"/>
        <v>392750</v>
      </c>
      <c r="AC48" s="208">
        <v>74500</v>
      </c>
      <c r="AD48" s="22" t="s">
        <v>49</v>
      </c>
      <c r="AE48" s="207"/>
      <c r="AF48" s="207"/>
      <c r="AG48" s="207">
        <v>5239</v>
      </c>
      <c r="AH48" s="207">
        <v>300627</v>
      </c>
      <c r="AI48" s="207">
        <v>72622</v>
      </c>
      <c r="AJ48" s="207">
        <v>378488</v>
      </c>
      <c r="AK48" s="151">
        <f t="shared" si="113"/>
        <v>378488</v>
      </c>
      <c r="AM48" s="208">
        <v>74500</v>
      </c>
      <c r="AN48" s="22" t="s">
        <v>49</v>
      </c>
      <c r="AO48" s="207"/>
      <c r="AP48" s="207"/>
      <c r="AQ48" s="207">
        <v>5437</v>
      </c>
      <c r="AR48" s="207">
        <v>311955</v>
      </c>
      <c r="AS48" s="207">
        <v>75358</v>
      </c>
      <c r="AT48" s="207">
        <v>392750</v>
      </c>
      <c r="AU48" s="151">
        <f t="shared" si="114"/>
        <v>392750</v>
      </c>
      <c r="AV48" s="208">
        <v>74500</v>
      </c>
      <c r="AW48" s="22" t="s">
        <v>49</v>
      </c>
      <c r="AX48" s="207"/>
      <c r="AY48" s="207"/>
      <c r="AZ48" s="207">
        <v>5239</v>
      </c>
      <c r="BA48" s="207">
        <v>300627</v>
      </c>
      <c r="BB48" s="207">
        <v>72622</v>
      </c>
      <c r="BC48" s="207">
        <v>378488</v>
      </c>
      <c r="BD48" s="151">
        <f t="shared" si="115"/>
        <v>378488</v>
      </c>
      <c r="BF48" s="208">
        <v>74500</v>
      </c>
      <c r="BG48" s="22" t="s">
        <v>49</v>
      </c>
      <c r="BH48" s="207"/>
      <c r="BI48" s="207"/>
      <c r="BJ48" s="207">
        <v>5437</v>
      </c>
      <c r="BK48" s="207">
        <v>311955</v>
      </c>
      <c r="BL48" s="207">
        <v>75358</v>
      </c>
      <c r="BM48" s="207">
        <v>392750</v>
      </c>
      <c r="BN48" s="151">
        <f t="shared" si="116"/>
        <v>392750</v>
      </c>
      <c r="BO48" s="208">
        <v>74500</v>
      </c>
      <c r="BP48" s="22" t="s">
        <v>49</v>
      </c>
      <c r="BQ48" s="207"/>
      <c r="BR48" s="207"/>
      <c r="BS48" s="207">
        <v>5239</v>
      </c>
      <c r="BT48" s="207">
        <v>300627</v>
      </c>
      <c r="BU48" s="207">
        <v>72622</v>
      </c>
      <c r="BV48" s="207">
        <v>378488</v>
      </c>
      <c r="BW48" s="151">
        <f t="shared" si="117"/>
        <v>378488</v>
      </c>
    </row>
    <row r="49" spans="1:75" ht="15" x14ac:dyDescent="0.25">
      <c r="A49" s="22">
        <v>74700</v>
      </c>
      <c r="B49" s="22" t="s">
        <v>77</v>
      </c>
      <c r="C49" s="207"/>
      <c r="D49" s="207"/>
      <c r="E49" s="207"/>
      <c r="F49" s="207"/>
      <c r="G49" s="207">
        <v>24234</v>
      </c>
      <c r="H49" s="207">
        <v>24234</v>
      </c>
      <c r="I49"/>
      <c r="J49" s="22">
        <v>74700</v>
      </c>
      <c r="K49" s="22" t="s">
        <v>77</v>
      </c>
      <c r="L49" s="207"/>
      <c r="M49" s="207"/>
      <c r="N49" s="207"/>
      <c r="O49" s="207"/>
      <c r="P49" s="207">
        <v>23355</v>
      </c>
      <c r="Q49" s="207">
        <v>23355</v>
      </c>
      <c r="R49"/>
      <c r="S49"/>
      <c r="T49" s="22">
        <v>74700</v>
      </c>
      <c r="U49" s="22" t="s">
        <v>77</v>
      </c>
      <c r="V49" s="207"/>
      <c r="W49" s="207"/>
      <c r="X49" s="207"/>
      <c r="Y49" s="207"/>
      <c r="Z49" s="207">
        <v>24234</v>
      </c>
      <c r="AA49" s="207">
        <v>24234</v>
      </c>
      <c r="AB49"/>
      <c r="AC49" s="22">
        <v>74700</v>
      </c>
      <c r="AD49" s="22" t="s">
        <v>77</v>
      </c>
      <c r="AE49" s="207"/>
      <c r="AF49" s="207"/>
      <c r="AG49" s="207"/>
      <c r="AH49" s="207"/>
      <c r="AI49" s="207">
        <v>23355</v>
      </c>
      <c r="AJ49" s="207">
        <v>23355</v>
      </c>
      <c r="AK49"/>
      <c r="AM49" s="22">
        <v>74700</v>
      </c>
      <c r="AN49" s="22" t="s">
        <v>77</v>
      </c>
      <c r="AO49" s="207"/>
      <c r="AP49" s="207"/>
      <c r="AQ49" s="207"/>
      <c r="AR49" s="207"/>
      <c r="AS49" s="207">
        <v>24234</v>
      </c>
      <c r="AT49" s="207">
        <v>24234</v>
      </c>
      <c r="AU49"/>
      <c r="AV49" s="22">
        <v>74700</v>
      </c>
      <c r="AW49" s="22" t="s">
        <v>77</v>
      </c>
      <c r="AX49" s="207"/>
      <c r="AY49" s="207"/>
      <c r="AZ49" s="207"/>
      <c r="BA49" s="207"/>
      <c r="BB49" s="207">
        <v>23355</v>
      </c>
      <c r="BC49" s="207">
        <v>23355</v>
      </c>
      <c r="BD49"/>
      <c r="BF49" s="22">
        <v>74700</v>
      </c>
      <c r="BG49" s="22" t="s">
        <v>77</v>
      </c>
      <c r="BH49" s="207"/>
      <c r="BI49" s="207"/>
      <c r="BJ49" s="207"/>
      <c r="BK49" s="207"/>
      <c r="BL49" s="207">
        <v>24234</v>
      </c>
      <c r="BM49" s="207">
        <v>24234</v>
      </c>
      <c r="BN49"/>
      <c r="BO49" s="22">
        <v>74700</v>
      </c>
      <c r="BP49" s="22" t="s">
        <v>77</v>
      </c>
      <c r="BQ49" s="207"/>
      <c r="BR49" s="207"/>
      <c r="BS49" s="207"/>
      <c r="BT49" s="207"/>
      <c r="BU49" s="207">
        <v>23355</v>
      </c>
      <c r="BV49" s="207">
        <v>23355</v>
      </c>
      <c r="BW49"/>
    </row>
    <row r="50" spans="1:75" ht="15" x14ac:dyDescent="0.25">
      <c r="A50" s="208">
        <v>75700</v>
      </c>
      <c r="B50" s="22" t="s">
        <v>27</v>
      </c>
      <c r="C50" s="207">
        <v>49600</v>
      </c>
      <c r="D50" s="207">
        <v>47730</v>
      </c>
      <c r="E50" s="207">
        <v>26435</v>
      </c>
      <c r="F50" s="207">
        <v>244569</v>
      </c>
      <c r="G50" s="207"/>
      <c r="H50" s="207">
        <v>368334</v>
      </c>
      <c r="I50" s="151">
        <f>H50</f>
        <v>368334</v>
      </c>
      <c r="J50" s="208">
        <v>75700</v>
      </c>
      <c r="K50" s="22" t="s">
        <v>27</v>
      </c>
      <c r="L50" s="207">
        <v>47799</v>
      </c>
      <c r="M50" s="207">
        <v>45997</v>
      </c>
      <c r="N50" s="207">
        <v>25475</v>
      </c>
      <c r="O50" s="207">
        <v>235689</v>
      </c>
      <c r="P50" s="207"/>
      <c r="Q50" s="207">
        <v>354960</v>
      </c>
      <c r="R50" s="151">
        <f>Q50</f>
        <v>354960</v>
      </c>
      <c r="S50"/>
      <c r="T50" s="208">
        <v>75700</v>
      </c>
      <c r="U50" s="22" t="s">
        <v>27</v>
      </c>
      <c r="V50" s="207">
        <v>49600</v>
      </c>
      <c r="W50" s="207">
        <v>47730</v>
      </c>
      <c r="X50" s="207">
        <v>26435</v>
      </c>
      <c r="Y50" s="207">
        <v>244569</v>
      </c>
      <c r="Z50" s="207"/>
      <c r="AA50" s="207">
        <v>368334</v>
      </c>
      <c r="AB50" s="151">
        <f>AA50</f>
        <v>368334</v>
      </c>
      <c r="AC50" s="208">
        <v>75700</v>
      </c>
      <c r="AD50" s="22" t="s">
        <v>27</v>
      </c>
      <c r="AE50" s="207">
        <v>47799</v>
      </c>
      <c r="AF50" s="207">
        <v>45997</v>
      </c>
      <c r="AG50" s="207">
        <v>25475</v>
      </c>
      <c r="AH50" s="207">
        <v>235689</v>
      </c>
      <c r="AI50" s="207"/>
      <c r="AJ50" s="207">
        <v>354960</v>
      </c>
      <c r="AK50" s="151">
        <f>AJ50</f>
        <v>354960</v>
      </c>
      <c r="AM50" s="208">
        <v>75700</v>
      </c>
      <c r="AN50" s="22" t="s">
        <v>27</v>
      </c>
      <c r="AO50" s="207">
        <v>49600</v>
      </c>
      <c r="AP50" s="207">
        <v>47730</v>
      </c>
      <c r="AQ50" s="207">
        <v>26435</v>
      </c>
      <c r="AR50" s="207">
        <v>244569</v>
      </c>
      <c r="AS50" s="207"/>
      <c r="AT50" s="207">
        <v>368334</v>
      </c>
      <c r="AU50" s="151">
        <f>AT50</f>
        <v>368334</v>
      </c>
      <c r="AV50" s="208">
        <v>75700</v>
      </c>
      <c r="AW50" s="22" t="s">
        <v>27</v>
      </c>
      <c r="AX50" s="207">
        <v>47799</v>
      </c>
      <c r="AY50" s="207">
        <v>45997</v>
      </c>
      <c r="AZ50" s="207">
        <v>25475</v>
      </c>
      <c r="BA50" s="207">
        <v>235689</v>
      </c>
      <c r="BB50" s="207"/>
      <c r="BC50" s="207">
        <v>354960</v>
      </c>
      <c r="BD50" s="151">
        <f>BC50</f>
        <v>354960</v>
      </c>
      <c r="BF50" s="208">
        <v>75700</v>
      </c>
      <c r="BG50" s="22" t="s">
        <v>27</v>
      </c>
      <c r="BH50" s="207">
        <v>49600</v>
      </c>
      <c r="BI50" s="207">
        <v>47730</v>
      </c>
      <c r="BJ50" s="207">
        <v>26435</v>
      </c>
      <c r="BK50" s="207">
        <v>244569</v>
      </c>
      <c r="BL50" s="207"/>
      <c r="BM50" s="207">
        <v>368334</v>
      </c>
      <c r="BN50" s="151">
        <f>BM50</f>
        <v>368334</v>
      </c>
      <c r="BO50" s="208">
        <v>75700</v>
      </c>
      <c r="BP50" s="22" t="s">
        <v>27</v>
      </c>
      <c r="BQ50" s="207">
        <v>47799</v>
      </c>
      <c r="BR50" s="207">
        <v>45997</v>
      </c>
      <c r="BS50" s="207">
        <v>25475</v>
      </c>
      <c r="BT50" s="207">
        <v>235689</v>
      </c>
      <c r="BU50" s="207"/>
      <c r="BV50" s="207">
        <v>354960</v>
      </c>
      <c r="BW50" s="151">
        <f>BV50</f>
        <v>354960</v>
      </c>
    </row>
    <row r="51" spans="1:75" ht="15" x14ac:dyDescent="0.25">
      <c r="A51" s="22" t="s">
        <v>117</v>
      </c>
      <c r="C51" s="207">
        <v>3784330</v>
      </c>
      <c r="D51" s="207">
        <v>50431246</v>
      </c>
      <c r="E51" s="207">
        <v>2101302</v>
      </c>
      <c r="F51" s="207">
        <v>2101302</v>
      </c>
      <c r="G51" s="207">
        <v>5841818</v>
      </c>
      <c r="H51" s="207">
        <v>64259998</v>
      </c>
      <c r="I51" s="255">
        <f>SUM(I36:I50)</f>
        <v>3821864</v>
      </c>
      <c r="J51" s="22" t="s">
        <v>117</v>
      </c>
      <c r="L51" s="207">
        <v>3646914</v>
      </c>
      <c r="M51" s="207">
        <v>48600000</v>
      </c>
      <c r="N51" s="207">
        <v>2025000</v>
      </c>
      <c r="O51" s="207">
        <v>2025000</v>
      </c>
      <c r="P51" s="207">
        <v>5629691</v>
      </c>
      <c r="Q51" s="207">
        <v>61926605</v>
      </c>
      <c r="R51" s="255">
        <f>SUM(R36:R50)</f>
        <v>3683088</v>
      </c>
      <c r="S51"/>
      <c r="T51" s="22" t="s">
        <v>117</v>
      </c>
      <c r="V51" s="207">
        <v>3784330</v>
      </c>
      <c r="W51" s="207">
        <v>50431246</v>
      </c>
      <c r="X51" s="207">
        <v>2101302</v>
      </c>
      <c r="Y51" s="207">
        <v>2101302</v>
      </c>
      <c r="Z51" s="207">
        <v>5841818</v>
      </c>
      <c r="AA51" s="207">
        <v>64259998</v>
      </c>
      <c r="AB51" s="255">
        <f>SUM(AB36:AB50)</f>
        <v>3821864</v>
      </c>
      <c r="AC51" s="22" t="s">
        <v>117</v>
      </c>
      <c r="AE51" s="207">
        <v>3646914</v>
      </c>
      <c r="AF51" s="207">
        <v>48600000</v>
      </c>
      <c r="AG51" s="207">
        <v>2025000</v>
      </c>
      <c r="AH51" s="207">
        <v>2025000</v>
      </c>
      <c r="AI51" s="207">
        <v>5629691</v>
      </c>
      <c r="AJ51" s="207">
        <v>61926605</v>
      </c>
      <c r="AK51" s="255">
        <f>SUM(AK36:AK50)</f>
        <v>3683088</v>
      </c>
      <c r="AM51" s="22" t="s">
        <v>117</v>
      </c>
      <c r="AO51" s="207">
        <v>3784330</v>
      </c>
      <c r="AP51" s="207">
        <v>50431246</v>
      </c>
      <c r="AQ51" s="207">
        <v>2101302</v>
      </c>
      <c r="AR51" s="207">
        <v>2101302</v>
      </c>
      <c r="AS51" s="207">
        <v>5841818</v>
      </c>
      <c r="AT51" s="207">
        <v>64259998</v>
      </c>
      <c r="AU51" s="255">
        <f>SUM(AU36:AU50)</f>
        <v>3821864</v>
      </c>
      <c r="AV51" s="22" t="s">
        <v>117</v>
      </c>
      <c r="AX51" s="207">
        <v>3646914</v>
      </c>
      <c r="AY51" s="207">
        <v>48600000</v>
      </c>
      <c r="AZ51" s="207">
        <v>2025000</v>
      </c>
      <c r="BA51" s="207">
        <v>2025000</v>
      </c>
      <c r="BB51" s="207">
        <v>5629691</v>
      </c>
      <c r="BC51" s="207">
        <v>61926605</v>
      </c>
      <c r="BD51" s="255">
        <f>SUM(BD36:BD50)</f>
        <v>3683088</v>
      </c>
      <c r="BF51" s="22" t="s">
        <v>117</v>
      </c>
      <c r="BH51" s="207">
        <v>3784330</v>
      </c>
      <c r="BI51" s="207">
        <v>50431246</v>
      </c>
      <c r="BJ51" s="207">
        <v>2101302</v>
      </c>
      <c r="BK51" s="207">
        <v>2101302</v>
      </c>
      <c r="BL51" s="207">
        <v>5841818</v>
      </c>
      <c r="BM51" s="207">
        <v>64259998</v>
      </c>
      <c r="BN51" s="255">
        <f>SUM(BN36:BN50)</f>
        <v>3821864</v>
      </c>
      <c r="BO51" s="22" t="s">
        <v>117</v>
      </c>
      <c r="BQ51" s="207">
        <v>3646914</v>
      </c>
      <c r="BR51" s="207">
        <v>48600000</v>
      </c>
      <c r="BS51" s="207">
        <v>2025000</v>
      </c>
      <c r="BT51" s="207">
        <v>2025000</v>
      </c>
      <c r="BU51" s="207">
        <v>5629691</v>
      </c>
      <c r="BV51" s="207">
        <v>61926605</v>
      </c>
      <c r="BW51" s="255">
        <f>SUM(BW36:BW50)</f>
        <v>3683088</v>
      </c>
    </row>
  </sheetData>
  <mergeCells count="12">
    <mergeCell ref="A2:H2"/>
    <mergeCell ref="J2:Q2"/>
    <mergeCell ref="A1:R1"/>
    <mergeCell ref="T1:AK1"/>
    <mergeCell ref="T2:AA2"/>
    <mergeCell ref="AC2:AJ2"/>
    <mergeCell ref="AM1:BD1"/>
    <mergeCell ref="AM2:AT2"/>
    <mergeCell ref="AV2:BC2"/>
    <mergeCell ref="BF1:BW1"/>
    <mergeCell ref="BF2:BM2"/>
    <mergeCell ref="BO2:BV2"/>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5B5E2-7F44-403F-B97E-C417A71C9ED9}">
  <dimension ref="A1:AJ162"/>
  <sheetViews>
    <sheetView topLeftCell="A81" zoomScale="90" zoomScaleNormal="90" workbookViewId="0">
      <selection activeCell="S7" sqref="S7:S79"/>
    </sheetView>
  </sheetViews>
  <sheetFormatPr defaultColWidth="8.7109375" defaultRowHeight="12" x14ac:dyDescent="0.2"/>
  <cols>
    <col min="1" max="1" width="26.140625" style="1" customWidth="1"/>
    <col min="2" max="2" width="17.5703125" style="1" bestFit="1" customWidth="1"/>
    <col min="3" max="3" width="15.42578125" style="1" customWidth="1"/>
    <col min="4" max="4" width="12.42578125" style="1" customWidth="1"/>
    <col min="5" max="5" width="9.5703125" style="1" bestFit="1" customWidth="1"/>
    <col min="6" max="6" width="9.5703125" style="1" customWidth="1"/>
    <col min="7" max="7" width="8.7109375" style="1"/>
    <col min="8" max="8" width="18.28515625" style="1" customWidth="1"/>
    <col min="9" max="9" width="9.5703125" style="1" customWidth="1"/>
    <col min="10" max="10" width="11.85546875" style="1" customWidth="1"/>
    <col min="11" max="14" width="12.5703125" style="1" bestFit="1" customWidth="1"/>
    <col min="15" max="15" width="11.85546875" style="1" bestFit="1" customWidth="1"/>
    <col min="16" max="16" width="18.5703125" style="1" customWidth="1"/>
    <col min="17" max="17" width="9.140625" style="2" customWidth="1"/>
    <col min="18" max="18" width="14.7109375" style="1" bestFit="1" customWidth="1"/>
    <col min="19" max="19" width="14.28515625" style="1" bestFit="1" customWidth="1"/>
    <col min="20" max="20" width="9.85546875" style="1" bestFit="1" customWidth="1"/>
    <col min="21" max="21" width="14.28515625" style="1" bestFit="1" customWidth="1"/>
    <col min="22" max="22" width="13.85546875" style="1" customWidth="1"/>
    <col min="23" max="23" width="14.7109375" style="1" bestFit="1" customWidth="1"/>
    <col min="24" max="24" width="9.85546875" style="1" customWidth="1"/>
    <col min="25" max="25" width="12.28515625" style="1" customWidth="1"/>
    <col min="26" max="26" width="15.28515625" style="1" bestFit="1" customWidth="1"/>
    <col min="27" max="28" width="14.28515625" style="1" bestFit="1" customWidth="1"/>
    <col min="29" max="29" width="12.5703125" style="1" bestFit="1" customWidth="1"/>
    <col min="30" max="30" width="11.5703125" style="1" bestFit="1" customWidth="1"/>
    <col min="31" max="35" width="14.28515625" style="1" bestFit="1" customWidth="1"/>
    <col min="36" max="36" width="8.7109375" style="1" customWidth="1"/>
    <col min="37" max="37" width="12.5703125" style="1" bestFit="1" customWidth="1"/>
    <col min="38" max="16384" width="8.7109375" style="1"/>
  </cols>
  <sheetData>
    <row r="1" spans="1:36" x14ac:dyDescent="0.2">
      <c r="I1" s="209" t="s">
        <v>106</v>
      </c>
      <c r="J1" s="210">
        <v>0.1</v>
      </c>
      <c r="K1" s="210">
        <v>0.4</v>
      </c>
      <c r="L1" s="210">
        <v>0.35</v>
      </c>
      <c r="M1" s="210">
        <v>0.15</v>
      </c>
      <c r="N1" s="210">
        <v>1</v>
      </c>
    </row>
    <row r="2" spans="1:36" x14ac:dyDescent="0.2">
      <c r="I2" s="209" t="s">
        <v>107</v>
      </c>
      <c r="J2" s="211">
        <v>0.25</v>
      </c>
      <c r="K2" s="211">
        <v>0.25</v>
      </c>
      <c r="L2" s="211">
        <v>0.25</v>
      </c>
      <c r="M2" s="211">
        <v>0.25</v>
      </c>
      <c r="N2" s="210">
        <v>1</v>
      </c>
    </row>
    <row r="3" spans="1:36" s="5" customFormat="1" ht="52.5" customHeight="1" x14ac:dyDescent="0.2">
      <c r="A3" s="3" t="s">
        <v>0</v>
      </c>
      <c r="B3" s="3" t="s">
        <v>1</v>
      </c>
      <c r="C3" s="3" t="s">
        <v>2</v>
      </c>
      <c r="D3" s="3" t="s">
        <v>3</v>
      </c>
      <c r="E3" s="3" t="s">
        <v>4</v>
      </c>
      <c r="F3" s="3" t="s">
        <v>5</v>
      </c>
      <c r="G3" s="3" t="s">
        <v>6</v>
      </c>
      <c r="H3" s="3" t="s">
        <v>7</v>
      </c>
      <c r="I3" s="3" t="s">
        <v>8</v>
      </c>
      <c r="J3" s="3" t="s">
        <v>9</v>
      </c>
      <c r="K3" s="3" t="s">
        <v>10</v>
      </c>
      <c r="L3" s="3" t="s">
        <v>11</v>
      </c>
      <c r="M3" s="3" t="s">
        <v>12</v>
      </c>
      <c r="N3" s="4" t="s">
        <v>13</v>
      </c>
      <c r="O3" s="3" t="s">
        <v>14</v>
      </c>
      <c r="Q3" s="212"/>
    </row>
    <row r="4" spans="1:36" ht="21.95" customHeight="1" x14ac:dyDescent="0.2">
      <c r="A4" s="262" t="s">
        <v>15</v>
      </c>
      <c r="B4" s="262" t="s">
        <v>16</v>
      </c>
      <c r="C4" s="262" t="s">
        <v>17</v>
      </c>
      <c r="D4" s="262">
        <v>62000</v>
      </c>
      <c r="E4" s="262">
        <v>10003</v>
      </c>
      <c r="F4" s="6" t="s">
        <v>18</v>
      </c>
      <c r="G4" s="7" t="s">
        <v>19</v>
      </c>
      <c r="H4" s="6">
        <v>71200</v>
      </c>
      <c r="I4" s="6" t="s">
        <v>19</v>
      </c>
      <c r="J4" s="213">
        <v>9336</v>
      </c>
      <c r="K4" s="213">
        <v>9336</v>
      </c>
      <c r="L4" s="213">
        <v>9336</v>
      </c>
      <c r="M4" s="213">
        <v>9337</v>
      </c>
      <c r="N4" s="213">
        <v>37345</v>
      </c>
      <c r="O4" s="8"/>
      <c r="P4" s="9"/>
    </row>
    <row r="5" spans="1:36" ht="21.95" customHeight="1" x14ac:dyDescent="0.2">
      <c r="A5" s="262"/>
      <c r="B5" s="262"/>
      <c r="C5" s="262"/>
      <c r="D5" s="262"/>
      <c r="E5" s="262"/>
      <c r="F5" s="6" t="s">
        <v>18</v>
      </c>
      <c r="G5" s="7" t="s">
        <v>20</v>
      </c>
      <c r="H5" s="6">
        <v>71300</v>
      </c>
      <c r="I5" s="6" t="s">
        <v>20</v>
      </c>
      <c r="J5" s="213">
        <v>37386</v>
      </c>
      <c r="K5" s="213">
        <v>37386</v>
      </c>
      <c r="L5" s="213">
        <v>37386</v>
      </c>
      <c r="M5" s="213">
        <v>37386</v>
      </c>
      <c r="N5" s="213">
        <v>149544</v>
      </c>
      <c r="O5" s="8"/>
      <c r="P5" s="9"/>
    </row>
    <row r="6" spans="1:36" ht="21.95" customHeight="1" x14ac:dyDescent="0.2">
      <c r="A6" s="262"/>
      <c r="B6" s="262"/>
      <c r="C6" s="262"/>
      <c r="D6" s="262"/>
      <c r="E6" s="262"/>
      <c r="F6" s="6" t="s">
        <v>18</v>
      </c>
      <c r="G6" s="7" t="s">
        <v>21</v>
      </c>
      <c r="H6" s="6">
        <v>71400</v>
      </c>
      <c r="I6" s="6" t="s">
        <v>22</v>
      </c>
      <c r="J6" s="213">
        <v>574266</v>
      </c>
      <c r="K6" s="213">
        <v>574266</v>
      </c>
      <c r="L6" s="213">
        <v>574266</v>
      </c>
      <c r="M6" s="213">
        <v>574266</v>
      </c>
      <c r="N6" s="213">
        <v>2297064</v>
      </c>
      <c r="O6" s="8"/>
      <c r="P6" s="9"/>
    </row>
    <row r="7" spans="1:36" ht="21.95" customHeight="1" x14ac:dyDescent="0.2">
      <c r="A7" s="262"/>
      <c r="B7" s="262"/>
      <c r="C7" s="262"/>
      <c r="D7" s="262"/>
      <c r="E7" s="262"/>
      <c r="F7" s="6" t="s">
        <v>18</v>
      </c>
      <c r="G7" s="7" t="s">
        <v>23</v>
      </c>
      <c r="H7" s="6">
        <v>71600</v>
      </c>
      <c r="I7" s="6" t="s">
        <v>23</v>
      </c>
      <c r="J7" s="213">
        <v>61089</v>
      </c>
      <c r="K7" s="213">
        <v>61089</v>
      </c>
      <c r="L7" s="213">
        <v>61089</v>
      </c>
      <c r="M7" s="213">
        <v>61087</v>
      </c>
      <c r="N7" s="213">
        <v>244354</v>
      </c>
      <c r="O7" s="8"/>
      <c r="P7" s="9"/>
    </row>
    <row r="8" spans="1:36" ht="21.95" customHeight="1" x14ac:dyDescent="0.2">
      <c r="A8" s="262"/>
      <c r="B8" s="262"/>
      <c r="C8" s="262"/>
      <c r="D8" s="262"/>
      <c r="E8" s="262"/>
      <c r="F8" s="6" t="s">
        <v>18</v>
      </c>
      <c r="G8" s="7" t="s">
        <v>24</v>
      </c>
      <c r="H8" s="6">
        <v>72500</v>
      </c>
      <c r="I8" s="6" t="s">
        <v>25</v>
      </c>
      <c r="J8" s="213">
        <v>2361</v>
      </c>
      <c r="K8" s="213">
        <v>2361</v>
      </c>
      <c r="L8" s="213">
        <v>2361</v>
      </c>
      <c r="M8" s="213">
        <v>2359</v>
      </c>
      <c r="N8" s="213">
        <v>9442</v>
      </c>
      <c r="O8" s="8"/>
      <c r="P8" s="9"/>
    </row>
    <row r="9" spans="1:36" ht="21.95" customHeight="1" x14ac:dyDescent="0.2">
      <c r="A9" s="262"/>
      <c r="B9" s="262"/>
      <c r="C9" s="262"/>
      <c r="D9" s="262"/>
      <c r="E9" s="262"/>
      <c r="F9" s="6" t="s">
        <v>18</v>
      </c>
      <c r="G9" s="7" t="s">
        <v>26</v>
      </c>
      <c r="H9" s="6">
        <v>75700</v>
      </c>
      <c r="I9" s="6" t="s">
        <v>27</v>
      </c>
      <c r="J9" s="213">
        <v>11950</v>
      </c>
      <c r="K9" s="213">
        <v>11950</v>
      </c>
      <c r="L9" s="213">
        <v>11950</v>
      </c>
      <c r="M9" s="213">
        <v>11949</v>
      </c>
      <c r="N9" s="213">
        <v>47799</v>
      </c>
      <c r="O9" s="8"/>
      <c r="P9" s="9"/>
    </row>
    <row r="10" spans="1:36" ht="21.95" customHeight="1" x14ac:dyDescent="0.2">
      <c r="A10" s="262"/>
      <c r="B10" s="262"/>
      <c r="C10" s="262"/>
      <c r="D10" s="262"/>
      <c r="E10" s="262"/>
      <c r="F10" s="6" t="s">
        <v>18</v>
      </c>
      <c r="G10" s="7" t="s">
        <v>28</v>
      </c>
      <c r="H10" s="6">
        <v>61200</v>
      </c>
      <c r="I10" s="6" t="s">
        <v>29</v>
      </c>
      <c r="J10" s="213">
        <v>76136</v>
      </c>
      <c r="K10" s="213">
        <v>76136</v>
      </c>
      <c r="L10" s="213">
        <v>76136</v>
      </c>
      <c r="M10" s="213">
        <v>76135</v>
      </c>
      <c r="N10" s="213">
        <v>304543</v>
      </c>
      <c r="O10" s="8"/>
      <c r="P10" s="9"/>
    </row>
    <row r="11" spans="1:36" ht="21.95" customHeight="1" x14ac:dyDescent="0.2">
      <c r="A11" s="262"/>
      <c r="B11" s="262"/>
      <c r="C11" s="262"/>
      <c r="D11" s="262"/>
      <c r="E11" s="262"/>
      <c r="F11" s="6" t="s">
        <v>18</v>
      </c>
      <c r="G11" s="7" t="s">
        <v>28</v>
      </c>
      <c r="H11" s="6">
        <v>61300</v>
      </c>
      <c r="I11" s="6" t="s">
        <v>30</v>
      </c>
      <c r="J11" s="213">
        <v>139206</v>
      </c>
      <c r="K11" s="213">
        <v>139206</v>
      </c>
      <c r="L11" s="213">
        <v>139206</v>
      </c>
      <c r="M11" s="213">
        <v>139205</v>
      </c>
      <c r="N11" s="213">
        <v>556823</v>
      </c>
      <c r="O11" s="8"/>
      <c r="P11" s="9"/>
    </row>
    <row r="12" spans="1:36" ht="21.95" customHeight="1" x14ac:dyDescent="0.2">
      <c r="A12" s="262"/>
      <c r="B12" s="262"/>
      <c r="C12" s="261" t="s">
        <v>31</v>
      </c>
      <c r="D12" s="261"/>
      <c r="E12" s="261"/>
      <c r="F12" s="261"/>
      <c r="G12" s="261"/>
      <c r="H12" s="261"/>
      <c r="I12" s="261"/>
      <c r="J12" s="213">
        <v>911730</v>
      </c>
      <c r="K12" s="213">
        <v>911730</v>
      </c>
      <c r="L12" s="213">
        <v>911730</v>
      </c>
      <c r="M12" s="213">
        <v>911724</v>
      </c>
      <c r="N12" s="213">
        <v>3646914</v>
      </c>
      <c r="O12" s="8"/>
      <c r="P12" s="9"/>
    </row>
    <row r="13" spans="1:36" s="2" customFormat="1" ht="21.95" customHeight="1" x14ac:dyDescent="0.2">
      <c r="A13" s="262"/>
      <c r="B13" s="261" t="s">
        <v>32</v>
      </c>
      <c r="C13" s="261"/>
      <c r="D13" s="261"/>
      <c r="E13" s="261"/>
      <c r="F13" s="261"/>
      <c r="G13" s="261"/>
      <c r="H13" s="261"/>
      <c r="I13" s="261"/>
      <c r="J13" s="213">
        <v>911730</v>
      </c>
      <c r="K13" s="213">
        <v>911730</v>
      </c>
      <c r="L13" s="213">
        <v>911730</v>
      </c>
      <c r="M13" s="213">
        <v>911724</v>
      </c>
      <c r="N13" s="213">
        <v>3646914</v>
      </c>
      <c r="O13" s="8"/>
      <c r="P13" s="9"/>
      <c r="R13" s="1"/>
      <c r="S13" s="1"/>
      <c r="T13" s="1"/>
      <c r="U13" s="1"/>
      <c r="V13" s="1"/>
      <c r="W13" s="1"/>
      <c r="X13" s="1"/>
      <c r="Y13" s="1"/>
      <c r="Z13" s="1"/>
      <c r="AA13" s="1"/>
      <c r="AB13" s="1"/>
      <c r="AC13" s="1"/>
      <c r="AD13" s="1"/>
      <c r="AE13" s="1"/>
      <c r="AF13" s="1"/>
      <c r="AG13" s="1"/>
      <c r="AH13" s="1"/>
      <c r="AI13" s="1"/>
      <c r="AJ13" s="1"/>
    </row>
    <row r="14" spans="1:36" s="2" customFormat="1" ht="21.95" customHeight="1" x14ac:dyDescent="0.2">
      <c r="A14" s="262"/>
      <c r="B14" s="262" t="s">
        <v>33</v>
      </c>
      <c r="C14" s="262" t="s">
        <v>17</v>
      </c>
      <c r="D14" s="262">
        <v>62000</v>
      </c>
      <c r="E14" s="262">
        <v>10003</v>
      </c>
      <c r="F14" s="6" t="s">
        <v>34</v>
      </c>
      <c r="G14" s="7" t="s">
        <v>19</v>
      </c>
      <c r="H14" s="6">
        <v>71200</v>
      </c>
      <c r="I14" s="6" t="s">
        <v>19</v>
      </c>
      <c r="J14" s="213">
        <v>9688</v>
      </c>
      <c r="K14" s="213">
        <v>9688</v>
      </c>
      <c r="L14" s="213">
        <v>9688</v>
      </c>
      <c r="M14" s="213">
        <v>9688</v>
      </c>
      <c r="N14" s="213">
        <v>38752</v>
      </c>
      <c r="O14" s="8"/>
      <c r="P14" s="9"/>
      <c r="R14" s="1"/>
      <c r="S14" s="1"/>
      <c r="T14" s="1"/>
      <c r="U14" s="1"/>
      <c r="V14" s="1"/>
      <c r="W14" s="1"/>
      <c r="X14" s="1"/>
      <c r="Y14" s="1"/>
      <c r="Z14" s="1"/>
      <c r="AA14" s="1"/>
      <c r="AB14" s="1"/>
      <c r="AC14" s="1"/>
      <c r="AD14" s="1"/>
      <c r="AE14" s="1"/>
      <c r="AF14" s="1"/>
      <c r="AG14" s="1"/>
      <c r="AH14" s="1"/>
      <c r="AI14" s="1"/>
      <c r="AJ14" s="1"/>
    </row>
    <row r="15" spans="1:36" s="2" customFormat="1" ht="21.95" customHeight="1" x14ac:dyDescent="0.2">
      <c r="A15" s="262"/>
      <c r="B15" s="262"/>
      <c r="C15" s="262"/>
      <c r="D15" s="262"/>
      <c r="E15" s="262"/>
      <c r="F15" s="6" t="s">
        <v>34</v>
      </c>
      <c r="G15" s="7" t="s">
        <v>20</v>
      </c>
      <c r="H15" s="6">
        <v>71300</v>
      </c>
      <c r="I15" s="6" t="s">
        <v>20</v>
      </c>
      <c r="J15" s="213">
        <v>38795</v>
      </c>
      <c r="K15" s="213">
        <v>38795</v>
      </c>
      <c r="L15" s="213">
        <v>38795</v>
      </c>
      <c r="M15" s="213">
        <v>38793</v>
      </c>
      <c r="N15" s="213">
        <v>155178</v>
      </c>
      <c r="O15" s="8"/>
      <c r="P15" s="9"/>
      <c r="R15" s="1"/>
      <c r="S15" s="1"/>
      <c r="T15" s="1"/>
      <c r="U15" s="1"/>
      <c r="V15" s="1"/>
      <c r="W15" s="1"/>
      <c r="X15" s="1"/>
      <c r="Y15" s="1"/>
      <c r="Z15" s="1"/>
      <c r="AA15" s="1"/>
      <c r="AB15" s="1"/>
      <c r="AC15" s="1"/>
      <c r="AD15" s="1"/>
      <c r="AE15" s="1"/>
      <c r="AF15" s="1"/>
      <c r="AG15" s="1"/>
      <c r="AH15" s="1"/>
      <c r="AI15" s="1"/>
      <c r="AJ15" s="1"/>
    </row>
    <row r="16" spans="1:36" s="2" customFormat="1" ht="21.95" customHeight="1" x14ac:dyDescent="0.2">
      <c r="A16" s="262"/>
      <c r="B16" s="262"/>
      <c r="C16" s="262"/>
      <c r="D16" s="262"/>
      <c r="E16" s="262"/>
      <c r="F16" s="6" t="s">
        <v>34</v>
      </c>
      <c r="G16" s="7" t="s">
        <v>21</v>
      </c>
      <c r="H16" s="6">
        <v>71400</v>
      </c>
      <c r="I16" s="6" t="s">
        <v>22</v>
      </c>
      <c r="J16" s="213">
        <v>595904</v>
      </c>
      <c r="K16" s="213">
        <v>595904</v>
      </c>
      <c r="L16" s="213">
        <v>595904</v>
      </c>
      <c r="M16" s="213">
        <v>595905</v>
      </c>
      <c r="N16" s="213">
        <v>2383617</v>
      </c>
      <c r="O16" s="8"/>
      <c r="P16" s="9"/>
      <c r="R16" s="1"/>
      <c r="S16" s="1"/>
      <c r="T16" s="1"/>
      <c r="U16" s="1"/>
      <c r="V16" s="1"/>
      <c r="W16" s="1"/>
      <c r="X16" s="1"/>
      <c r="Y16" s="1"/>
      <c r="Z16" s="1"/>
      <c r="AA16" s="1"/>
      <c r="AB16" s="1"/>
      <c r="AC16" s="1"/>
      <c r="AD16" s="1"/>
      <c r="AE16" s="1"/>
      <c r="AF16" s="1"/>
      <c r="AG16" s="1"/>
      <c r="AH16" s="1"/>
      <c r="AI16" s="1"/>
      <c r="AJ16" s="1"/>
    </row>
    <row r="17" spans="1:36" s="2" customFormat="1" ht="21.95" customHeight="1" x14ac:dyDescent="0.2">
      <c r="A17" s="262"/>
      <c r="B17" s="262"/>
      <c r="C17" s="262"/>
      <c r="D17" s="262"/>
      <c r="E17" s="262"/>
      <c r="F17" s="6" t="s">
        <v>34</v>
      </c>
      <c r="G17" s="7" t="s">
        <v>23</v>
      </c>
      <c r="H17" s="6">
        <v>71600</v>
      </c>
      <c r="I17" s="6" t="s">
        <v>23</v>
      </c>
      <c r="J17" s="213">
        <v>63390</v>
      </c>
      <c r="K17" s="213">
        <v>63390</v>
      </c>
      <c r="L17" s="213">
        <v>63390</v>
      </c>
      <c r="M17" s="213">
        <v>63391</v>
      </c>
      <c r="N17" s="213">
        <v>253561</v>
      </c>
      <c r="O17" s="8"/>
      <c r="P17" s="9"/>
      <c r="R17" s="1"/>
      <c r="S17" s="1"/>
      <c r="T17" s="1"/>
      <c r="U17" s="1"/>
      <c r="V17" s="1"/>
      <c r="W17" s="1"/>
      <c r="X17" s="1"/>
      <c r="Y17" s="1"/>
      <c r="Z17" s="1"/>
      <c r="AA17" s="1"/>
      <c r="AB17" s="1"/>
      <c r="AC17" s="1"/>
      <c r="AD17" s="1"/>
      <c r="AE17" s="1"/>
      <c r="AF17" s="1"/>
      <c r="AG17" s="1"/>
      <c r="AH17" s="1"/>
      <c r="AI17" s="1"/>
      <c r="AJ17" s="1"/>
    </row>
    <row r="18" spans="1:36" s="2" customFormat="1" ht="21.95" customHeight="1" x14ac:dyDescent="0.2">
      <c r="A18" s="262"/>
      <c r="B18" s="262"/>
      <c r="C18" s="262"/>
      <c r="D18" s="262"/>
      <c r="E18" s="262"/>
      <c r="F18" s="6" t="s">
        <v>34</v>
      </c>
      <c r="G18" s="7" t="s">
        <v>24</v>
      </c>
      <c r="H18" s="6">
        <v>72500</v>
      </c>
      <c r="I18" s="6" t="s">
        <v>25</v>
      </c>
      <c r="J18" s="213">
        <v>2449</v>
      </c>
      <c r="K18" s="213">
        <v>2449</v>
      </c>
      <c r="L18" s="213">
        <v>2449</v>
      </c>
      <c r="M18" s="213">
        <v>2450</v>
      </c>
      <c r="N18" s="213">
        <v>9797</v>
      </c>
      <c r="O18" s="8"/>
      <c r="P18" s="9"/>
      <c r="R18" s="1"/>
      <c r="S18" s="1"/>
      <c r="T18" s="1"/>
      <c r="U18" s="1"/>
      <c r="V18" s="1"/>
      <c r="W18" s="1"/>
      <c r="X18" s="1"/>
      <c r="Y18" s="1"/>
      <c r="Z18" s="1"/>
      <c r="AA18" s="1"/>
      <c r="AB18" s="1"/>
      <c r="AC18" s="1"/>
      <c r="AD18" s="1"/>
      <c r="AE18" s="1"/>
      <c r="AF18" s="1"/>
      <c r="AG18" s="1"/>
      <c r="AH18" s="1"/>
      <c r="AI18" s="1"/>
      <c r="AJ18" s="1"/>
    </row>
    <row r="19" spans="1:36" s="2" customFormat="1" ht="21.95" customHeight="1" x14ac:dyDescent="0.2">
      <c r="A19" s="262"/>
      <c r="B19" s="262"/>
      <c r="C19" s="262"/>
      <c r="D19" s="262"/>
      <c r="E19" s="262"/>
      <c r="F19" s="6" t="s">
        <v>34</v>
      </c>
      <c r="G19" s="7" t="s">
        <v>26</v>
      </c>
      <c r="H19" s="6">
        <v>75700</v>
      </c>
      <c r="I19" s="6" t="s">
        <v>27</v>
      </c>
      <c r="J19" s="213">
        <v>12400</v>
      </c>
      <c r="K19" s="213">
        <v>12400</v>
      </c>
      <c r="L19" s="213">
        <v>12400</v>
      </c>
      <c r="M19" s="213">
        <v>12400</v>
      </c>
      <c r="N19" s="213">
        <v>49600</v>
      </c>
      <c r="O19" s="8"/>
      <c r="P19" s="9"/>
      <c r="R19" s="1"/>
      <c r="S19" s="1"/>
      <c r="T19" s="1"/>
      <c r="U19" s="1"/>
      <c r="V19" s="1"/>
      <c r="W19" s="1"/>
      <c r="X19" s="1"/>
      <c r="Y19" s="1"/>
      <c r="Z19" s="1"/>
      <c r="AA19" s="1"/>
      <c r="AB19" s="1"/>
      <c r="AC19" s="1"/>
      <c r="AD19" s="1"/>
      <c r="AE19" s="1"/>
      <c r="AF19" s="1"/>
      <c r="AG19" s="1"/>
      <c r="AH19" s="1"/>
      <c r="AI19" s="1"/>
      <c r="AJ19" s="1"/>
    </row>
    <row r="20" spans="1:36" s="2" customFormat="1" ht="21.95" customHeight="1" x14ac:dyDescent="0.2">
      <c r="A20" s="262"/>
      <c r="B20" s="262"/>
      <c r="C20" s="262"/>
      <c r="D20" s="262"/>
      <c r="E20" s="262"/>
      <c r="F20" s="6" t="s">
        <v>34</v>
      </c>
      <c r="G20" s="7" t="s">
        <v>28</v>
      </c>
      <c r="H20" s="6">
        <v>61200</v>
      </c>
      <c r="I20" s="6" t="s">
        <v>29</v>
      </c>
      <c r="J20" s="213">
        <v>79005</v>
      </c>
      <c r="K20" s="213">
        <v>79005</v>
      </c>
      <c r="L20" s="213">
        <v>79005</v>
      </c>
      <c r="M20" s="213">
        <v>79004</v>
      </c>
      <c r="N20" s="213">
        <v>316019</v>
      </c>
      <c r="O20" s="8"/>
      <c r="P20" s="9"/>
      <c r="R20" s="1"/>
      <c r="S20" s="1"/>
      <c r="T20" s="1"/>
      <c r="U20" s="1"/>
      <c r="V20" s="1"/>
      <c r="W20" s="1"/>
      <c r="X20" s="1"/>
      <c r="Y20" s="1"/>
      <c r="Z20" s="1"/>
      <c r="AA20" s="1"/>
      <c r="AB20" s="1"/>
      <c r="AC20" s="1"/>
      <c r="AD20" s="1"/>
      <c r="AE20" s="1"/>
      <c r="AF20" s="1"/>
      <c r="AG20" s="1"/>
      <c r="AH20" s="1"/>
      <c r="AI20" s="1"/>
      <c r="AJ20" s="1"/>
    </row>
    <row r="21" spans="1:36" s="2" customFormat="1" ht="21.95" customHeight="1" x14ac:dyDescent="0.2">
      <c r="A21" s="262"/>
      <c r="B21" s="262"/>
      <c r="C21" s="262"/>
      <c r="D21" s="262"/>
      <c r="E21" s="262"/>
      <c r="F21" s="6" t="s">
        <v>34</v>
      </c>
      <c r="G21" s="7" t="s">
        <v>28</v>
      </c>
      <c r="H21" s="6">
        <v>61300</v>
      </c>
      <c r="I21" s="6" t="s">
        <v>30</v>
      </c>
      <c r="J21" s="213">
        <v>144452</v>
      </c>
      <c r="K21" s="213">
        <v>144452</v>
      </c>
      <c r="L21" s="213">
        <v>144452</v>
      </c>
      <c r="M21" s="213">
        <v>144450</v>
      </c>
      <c r="N21" s="213">
        <v>577806</v>
      </c>
      <c r="O21" s="8"/>
      <c r="P21" s="9"/>
      <c r="R21" s="1"/>
      <c r="S21" s="1"/>
      <c r="T21" s="1"/>
      <c r="U21" s="1"/>
      <c r="V21" s="1"/>
      <c r="W21" s="1"/>
      <c r="X21" s="1"/>
      <c r="Y21" s="1"/>
      <c r="Z21" s="1"/>
      <c r="AA21" s="1"/>
      <c r="AB21" s="1"/>
      <c r="AC21" s="1"/>
      <c r="AD21" s="1"/>
      <c r="AE21" s="1"/>
      <c r="AF21" s="1"/>
      <c r="AG21" s="1"/>
      <c r="AH21" s="1"/>
      <c r="AI21" s="1"/>
      <c r="AJ21" s="1"/>
    </row>
    <row r="22" spans="1:36" s="2" customFormat="1" ht="21.95" customHeight="1" x14ac:dyDescent="0.2">
      <c r="A22" s="262"/>
      <c r="B22" s="262"/>
      <c r="C22" s="263" t="s">
        <v>31</v>
      </c>
      <c r="D22" s="263"/>
      <c r="E22" s="263"/>
      <c r="F22" s="263"/>
      <c r="G22" s="263"/>
      <c r="H22" s="263"/>
      <c r="I22" s="263"/>
      <c r="J22" s="213">
        <v>946083</v>
      </c>
      <c r="K22" s="213">
        <v>946083</v>
      </c>
      <c r="L22" s="213">
        <v>946083</v>
      </c>
      <c r="M22" s="213">
        <v>946081</v>
      </c>
      <c r="N22" s="213">
        <v>3784330</v>
      </c>
      <c r="O22" s="8"/>
      <c r="P22" s="9"/>
      <c r="R22" s="1"/>
      <c r="S22" s="1"/>
      <c r="T22" s="1"/>
      <c r="U22" s="1"/>
      <c r="V22" s="1"/>
      <c r="W22" s="1"/>
      <c r="X22" s="1"/>
      <c r="Y22" s="1"/>
      <c r="Z22" s="1"/>
      <c r="AA22" s="1"/>
      <c r="AB22" s="1"/>
      <c r="AC22" s="1"/>
      <c r="AD22" s="1"/>
      <c r="AE22" s="1"/>
      <c r="AF22" s="1"/>
      <c r="AG22" s="1"/>
      <c r="AH22" s="1"/>
      <c r="AI22" s="1"/>
      <c r="AJ22" s="1"/>
    </row>
    <row r="23" spans="1:36" ht="21.95" customHeight="1" x14ac:dyDescent="0.2">
      <c r="A23" s="262"/>
      <c r="B23" s="263" t="s">
        <v>35</v>
      </c>
      <c r="C23" s="263"/>
      <c r="D23" s="263"/>
      <c r="E23" s="263"/>
      <c r="F23" s="263"/>
      <c r="G23" s="263"/>
      <c r="H23" s="263"/>
      <c r="I23" s="263"/>
      <c r="J23" s="213">
        <v>946083</v>
      </c>
      <c r="K23" s="213">
        <v>946083</v>
      </c>
      <c r="L23" s="213">
        <v>946083</v>
      </c>
      <c r="M23" s="213">
        <v>946081</v>
      </c>
      <c r="N23" s="213">
        <v>3784330</v>
      </c>
      <c r="O23" s="8"/>
      <c r="Q23" s="10"/>
      <c r="Z23" s="11"/>
      <c r="AC23" s="12"/>
      <c r="AD23" s="13"/>
    </row>
    <row r="24" spans="1:36" ht="21.95" customHeight="1" x14ac:dyDescent="0.2">
      <c r="A24" s="261" t="s">
        <v>36</v>
      </c>
      <c r="B24" s="261"/>
      <c r="C24" s="261"/>
      <c r="D24" s="261"/>
      <c r="E24" s="261"/>
      <c r="F24" s="261"/>
      <c r="G24" s="261"/>
      <c r="H24" s="261"/>
      <c r="I24" s="261"/>
      <c r="J24" s="213">
        <v>1857813</v>
      </c>
      <c r="K24" s="213">
        <v>1857813</v>
      </c>
      <c r="L24" s="213">
        <v>1857813</v>
      </c>
      <c r="M24" s="213">
        <v>1857805</v>
      </c>
      <c r="N24" s="213">
        <v>7431244</v>
      </c>
      <c r="O24" s="8"/>
      <c r="R24" s="14"/>
      <c r="Z24" s="15"/>
      <c r="AJ24" s="16"/>
    </row>
    <row r="25" spans="1:36" ht="21.95" customHeight="1" x14ac:dyDescent="0.2">
      <c r="A25" s="262" t="s">
        <v>37</v>
      </c>
      <c r="B25" s="262" t="s">
        <v>38</v>
      </c>
      <c r="C25" s="262" t="s">
        <v>17</v>
      </c>
      <c r="D25" s="262">
        <v>62000</v>
      </c>
      <c r="E25" s="262">
        <v>10003</v>
      </c>
      <c r="F25" s="6" t="s">
        <v>39</v>
      </c>
      <c r="G25" s="7" t="s">
        <v>19</v>
      </c>
      <c r="H25" s="6">
        <v>71200</v>
      </c>
      <c r="I25" s="6" t="s">
        <v>19</v>
      </c>
      <c r="J25" s="213">
        <v>8984</v>
      </c>
      <c r="K25" s="213">
        <v>8984</v>
      </c>
      <c r="L25" s="213">
        <v>8984</v>
      </c>
      <c r="M25" s="213">
        <v>8985</v>
      </c>
      <c r="N25" s="213">
        <v>35937</v>
      </c>
      <c r="O25" s="8"/>
      <c r="P25" s="9"/>
    </row>
    <row r="26" spans="1:36" ht="21.95" customHeight="1" x14ac:dyDescent="0.2">
      <c r="A26" s="262"/>
      <c r="B26" s="262"/>
      <c r="C26" s="262"/>
      <c r="D26" s="262"/>
      <c r="E26" s="262"/>
      <c r="F26" s="6" t="s">
        <v>39</v>
      </c>
      <c r="G26" s="7" t="s">
        <v>20</v>
      </c>
      <c r="H26" s="6">
        <v>71300</v>
      </c>
      <c r="I26" s="6" t="s">
        <v>20</v>
      </c>
      <c r="J26" s="213">
        <v>35977</v>
      </c>
      <c r="K26" s="213">
        <v>35977</v>
      </c>
      <c r="L26" s="213">
        <v>35977</v>
      </c>
      <c r="M26" s="213">
        <v>35977</v>
      </c>
      <c r="N26" s="213">
        <v>143908</v>
      </c>
      <c r="O26" s="8"/>
      <c r="P26" s="9"/>
    </row>
    <row r="27" spans="1:36" ht="21.95" customHeight="1" x14ac:dyDescent="0.2">
      <c r="A27" s="262"/>
      <c r="B27" s="262"/>
      <c r="C27" s="262"/>
      <c r="D27" s="262"/>
      <c r="E27" s="262"/>
      <c r="F27" s="6" t="s">
        <v>39</v>
      </c>
      <c r="G27" s="7" t="s">
        <v>21</v>
      </c>
      <c r="H27" s="6">
        <v>71400</v>
      </c>
      <c r="I27" s="6" t="s">
        <v>22</v>
      </c>
      <c r="J27" s="213">
        <v>551076</v>
      </c>
      <c r="K27" s="213">
        <v>551076</v>
      </c>
      <c r="L27" s="213">
        <v>551076</v>
      </c>
      <c r="M27" s="213">
        <v>551076</v>
      </c>
      <c r="N27" s="213">
        <v>2204304</v>
      </c>
      <c r="O27" s="8"/>
      <c r="P27" s="9"/>
    </row>
    <row r="28" spans="1:36" ht="21.95" customHeight="1" x14ac:dyDescent="0.2">
      <c r="A28" s="262"/>
      <c r="B28" s="262"/>
      <c r="C28" s="262"/>
      <c r="D28" s="262"/>
      <c r="E28" s="262"/>
      <c r="F28" s="6" t="s">
        <v>39</v>
      </c>
      <c r="G28" s="7" t="s">
        <v>23</v>
      </c>
      <c r="H28" s="6">
        <v>71600</v>
      </c>
      <c r="I28" s="6" t="s">
        <v>23</v>
      </c>
      <c r="J28" s="213">
        <v>26717</v>
      </c>
      <c r="K28" s="213">
        <v>26717</v>
      </c>
      <c r="L28" s="213">
        <v>26717</v>
      </c>
      <c r="M28" s="213">
        <v>26715</v>
      </c>
      <c r="N28" s="213">
        <v>106866</v>
      </c>
      <c r="O28" s="8"/>
      <c r="P28" s="9"/>
    </row>
    <row r="29" spans="1:36" ht="21.95" customHeight="1" x14ac:dyDescent="0.2">
      <c r="A29" s="262"/>
      <c r="B29" s="262"/>
      <c r="C29" s="262"/>
      <c r="D29" s="262"/>
      <c r="E29" s="262"/>
      <c r="F29" s="6" t="s">
        <v>39</v>
      </c>
      <c r="G29" s="6" t="s">
        <v>24</v>
      </c>
      <c r="H29" s="6">
        <v>72500</v>
      </c>
      <c r="I29" s="6" t="s">
        <v>25</v>
      </c>
      <c r="J29" s="213">
        <v>2272</v>
      </c>
      <c r="K29" s="213">
        <v>2272</v>
      </c>
      <c r="L29" s="213">
        <v>2272</v>
      </c>
      <c r="M29" s="213">
        <v>2271</v>
      </c>
      <c r="N29" s="213">
        <v>9087</v>
      </c>
      <c r="O29" s="8"/>
      <c r="P29" s="9"/>
    </row>
    <row r="30" spans="1:36" ht="21.95" customHeight="1" x14ac:dyDescent="0.2">
      <c r="A30" s="262"/>
      <c r="B30" s="262"/>
      <c r="C30" s="262"/>
      <c r="D30" s="262"/>
      <c r="E30" s="262"/>
      <c r="F30" s="6" t="s">
        <v>39</v>
      </c>
      <c r="G30" s="7" t="s">
        <v>26</v>
      </c>
      <c r="H30" s="6">
        <v>75700</v>
      </c>
      <c r="I30" s="6" t="s">
        <v>27</v>
      </c>
      <c r="J30" s="213">
        <v>11499</v>
      </c>
      <c r="K30" s="213">
        <v>11499</v>
      </c>
      <c r="L30" s="213">
        <v>11499</v>
      </c>
      <c r="M30" s="213">
        <v>11500</v>
      </c>
      <c r="N30" s="213">
        <v>45997</v>
      </c>
      <c r="O30" s="8"/>
      <c r="P30" s="9"/>
    </row>
    <row r="31" spans="1:36" ht="21.95" customHeight="1" x14ac:dyDescent="0.2">
      <c r="A31" s="262"/>
      <c r="B31" s="262"/>
      <c r="C31" s="262"/>
      <c r="D31" s="262"/>
      <c r="E31" s="262"/>
      <c r="F31" s="6" t="s">
        <v>39</v>
      </c>
      <c r="G31" s="7" t="s">
        <v>28</v>
      </c>
      <c r="H31" s="6">
        <v>61200</v>
      </c>
      <c r="I31" s="6" t="s">
        <v>29</v>
      </c>
      <c r="J31" s="213">
        <v>73266</v>
      </c>
      <c r="K31" s="213">
        <v>73266</v>
      </c>
      <c r="L31" s="213">
        <v>73266</v>
      </c>
      <c r="M31" s="213">
        <v>73267</v>
      </c>
      <c r="N31" s="213">
        <v>293065</v>
      </c>
      <c r="O31" s="8"/>
      <c r="P31" s="9"/>
    </row>
    <row r="32" spans="1:36" ht="21.95" customHeight="1" x14ac:dyDescent="0.2">
      <c r="A32" s="262"/>
      <c r="B32" s="262"/>
      <c r="C32" s="262"/>
      <c r="D32" s="262"/>
      <c r="E32" s="262"/>
      <c r="F32" s="6" t="s">
        <v>39</v>
      </c>
      <c r="G32" s="7" t="s">
        <v>28</v>
      </c>
      <c r="H32" s="6">
        <v>61300</v>
      </c>
      <c r="I32" s="6" t="s">
        <v>30</v>
      </c>
      <c r="J32" s="213">
        <v>133959</v>
      </c>
      <c r="K32" s="213">
        <v>133959</v>
      </c>
      <c r="L32" s="213">
        <v>133959</v>
      </c>
      <c r="M32" s="213">
        <v>133959</v>
      </c>
      <c r="N32" s="213">
        <v>535836</v>
      </c>
      <c r="O32" s="8"/>
      <c r="P32" s="9"/>
    </row>
    <row r="33" spans="1:36" s="2" customFormat="1" ht="21.95" customHeight="1" x14ac:dyDescent="0.2">
      <c r="A33" s="262"/>
      <c r="B33" s="262"/>
      <c r="C33" s="262"/>
      <c r="D33" s="262"/>
      <c r="E33" s="262"/>
      <c r="F33" s="6" t="s">
        <v>39</v>
      </c>
      <c r="G33" s="7" t="s">
        <v>40</v>
      </c>
      <c r="H33" s="6">
        <v>72600</v>
      </c>
      <c r="I33" s="6" t="s">
        <v>40</v>
      </c>
      <c r="J33" s="213">
        <v>4522500</v>
      </c>
      <c r="K33" s="213">
        <v>18090000</v>
      </c>
      <c r="L33" s="213">
        <v>15828750</v>
      </c>
      <c r="M33" s="213">
        <v>6783750</v>
      </c>
      <c r="N33" s="213">
        <v>45225000</v>
      </c>
      <c r="O33" s="8"/>
      <c r="P33" s="9"/>
      <c r="R33" s="1"/>
      <c r="S33" s="1"/>
      <c r="T33" s="1"/>
      <c r="U33" s="1"/>
      <c r="V33" s="1"/>
      <c r="W33" s="1"/>
      <c r="X33" s="1"/>
      <c r="Y33" s="1"/>
      <c r="Z33" s="1"/>
      <c r="AA33" s="1"/>
      <c r="AB33" s="1"/>
      <c r="AC33" s="1"/>
      <c r="AD33" s="1"/>
      <c r="AE33" s="1"/>
      <c r="AF33" s="1"/>
      <c r="AG33" s="1"/>
      <c r="AH33" s="1"/>
      <c r="AI33" s="1"/>
      <c r="AJ33" s="1"/>
    </row>
    <row r="34" spans="1:36" s="2" customFormat="1" ht="21.95" customHeight="1" x14ac:dyDescent="0.2">
      <c r="A34" s="262"/>
      <c r="B34" s="262"/>
      <c r="C34" s="261" t="s">
        <v>31</v>
      </c>
      <c r="D34" s="261"/>
      <c r="E34" s="261"/>
      <c r="F34" s="261"/>
      <c r="G34" s="261"/>
      <c r="H34" s="261"/>
      <c r="I34" s="261"/>
      <c r="J34" s="213">
        <v>5366250</v>
      </c>
      <c r="K34" s="213">
        <v>18933750</v>
      </c>
      <c r="L34" s="213">
        <v>16672500</v>
      </c>
      <c r="M34" s="213">
        <v>7627500</v>
      </c>
      <c r="N34" s="213">
        <v>48600000</v>
      </c>
      <c r="O34" s="8"/>
      <c r="P34" s="9"/>
      <c r="R34" s="1"/>
      <c r="S34" s="1"/>
      <c r="T34" s="1"/>
      <c r="U34" s="1"/>
      <c r="V34" s="1"/>
      <c r="W34" s="1"/>
      <c r="X34" s="1"/>
      <c r="Y34" s="1"/>
      <c r="Z34" s="1"/>
      <c r="AA34" s="1"/>
      <c r="AB34" s="1"/>
      <c r="AC34" s="1"/>
      <c r="AD34" s="1"/>
      <c r="AE34" s="1"/>
      <c r="AF34" s="1"/>
      <c r="AG34" s="1"/>
      <c r="AH34" s="1"/>
      <c r="AI34" s="1"/>
      <c r="AJ34" s="1"/>
    </row>
    <row r="35" spans="1:36" s="2" customFormat="1" ht="21.95" customHeight="1" x14ac:dyDescent="0.2">
      <c r="A35" s="262"/>
      <c r="B35" s="261" t="s">
        <v>41</v>
      </c>
      <c r="C35" s="261"/>
      <c r="D35" s="261"/>
      <c r="E35" s="261"/>
      <c r="F35" s="261"/>
      <c r="G35" s="261"/>
      <c r="H35" s="261"/>
      <c r="I35" s="261"/>
      <c r="J35" s="213">
        <v>5366250</v>
      </c>
      <c r="K35" s="213">
        <v>18933750</v>
      </c>
      <c r="L35" s="213">
        <v>16672500</v>
      </c>
      <c r="M35" s="213">
        <v>7627500</v>
      </c>
      <c r="N35" s="213">
        <v>48600000</v>
      </c>
      <c r="O35" s="8"/>
      <c r="P35" s="9"/>
      <c r="R35" s="1"/>
      <c r="S35" s="1"/>
      <c r="T35" s="1"/>
      <c r="U35" s="1"/>
      <c r="V35" s="1"/>
      <c r="W35" s="1"/>
      <c r="X35" s="1"/>
      <c r="Y35" s="1"/>
      <c r="Z35" s="1"/>
      <c r="AA35" s="1"/>
      <c r="AB35" s="1"/>
      <c r="AC35" s="1"/>
      <c r="AD35" s="1"/>
      <c r="AE35" s="1"/>
      <c r="AF35" s="1"/>
      <c r="AG35" s="1"/>
      <c r="AH35" s="1"/>
      <c r="AI35" s="1"/>
      <c r="AJ35" s="1"/>
    </row>
    <row r="36" spans="1:36" s="2" customFormat="1" ht="21.95" customHeight="1" x14ac:dyDescent="0.2">
      <c r="A36" s="262"/>
      <c r="B36" s="262" t="s">
        <v>42</v>
      </c>
      <c r="C36" s="262" t="s">
        <v>17</v>
      </c>
      <c r="D36" s="262">
        <v>62000</v>
      </c>
      <c r="E36" s="262">
        <v>10003</v>
      </c>
      <c r="F36" s="6" t="s">
        <v>43</v>
      </c>
      <c r="G36" s="7" t="s">
        <v>19</v>
      </c>
      <c r="H36" s="6">
        <v>71200</v>
      </c>
      <c r="I36" s="6" t="s">
        <v>19</v>
      </c>
      <c r="J36" s="213">
        <v>9323</v>
      </c>
      <c r="K36" s="213">
        <v>9323</v>
      </c>
      <c r="L36" s="213">
        <v>9323</v>
      </c>
      <c r="M36" s="213">
        <v>9322</v>
      </c>
      <c r="N36" s="213">
        <v>37291</v>
      </c>
      <c r="O36" s="8"/>
      <c r="P36" s="9"/>
      <c r="R36" s="1"/>
      <c r="S36" s="1"/>
      <c r="T36" s="1"/>
      <c r="U36" s="1"/>
      <c r="V36" s="1"/>
      <c r="W36" s="1"/>
      <c r="X36" s="1"/>
      <c r="Y36" s="1"/>
      <c r="Z36" s="1"/>
      <c r="AA36" s="1"/>
      <c r="AB36" s="1"/>
      <c r="AC36" s="1"/>
      <c r="AD36" s="1"/>
      <c r="AE36" s="1"/>
      <c r="AF36" s="1"/>
      <c r="AG36" s="1"/>
      <c r="AH36" s="1"/>
      <c r="AI36" s="1"/>
      <c r="AJ36" s="1"/>
    </row>
    <row r="37" spans="1:36" s="2" customFormat="1" ht="21.95" customHeight="1" x14ac:dyDescent="0.2">
      <c r="A37" s="262"/>
      <c r="B37" s="262"/>
      <c r="C37" s="262"/>
      <c r="D37" s="262"/>
      <c r="E37" s="262"/>
      <c r="F37" s="6" t="s">
        <v>43</v>
      </c>
      <c r="G37" s="7" t="s">
        <v>20</v>
      </c>
      <c r="H37" s="6">
        <v>71300</v>
      </c>
      <c r="I37" s="6" t="s">
        <v>20</v>
      </c>
      <c r="J37" s="213">
        <v>37333</v>
      </c>
      <c r="K37" s="213">
        <v>37333</v>
      </c>
      <c r="L37" s="213">
        <v>37333</v>
      </c>
      <c r="M37" s="213">
        <v>37332</v>
      </c>
      <c r="N37" s="213">
        <v>149331</v>
      </c>
      <c r="O37" s="8"/>
      <c r="P37" s="9"/>
      <c r="R37" s="1"/>
      <c r="S37" s="1"/>
      <c r="T37" s="1"/>
      <c r="U37" s="1"/>
      <c r="V37" s="1"/>
      <c r="W37" s="1"/>
      <c r="X37" s="1"/>
      <c r="Y37" s="1"/>
      <c r="Z37" s="1"/>
      <c r="AA37" s="1"/>
      <c r="AB37" s="1"/>
      <c r="AC37" s="1"/>
      <c r="AD37" s="1"/>
      <c r="AE37" s="1"/>
      <c r="AF37" s="1"/>
      <c r="AG37" s="1"/>
      <c r="AH37" s="1"/>
      <c r="AI37" s="1"/>
      <c r="AJ37" s="1"/>
    </row>
    <row r="38" spans="1:36" s="2" customFormat="1" ht="21.95" customHeight="1" x14ac:dyDescent="0.2">
      <c r="A38" s="262"/>
      <c r="B38" s="262"/>
      <c r="C38" s="262"/>
      <c r="D38" s="262"/>
      <c r="E38" s="262"/>
      <c r="F38" s="6" t="s">
        <v>43</v>
      </c>
      <c r="G38" s="7" t="s">
        <v>21</v>
      </c>
      <c r="H38" s="6">
        <v>71400</v>
      </c>
      <c r="I38" s="6" t="s">
        <v>22</v>
      </c>
      <c r="J38" s="213">
        <v>571841</v>
      </c>
      <c r="K38" s="213">
        <v>571841</v>
      </c>
      <c r="L38" s="213">
        <v>571841</v>
      </c>
      <c r="M38" s="213">
        <v>571839</v>
      </c>
      <c r="N38" s="213">
        <v>2287362</v>
      </c>
      <c r="O38" s="8"/>
      <c r="P38" s="9"/>
      <c r="R38" s="1"/>
      <c r="S38" s="1"/>
      <c r="T38" s="1"/>
      <c r="U38" s="1"/>
      <c r="V38" s="1"/>
      <c r="W38" s="1"/>
      <c r="X38" s="1"/>
      <c r="Y38" s="1"/>
      <c r="Z38" s="1"/>
      <c r="AA38" s="1"/>
      <c r="AB38" s="1"/>
      <c r="AC38" s="1"/>
      <c r="AD38" s="1"/>
      <c r="AE38" s="1"/>
      <c r="AF38" s="1"/>
      <c r="AG38" s="1"/>
      <c r="AH38" s="1"/>
      <c r="AI38" s="1"/>
      <c r="AJ38" s="1"/>
    </row>
    <row r="39" spans="1:36" s="2" customFormat="1" ht="21.95" customHeight="1" x14ac:dyDescent="0.2">
      <c r="A39" s="262"/>
      <c r="B39" s="262"/>
      <c r="C39" s="262"/>
      <c r="D39" s="262"/>
      <c r="E39" s="262"/>
      <c r="F39" s="6" t="s">
        <v>43</v>
      </c>
      <c r="G39" s="7" t="s">
        <v>23</v>
      </c>
      <c r="H39" s="6">
        <v>71600</v>
      </c>
      <c r="I39" s="6" t="s">
        <v>23</v>
      </c>
      <c r="J39" s="213">
        <v>27723</v>
      </c>
      <c r="K39" s="213">
        <v>27723</v>
      </c>
      <c r="L39" s="213">
        <v>27723</v>
      </c>
      <c r="M39" s="213">
        <v>27724</v>
      </c>
      <c r="N39" s="213">
        <v>110893</v>
      </c>
      <c r="O39" s="8"/>
      <c r="P39" s="214"/>
      <c r="R39" s="1"/>
      <c r="S39" s="1"/>
      <c r="T39" s="1"/>
      <c r="U39" s="1"/>
      <c r="V39" s="1"/>
      <c r="W39" s="1"/>
      <c r="X39" s="1"/>
      <c r="Y39" s="1"/>
      <c r="Z39" s="1"/>
      <c r="AA39" s="1"/>
      <c r="AB39" s="1"/>
      <c r="AC39" s="1"/>
      <c r="AD39" s="1"/>
      <c r="AE39" s="1"/>
      <c r="AF39" s="1"/>
      <c r="AG39" s="1"/>
      <c r="AH39" s="1"/>
      <c r="AI39" s="1"/>
      <c r="AJ39" s="1"/>
    </row>
    <row r="40" spans="1:36" s="2" customFormat="1" ht="21.95" customHeight="1" x14ac:dyDescent="0.2">
      <c r="A40" s="262"/>
      <c r="B40" s="262"/>
      <c r="C40" s="262"/>
      <c r="D40" s="262"/>
      <c r="E40" s="262"/>
      <c r="F40" s="6" t="s">
        <v>43</v>
      </c>
      <c r="G40" s="6" t="s">
        <v>24</v>
      </c>
      <c r="H40" s="6">
        <v>72500</v>
      </c>
      <c r="I40" s="6" t="s">
        <v>25</v>
      </c>
      <c r="J40" s="213">
        <v>2357</v>
      </c>
      <c r="K40" s="213">
        <v>2357</v>
      </c>
      <c r="L40" s="213">
        <v>2357</v>
      </c>
      <c r="M40" s="213">
        <v>2358</v>
      </c>
      <c r="N40" s="213">
        <v>9429</v>
      </c>
      <c r="O40" s="8"/>
      <c r="P40" s="214"/>
      <c r="R40" s="1"/>
      <c r="S40" s="1"/>
      <c r="T40" s="1"/>
      <c r="U40" s="1"/>
      <c r="V40" s="1"/>
      <c r="W40" s="1"/>
      <c r="X40" s="1"/>
      <c r="Y40" s="1"/>
      <c r="Z40" s="1"/>
      <c r="AA40" s="1"/>
      <c r="AB40" s="1"/>
      <c r="AC40" s="1"/>
      <c r="AD40" s="1"/>
      <c r="AE40" s="1"/>
      <c r="AF40" s="1"/>
      <c r="AG40" s="1"/>
      <c r="AH40" s="1"/>
      <c r="AI40" s="1"/>
      <c r="AJ40" s="1"/>
    </row>
    <row r="41" spans="1:36" ht="21.95" customHeight="1" x14ac:dyDescent="0.2">
      <c r="A41" s="262"/>
      <c r="B41" s="262"/>
      <c r="C41" s="262"/>
      <c r="D41" s="262"/>
      <c r="E41" s="262"/>
      <c r="F41" s="6" t="s">
        <v>43</v>
      </c>
      <c r="G41" s="7" t="s">
        <v>26</v>
      </c>
      <c r="H41" s="6">
        <v>75700</v>
      </c>
      <c r="I41" s="6" t="s">
        <v>27</v>
      </c>
      <c r="J41" s="213">
        <v>11933</v>
      </c>
      <c r="K41" s="213">
        <v>11933</v>
      </c>
      <c r="L41" s="213">
        <v>11933</v>
      </c>
      <c r="M41" s="213">
        <v>11931</v>
      </c>
      <c r="N41" s="213">
        <v>47730</v>
      </c>
      <c r="O41" s="8"/>
      <c r="P41" s="9"/>
    </row>
    <row r="42" spans="1:36" ht="21.95" customHeight="1" x14ac:dyDescent="0.2">
      <c r="A42" s="262"/>
      <c r="B42" s="262"/>
      <c r="C42" s="262"/>
      <c r="D42" s="262"/>
      <c r="E42" s="262"/>
      <c r="F42" s="6" t="s">
        <v>43</v>
      </c>
      <c r="G42" s="7" t="s">
        <v>28</v>
      </c>
      <c r="H42" s="6">
        <v>61200</v>
      </c>
      <c r="I42" s="6" t="s">
        <v>29</v>
      </c>
      <c r="J42" s="213">
        <v>76027</v>
      </c>
      <c r="K42" s="213">
        <v>76027</v>
      </c>
      <c r="L42" s="213">
        <v>76027</v>
      </c>
      <c r="M42" s="213">
        <v>76027</v>
      </c>
      <c r="N42" s="213">
        <v>304108</v>
      </c>
      <c r="O42" s="8"/>
      <c r="P42" s="9"/>
    </row>
    <row r="43" spans="1:36" ht="21.95" customHeight="1" x14ac:dyDescent="0.2">
      <c r="A43" s="262"/>
      <c r="B43" s="262"/>
      <c r="C43" s="262"/>
      <c r="D43" s="262"/>
      <c r="E43" s="262"/>
      <c r="F43" s="6" t="s">
        <v>43</v>
      </c>
      <c r="G43" s="7" t="s">
        <v>28</v>
      </c>
      <c r="H43" s="6">
        <v>61300</v>
      </c>
      <c r="I43" s="6" t="s">
        <v>30</v>
      </c>
      <c r="J43" s="213">
        <v>139007</v>
      </c>
      <c r="K43" s="213">
        <v>139007</v>
      </c>
      <c r="L43" s="213">
        <v>139007</v>
      </c>
      <c r="M43" s="213">
        <v>139005.00999999791</v>
      </c>
      <c r="N43" s="213">
        <v>556026.00999999791</v>
      </c>
      <c r="O43" s="8"/>
      <c r="P43" s="9"/>
    </row>
    <row r="44" spans="1:36" ht="21.95" customHeight="1" x14ac:dyDescent="0.2">
      <c r="A44" s="262"/>
      <c r="B44" s="262"/>
      <c r="C44" s="262"/>
      <c r="D44" s="262"/>
      <c r="E44" s="262"/>
      <c r="F44" s="6" t="s">
        <v>43</v>
      </c>
      <c r="G44" s="7" t="s">
        <v>40</v>
      </c>
      <c r="H44" s="6">
        <v>72600</v>
      </c>
      <c r="I44" s="6" t="s">
        <v>40</v>
      </c>
      <c r="J44" s="213">
        <v>4692908</v>
      </c>
      <c r="K44" s="213">
        <v>18771630</v>
      </c>
      <c r="L44" s="213">
        <v>16425177</v>
      </c>
      <c r="M44" s="213">
        <v>7039360.9900000021</v>
      </c>
      <c r="N44" s="213">
        <v>46929075.990000002</v>
      </c>
      <c r="O44" s="8"/>
      <c r="P44" s="9"/>
    </row>
    <row r="45" spans="1:36" ht="21.95" customHeight="1" x14ac:dyDescent="0.2">
      <c r="A45" s="262"/>
      <c r="B45" s="262"/>
      <c r="C45" s="263" t="s">
        <v>31</v>
      </c>
      <c r="D45" s="263"/>
      <c r="E45" s="263"/>
      <c r="F45" s="263"/>
      <c r="G45" s="263"/>
      <c r="H45" s="263"/>
      <c r="I45" s="263"/>
      <c r="J45" s="213">
        <v>5568452</v>
      </c>
      <c r="K45" s="213">
        <v>19647174</v>
      </c>
      <c r="L45" s="213">
        <v>17300721</v>
      </c>
      <c r="M45" s="213">
        <v>7914899</v>
      </c>
      <c r="N45" s="213">
        <v>50431246</v>
      </c>
      <c r="O45" s="8"/>
      <c r="P45" s="9"/>
    </row>
    <row r="46" spans="1:36" ht="21.95" customHeight="1" x14ac:dyDescent="0.2">
      <c r="A46" s="262"/>
      <c r="B46" s="263" t="s">
        <v>44</v>
      </c>
      <c r="C46" s="263"/>
      <c r="D46" s="263"/>
      <c r="E46" s="263"/>
      <c r="F46" s="263"/>
      <c r="G46" s="263"/>
      <c r="H46" s="263"/>
      <c r="I46" s="263"/>
      <c r="J46" s="213">
        <v>5568452</v>
      </c>
      <c r="K46" s="213">
        <v>19647174</v>
      </c>
      <c r="L46" s="213">
        <v>17300721</v>
      </c>
      <c r="M46" s="213">
        <v>7914899</v>
      </c>
      <c r="N46" s="213">
        <v>50431246</v>
      </c>
      <c r="O46" s="8"/>
      <c r="Q46" s="10"/>
      <c r="Z46" s="11"/>
      <c r="AC46" s="12"/>
      <c r="AD46" s="13"/>
    </row>
    <row r="47" spans="1:36" ht="21.95" customHeight="1" x14ac:dyDescent="0.2">
      <c r="A47" s="261" t="s">
        <v>45</v>
      </c>
      <c r="B47" s="261"/>
      <c r="C47" s="261"/>
      <c r="D47" s="261"/>
      <c r="E47" s="261"/>
      <c r="F47" s="261"/>
      <c r="G47" s="261"/>
      <c r="H47" s="261"/>
      <c r="I47" s="261"/>
      <c r="J47" s="213">
        <v>10934702</v>
      </c>
      <c r="K47" s="213">
        <v>38580924</v>
      </c>
      <c r="L47" s="213">
        <v>33973221</v>
      </c>
      <c r="M47" s="213">
        <v>15542399</v>
      </c>
      <c r="N47" s="213">
        <v>99031246</v>
      </c>
      <c r="O47" s="8"/>
      <c r="R47" s="14"/>
      <c r="Z47" s="15"/>
      <c r="AJ47" s="16"/>
    </row>
    <row r="48" spans="1:36" s="2" customFormat="1" ht="21.95" customHeight="1" x14ac:dyDescent="0.2">
      <c r="A48" s="262" t="s">
        <v>46</v>
      </c>
      <c r="B48" s="262" t="s">
        <v>47</v>
      </c>
      <c r="C48" s="262" t="s">
        <v>17</v>
      </c>
      <c r="D48" s="262">
        <v>62000</v>
      </c>
      <c r="E48" s="262">
        <v>10003</v>
      </c>
      <c r="F48" s="6" t="s">
        <v>48</v>
      </c>
      <c r="G48" s="7" t="s">
        <v>19</v>
      </c>
      <c r="H48" s="6">
        <v>71200</v>
      </c>
      <c r="I48" s="6" t="s">
        <v>19</v>
      </c>
      <c r="J48" s="213">
        <v>4976</v>
      </c>
      <c r="K48" s="213">
        <v>4976</v>
      </c>
      <c r="L48" s="213">
        <v>4976</v>
      </c>
      <c r="M48" s="213">
        <v>4976</v>
      </c>
      <c r="N48" s="213">
        <v>19904</v>
      </c>
      <c r="O48" s="8"/>
      <c r="P48" s="9"/>
      <c r="R48" s="1"/>
      <c r="S48" s="1"/>
      <c r="T48" s="1"/>
      <c r="U48" s="1"/>
      <c r="V48" s="1"/>
      <c r="W48" s="1"/>
      <c r="X48" s="1"/>
      <c r="Y48" s="1"/>
      <c r="Z48" s="1"/>
      <c r="AA48" s="1"/>
      <c r="AB48" s="1"/>
      <c r="AC48" s="1"/>
      <c r="AD48" s="1"/>
      <c r="AE48" s="1"/>
      <c r="AF48" s="1"/>
      <c r="AG48" s="1"/>
      <c r="AH48" s="1"/>
      <c r="AI48" s="1"/>
      <c r="AJ48" s="1"/>
    </row>
    <row r="49" spans="1:36" s="2" customFormat="1" ht="21.95" customHeight="1" x14ac:dyDescent="0.2">
      <c r="A49" s="262"/>
      <c r="B49" s="262"/>
      <c r="C49" s="262"/>
      <c r="D49" s="262"/>
      <c r="E49" s="262"/>
      <c r="F49" s="6" t="s">
        <v>48</v>
      </c>
      <c r="G49" s="7" t="s">
        <v>20</v>
      </c>
      <c r="H49" s="6">
        <v>71300</v>
      </c>
      <c r="I49" s="6" t="s">
        <v>20</v>
      </c>
      <c r="J49" s="213">
        <v>19926</v>
      </c>
      <c r="K49" s="213">
        <v>19926</v>
      </c>
      <c r="L49" s="213">
        <v>19926</v>
      </c>
      <c r="M49" s="213">
        <v>19925</v>
      </c>
      <c r="N49" s="213">
        <v>79703</v>
      </c>
      <c r="O49" s="8"/>
      <c r="P49" s="9"/>
      <c r="R49" s="1"/>
      <c r="S49" s="1"/>
      <c r="T49" s="1"/>
      <c r="U49" s="1"/>
      <c r="V49" s="1"/>
      <c r="W49" s="1"/>
      <c r="X49" s="1"/>
      <c r="Y49" s="1"/>
      <c r="Z49" s="1"/>
      <c r="AA49" s="1"/>
      <c r="AB49" s="1"/>
      <c r="AC49" s="1"/>
      <c r="AD49" s="1"/>
      <c r="AE49" s="1"/>
      <c r="AF49" s="1"/>
      <c r="AG49" s="1"/>
      <c r="AH49" s="1"/>
      <c r="AI49" s="1"/>
      <c r="AJ49" s="1"/>
    </row>
    <row r="50" spans="1:36" s="2" customFormat="1" ht="21.95" customHeight="1" x14ac:dyDescent="0.2">
      <c r="A50" s="262"/>
      <c r="B50" s="262"/>
      <c r="C50" s="262"/>
      <c r="D50" s="262"/>
      <c r="E50" s="262"/>
      <c r="F50" s="6" t="s">
        <v>48</v>
      </c>
      <c r="G50" s="7" t="s">
        <v>21</v>
      </c>
      <c r="H50" s="6">
        <v>71400</v>
      </c>
      <c r="I50" s="6" t="s">
        <v>22</v>
      </c>
      <c r="J50" s="213">
        <v>300066</v>
      </c>
      <c r="K50" s="213">
        <v>300066</v>
      </c>
      <c r="L50" s="213">
        <v>300066</v>
      </c>
      <c r="M50" s="213">
        <v>300065</v>
      </c>
      <c r="N50" s="213">
        <v>1200263</v>
      </c>
      <c r="O50" s="8"/>
      <c r="P50" s="9"/>
      <c r="R50" s="1"/>
      <c r="S50" s="1"/>
      <c r="T50" s="1"/>
      <c r="U50" s="1"/>
      <c r="V50" s="1"/>
      <c r="W50" s="1"/>
      <c r="X50" s="1"/>
      <c r="Y50" s="1"/>
      <c r="Z50" s="1"/>
      <c r="AA50" s="1"/>
      <c r="AB50" s="1"/>
      <c r="AC50" s="1"/>
      <c r="AD50" s="1"/>
      <c r="AE50" s="1"/>
      <c r="AF50" s="1"/>
      <c r="AG50" s="1"/>
      <c r="AH50" s="1"/>
      <c r="AI50" s="1"/>
      <c r="AJ50" s="1"/>
    </row>
    <row r="51" spans="1:36" s="2" customFormat="1" ht="21.95" customHeight="1" x14ac:dyDescent="0.2">
      <c r="A51" s="262"/>
      <c r="B51" s="262"/>
      <c r="C51" s="262"/>
      <c r="D51" s="262"/>
      <c r="E51" s="262"/>
      <c r="F51" s="6" t="s">
        <v>48</v>
      </c>
      <c r="G51" s="7" t="s">
        <v>23</v>
      </c>
      <c r="H51" s="6">
        <v>71600</v>
      </c>
      <c r="I51" s="6" t="s">
        <v>23</v>
      </c>
      <c r="J51" s="213">
        <v>57575</v>
      </c>
      <c r="K51" s="213">
        <v>57575</v>
      </c>
      <c r="L51" s="213">
        <v>57575</v>
      </c>
      <c r="M51" s="213">
        <v>57575</v>
      </c>
      <c r="N51" s="213">
        <v>230300</v>
      </c>
      <c r="O51" s="8"/>
      <c r="P51" s="9"/>
      <c r="R51" s="1"/>
      <c r="S51" s="1"/>
      <c r="T51" s="1"/>
      <c r="U51" s="1"/>
      <c r="V51" s="1"/>
      <c r="W51" s="1"/>
      <c r="X51" s="1"/>
      <c r="Y51" s="1"/>
      <c r="Z51" s="1"/>
      <c r="AA51" s="1"/>
      <c r="AB51" s="1"/>
      <c r="AC51" s="1"/>
      <c r="AD51" s="1"/>
      <c r="AE51" s="1"/>
      <c r="AF51" s="1"/>
      <c r="AG51" s="1"/>
      <c r="AH51" s="1"/>
      <c r="AI51" s="1"/>
      <c r="AJ51" s="1"/>
    </row>
    <row r="52" spans="1:36" s="2" customFormat="1" ht="21.95" customHeight="1" x14ac:dyDescent="0.2">
      <c r="A52" s="262"/>
      <c r="B52" s="262"/>
      <c r="C52" s="262"/>
      <c r="D52" s="262"/>
      <c r="E52" s="262"/>
      <c r="F52" s="6" t="s">
        <v>48</v>
      </c>
      <c r="G52" s="7" t="s">
        <v>24</v>
      </c>
      <c r="H52" s="6">
        <v>72500</v>
      </c>
      <c r="I52" s="6" t="s">
        <v>25</v>
      </c>
      <c r="J52" s="213">
        <v>1258</v>
      </c>
      <c r="K52" s="213">
        <v>1258</v>
      </c>
      <c r="L52" s="213">
        <v>1258</v>
      </c>
      <c r="M52" s="213">
        <v>1259</v>
      </c>
      <c r="N52" s="213">
        <v>5033</v>
      </c>
      <c r="O52" s="8"/>
      <c r="P52" s="9"/>
      <c r="R52" s="1"/>
      <c r="S52" s="1"/>
      <c r="T52" s="1"/>
      <c r="U52" s="1"/>
      <c r="V52" s="1"/>
      <c r="W52" s="1"/>
      <c r="X52" s="1"/>
      <c r="Y52" s="1"/>
      <c r="Z52" s="1"/>
      <c r="AA52" s="1"/>
      <c r="AB52" s="1"/>
      <c r="AC52" s="1"/>
      <c r="AD52" s="1"/>
      <c r="AE52" s="1"/>
      <c r="AF52" s="1"/>
      <c r="AG52" s="1"/>
      <c r="AH52" s="1"/>
      <c r="AI52" s="1"/>
      <c r="AJ52" s="1"/>
    </row>
    <row r="53" spans="1:36" s="2" customFormat="1" ht="21.95" customHeight="1" x14ac:dyDescent="0.2">
      <c r="A53" s="262"/>
      <c r="B53" s="262"/>
      <c r="C53" s="262"/>
      <c r="D53" s="262"/>
      <c r="E53" s="262"/>
      <c r="F53" s="6" t="s">
        <v>48</v>
      </c>
      <c r="G53" s="7" t="s">
        <v>23</v>
      </c>
      <c r="H53" s="6">
        <v>74500</v>
      </c>
      <c r="I53" s="6" t="s">
        <v>49</v>
      </c>
      <c r="J53" s="213">
        <v>1310</v>
      </c>
      <c r="K53" s="213">
        <v>1310</v>
      </c>
      <c r="L53" s="213">
        <v>1310</v>
      </c>
      <c r="M53" s="213">
        <v>1309</v>
      </c>
      <c r="N53" s="213">
        <v>5239</v>
      </c>
      <c r="O53" s="8"/>
      <c r="P53" s="9"/>
      <c r="R53" s="1"/>
      <c r="S53" s="1"/>
      <c r="T53" s="1"/>
      <c r="U53" s="1"/>
      <c r="V53" s="1"/>
      <c r="W53" s="1"/>
      <c r="X53" s="1"/>
      <c r="Y53" s="1"/>
      <c r="Z53" s="1"/>
      <c r="AA53" s="1"/>
      <c r="AB53" s="1"/>
      <c r="AC53" s="1"/>
      <c r="AD53" s="1"/>
      <c r="AE53" s="1"/>
      <c r="AF53" s="1"/>
      <c r="AG53" s="1"/>
      <c r="AH53" s="1"/>
      <c r="AI53" s="1"/>
      <c r="AJ53" s="1"/>
    </row>
    <row r="54" spans="1:36" s="2" customFormat="1" ht="21.95" customHeight="1" x14ac:dyDescent="0.2">
      <c r="A54" s="262"/>
      <c r="B54" s="262"/>
      <c r="C54" s="262"/>
      <c r="D54" s="262"/>
      <c r="E54" s="262"/>
      <c r="F54" s="6" t="s">
        <v>48</v>
      </c>
      <c r="G54" s="7" t="s">
        <v>26</v>
      </c>
      <c r="H54" s="6">
        <v>75700</v>
      </c>
      <c r="I54" s="6" t="s">
        <v>27</v>
      </c>
      <c r="J54" s="213">
        <v>6369</v>
      </c>
      <c r="K54" s="213">
        <v>6369</v>
      </c>
      <c r="L54" s="213">
        <v>6369</v>
      </c>
      <c r="M54" s="213">
        <v>6368</v>
      </c>
      <c r="N54" s="213">
        <v>25475</v>
      </c>
      <c r="O54" s="8"/>
      <c r="P54" s="9"/>
      <c r="R54" s="1"/>
      <c r="S54" s="1"/>
      <c r="T54" s="1"/>
      <c r="U54" s="1"/>
      <c r="V54" s="1"/>
      <c r="W54" s="1"/>
      <c r="X54" s="1"/>
      <c r="Y54" s="1"/>
      <c r="Z54" s="1"/>
      <c r="AA54" s="1"/>
      <c r="AB54" s="1"/>
      <c r="AC54" s="1"/>
      <c r="AD54" s="1"/>
      <c r="AE54" s="1"/>
      <c r="AF54" s="1"/>
      <c r="AG54" s="1"/>
      <c r="AH54" s="1"/>
      <c r="AI54" s="1"/>
      <c r="AJ54" s="1"/>
    </row>
    <row r="55" spans="1:36" s="2" customFormat="1" ht="21.95" customHeight="1" x14ac:dyDescent="0.2">
      <c r="A55" s="262"/>
      <c r="B55" s="262"/>
      <c r="C55" s="262"/>
      <c r="D55" s="262"/>
      <c r="E55" s="262"/>
      <c r="F55" s="6" t="s">
        <v>48</v>
      </c>
      <c r="G55" s="7" t="s">
        <v>28</v>
      </c>
      <c r="H55" s="6">
        <v>61200</v>
      </c>
      <c r="I55" s="6" t="s">
        <v>29</v>
      </c>
      <c r="J55" s="213">
        <v>40578</v>
      </c>
      <c r="K55" s="213">
        <v>40578</v>
      </c>
      <c r="L55" s="213">
        <v>40578</v>
      </c>
      <c r="M55" s="213">
        <v>40578</v>
      </c>
      <c r="N55" s="213">
        <v>162312</v>
      </c>
      <c r="O55" s="8"/>
      <c r="P55" s="9"/>
      <c r="R55" s="1"/>
      <c r="S55" s="1"/>
      <c r="T55" s="1"/>
      <c r="U55" s="1"/>
      <c r="V55" s="1"/>
      <c r="W55" s="1"/>
      <c r="X55" s="1"/>
      <c r="Y55" s="1"/>
      <c r="Z55" s="1"/>
      <c r="AA55" s="1"/>
      <c r="AB55" s="1"/>
      <c r="AC55" s="1"/>
      <c r="AD55" s="1"/>
      <c r="AE55" s="1"/>
      <c r="AF55" s="1"/>
      <c r="AG55" s="1"/>
      <c r="AH55" s="1"/>
      <c r="AI55" s="1"/>
      <c r="AJ55" s="1"/>
    </row>
    <row r="56" spans="1:36" s="2" customFormat="1" ht="21.95" customHeight="1" x14ac:dyDescent="0.2">
      <c r="A56" s="262"/>
      <c r="B56" s="262"/>
      <c r="C56" s="262"/>
      <c r="D56" s="262"/>
      <c r="E56" s="262"/>
      <c r="F56" s="6" t="s">
        <v>48</v>
      </c>
      <c r="G56" s="7" t="s">
        <v>28</v>
      </c>
      <c r="H56" s="6">
        <v>61300</v>
      </c>
      <c r="I56" s="6" t="s">
        <v>30</v>
      </c>
      <c r="J56" s="213">
        <v>74193</v>
      </c>
      <c r="K56" s="213">
        <v>74193</v>
      </c>
      <c r="L56" s="213">
        <v>74193</v>
      </c>
      <c r="M56" s="213">
        <v>74192</v>
      </c>
      <c r="N56" s="213">
        <v>296771</v>
      </c>
      <c r="O56" s="8"/>
      <c r="P56" s="9"/>
      <c r="R56" s="1"/>
      <c r="S56" s="1"/>
      <c r="T56" s="1"/>
      <c r="U56" s="1"/>
      <c r="V56" s="1"/>
      <c r="W56" s="1"/>
      <c r="X56" s="1"/>
      <c r="Y56" s="1"/>
      <c r="Z56" s="1"/>
      <c r="AA56" s="1"/>
      <c r="AB56" s="1"/>
      <c r="AC56" s="1"/>
      <c r="AD56" s="1"/>
      <c r="AE56" s="1"/>
      <c r="AF56" s="1"/>
      <c r="AG56" s="1"/>
      <c r="AH56" s="1"/>
      <c r="AI56" s="1"/>
      <c r="AJ56" s="1"/>
    </row>
    <row r="57" spans="1:36" s="2" customFormat="1" ht="21.95" customHeight="1" x14ac:dyDescent="0.2">
      <c r="A57" s="262"/>
      <c r="B57" s="262"/>
      <c r="C57" s="261" t="s">
        <v>31</v>
      </c>
      <c r="D57" s="261"/>
      <c r="E57" s="261"/>
      <c r="F57" s="261"/>
      <c r="G57" s="261"/>
      <c r="H57" s="261"/>
      <c r="I57" s="261"/>
      <c r="J57" s="213">
        <v>506251</v>
      </c>
      <c r="K57" s="213">
        <v>506251</v>
      </c>
      <c r="L57" s="213">
        <v>506251</v>
      </c>
      <c r="M57" s="213">
        <v>506247</v>
      </c>
      <c r="N57" s="213">
        <v>2025000</v>
      </c>
      <c r="O57" s="8"/>
      <c r="P57" s="9"/>
      <c r="R57" s="1"/>
      <c r="S57" s="1"/>
      <c r="T57" s="1"/>
      <c r="U57" s="1"/>
      <c r="V57" s="1"/>
      <c r="W57" s="1"/>
      <c r="X57" s="1"/>
      <c r="Y57" s="1"/>
      <c r="Z57" s="1"/>
      <c r="AA57" s="1"/>
      <c r="AB57" s="1"/>
      <c r="AC57" s="1"/>
      <c r="AD57" s="1"/>
      <c r="AE57" s="1"/>
      <c r="AF57" s="1"/>
      <c r="AG57" s="1"/>
      <c r="AH57" s="1"/>
      <c r="AI57" s="1"/>
      <c r="AJ57" s="1"/>
    </row>
    <row r="58" spans="1:36" s="2" customFormat="1" ht="21.95" customHeight="1" x14ac:dyDescent="0.2">
      <c r="A58" s="262"/>
      <c r="B58" s="261" t="s">
        <v>50</v>
      </c>
      <c r="C58" s="261"/>
      <c r="D58" s="261"/>
      <c r="E58" s="261"/>
      <c r="F58" s="261"/>
      <c r="G58" s="261"/>
      <c r="H58" s="261"/>
      <c r="I58" s="261"/>
      <c r="J58" s="213">
        <v>506251</v>
      </c>
      <c r="K58" s="213">
        <v>506251</v>
      </c>
      <c r="L58" s="213">
        <v>506251</v>
      </c>
      <c r="M58" s="213">
        <v>506247</v>
      </c>
      <c r="N58" s="213">
        <v>2025000</v>
      </c>
      <c r="O58" s="8"/>
      <c r="P58" s="9"/>
      <c r="R58" s="1"/>
      <c r="S58" s="1"/>
      <c r="T58" s="1"/>
      <c r="U58" s="1"/>
      <c r="V58" s="1"/>
      <c r="W58" s="1"/>
      <c r="X58" s="1"/>
      <c r="Y58" s="1"/>
      <c r="Z58" s="1"/>
      <c r="AA58" s="1"/>
      <c r="AB58" s="1"/>
      <c r="AC58" s="1"/>
      <c r="AD58" s="1"/>
      <c r="AE58" s="1"/>
      <c r="AF58" s="1"/>
      <c r="AG58" s="1"/>
      <c r="AH58" s="1"/>
      <c r="AI58" s="1"/>
      <c r="AJ58" s="1"/>
    </row>
    <row r="59" spans="1:36" s="2" customFormat="1" ht="21.95" customHeight="1" x14ac:dyDescent="0.2">
      <c r="A59" s="262"/>
      <c r="B59" s="262" t="s">
        <v>51</v>
      </c>
      <c r="C59" s="262" t="s">
        <v>17</v>
      </c>
      <c r="D59" s="262">
        <v>62000</v>
      </c>
      <c r="E59" s="262">
        <v>10003</v>
      </c>
      <c r="F59" s="6" t="s">
        <v>52</v>
      </c>
      <c r="G59" s="7" t="s">
        <v>19</v>
      </c>
      <c r="H59" s="6">
        <v>71200</v>
      </c>
      <c r="I59" s="6" t="s">
        <v>19</v>
      </c>
      <c r="J59" s="213">
        <v>5164</v>
      </c>
      <c r="K59" s="213">
        <v>5164</v>
      </c>
      <c r="L59" s="213">
        <v>5164</v>
      </c>
      <c r="M59" s="213">
        <v>5163</v>
      </c>
      <c r="N59" s="213">
        <v>20655</v>
      </c>
      <c r="O59" s="8"/>
      <c r="P59" s="9"/>
      <c r="R59" s="1"/>
      <c r="S59" s="1"/>
      <c r="T59" s="1"/>
      <c r="U59" s="1"/>
      <c r="V59" s="1"/>
      <c r="W59" s="1"/>
      <c r="X59" s="1"/>
      <c r="Y59" s="1"/>
      <c r="Z59" s="1"/>
      <c r="AA59" s="1"/>
      <c r="AB59" s="1"/>
      <c r="AC59" s="1"/>
      <c r="AD59" s="1"/>
      <c r="AE59" s="1"/>
      <c r="AF59" s="1"/>
      <c r="AG59" s="1"/>
      <c r="AH59" s="1"/>
      <c r="AI59" s="1"/>
      <c r="AJ59" s="1"/>
    </row>
    <row r="60" spans="1:36" s="2" customFormat="1" ht="21.95" customHeight="1" x14ac:dyDescent="0.2">
      <c r="A60" s="262"/>
      <c r="B60" s="262"/>
      <c r="C60" s="262"/>
      <c r="D60" s="262"/>
      <c r="E60" s="262"/>
      <c r="F60" s="6" t="s">
        <v>52</v>
      </c>
      <c r="G60" s="7" t="s">
        <v>20</v>
      </c>
      <c r="H60" s="6">
        <v>71300</v>
      </c>
      <c r="I60" s="6" t="s">
        <v>20</v>
      </c>
      <c r="J60" s="213">
        <v>20677</v>
      </c>
      <c r="K60" s="213">
        <v>20677</v>
      </c>
      <c r="L60" s="213">
        <v>20677</v>
      </c>
      <c r="M60" s="213">
        <v>20675</v>
      </c>
      <c r="N60" s="213">
        <v>82706</v>
      </c>
      <c r="O60" s="8"/>
      <c r="P60" s="9"/>
      <c r="R60" s="1"/>
      <c r="S60" s="1"/>
      <c r="T60" s="1"/>
      <c r="U60" s="1"/>
      <c r="V60" s="1"/>
      <c r="W60" s="1"/>
      <c r="X60" s="1"/>
      <c r="Y60" s="1"/>
      <c r="Z60" s="1"/>
      <c r="AA60" s="1"/>
      <c r="AB60" s="1"/>
      <c r="AC60" s="1"/>
      <c r="AD60" s="1"/>
      <c r="AE60" s="1"/>
      <c r="AF60" s="1"/>
      <c r="AG60" s="1"/>
      <c r="AH60" s="1"/>
      <c r="AI60" s="1"/>
      <c r="AJ60" s="1"/>
    </row>
    <row r="61" spans="1:36" s="2" customFormat="1" ht="21.95" customHeight="1" x14ac:dyDescent="0.2">
      <c r="A61" s="262"/>
      <c r="B61" s="262"/>
      <c r="C61" s="262"/>
      <c r="D61" s="262"/>
      <c r="E61" s="262"/>
      <c r="F61" s="6" t="s">
        <v>52</v>
      </c>
      <c r="G61" s="7" t="s">
        <v>21</v>
      </c>
      <c r="H61" s="6">
        <v>71400</v>
      </c>
      <c r="I61" s="6" t="s">
        <v>22</v>
      </c>
      <c r="J61" s="213">
        <v>311372</v>
      </c>
      <c r="K61" s="213">
        <v>311372</v>
      </c>
      <c r="L61" s="213">
        <v>311372</v>
      </c>
      <c r="M61" s="213">
        <v>311373</v>
      </c>
      <c r="N61" s="213">
        <v>1245489</v>
      </c>
      <c r="O61" s="8"/>
      <c r="P61" s="9"/>
      <c r="R61" s="1"/>
      <c r="S61" s="1"/>
      <c r="T61" s="1"/>
      <c r="U61" s="1"/>
      <c r="V61" s="1"/>
      <c r="W61" s="1"/>
      <c r="X61" s="1"/>
      <c r="Y61" s="1"/>
      <c r="Z61" s="1"/>
      <c r="AA61" s="1"/>
      <c r="AB61" s="1"/>
      <c r="AC61" s="1"/>
      <c r="AD61" s="1"/>
      <c r="AE61" s="1"/>
      <c r="AF61" s="1"/>
      <c r="AG61" s="1"/>
      <c r="AH61" s="1"/>
      <c r="AI61" s="1"/>
      <c r="AJ61" s="1"/>
    </row>
    <row r="62" spans="1:36" s="2" customFormat="1" ht="21.95" customHeight="1" x14ac:dyDescent="0.2">
      <c r="A62" s="262"/>
      <c r="B62" s="262"/>
      <c r="C62" s="262"/>
      <c r="D62" s="262"/>
      <c r="E62" s="262"/>
      <c r="F62" s="6" t="s">
        <v>52</v>
      </c>
      <c r="G62" s="7" t="s">
        <v>23</v>
      </c>
      <c r="H62" s="6">
        <v>71600</v>
      </c>
      <c r="I62" s="6" t="s">
        <v>23</v>
      </c>
      <c r="J62" s="213">
        <v>59745</v>
      </c>
      <c r="K62" s="213">
        <v>59745</v>
      </c>
      <c r="L62" s="213">
        <v>59745</v>
      </c>
      <c r="M62" s="213">
        <v>59743</v>
      </c>
      <c r="N62" s="213">
        <v>238978</v>
      </c>
      <c r="O62" s="8"/>
      <c r="P62" s="9"/>
      <c r="R62" s="1"/>
      <c r="S62" s="1"/>
      <c r="T62" s="1"/>
      <c r="U62" s="1"/>
      <c r="V62" s="1"/>
      <c r="W62" s="1"/>
      <c r="X62" s="1"/>
      <c r="Y62" s="1"/>
      <c r="Z62" s="1"/>
      <c r="AA62" s="1"/>
      <c r="AB62" s="1"/>
      <c r="AC62" s="1"/>
      <c r="AD62" s="1"/>
      <c r="AE62" s="1"/>
      <c r="AF62" s="1"/>
      <c r="AG62" s="1"/>
      <c r="AH62" s="1"/>
      <c r="AI62" s="1"/>
      <c r="AJ62" s="1"/>
    </row>
    <row r="63" spans="1:36" s="2" customFormat="1" ht="21.95" customHeight="1" x14ac:dyDescent="0.2">
      <c r="A63" s="262"/>
      <c r="B63" s="262"/>
      <c r="C63" s="262"/>
      <c r="D63" s="262"/>
      <c r="E63" s="262"/>
      <c r="F63" s="6" t="s">
        <v>52</v>
      </c>
      <c r="G63" s="7" t="s">
        <v>24</v>
      </c>
      <c r="H63" s="6">
        <v>72500</v>
      </c>
      <c r="I63" s="6" t="s">
        <v>25</v>
      </c>
      <c r="J63" s="213">
        <v>1306</v>
      </c>
      <c r="K63" s="213">
        <v>1306</v>
      </c>
      <c r="L63" s="213">
        <v>1306</v>
      </c>
      <c r="M63" s="213">
        <v>1304</v>
      </c>
      <c r="N63" s="213">
        <v>5222</v>
      </c>
      <c r="O63" s="8"/>
      <c r="P63" s="9"/>
      <c r="R63" s="1"/>
      <c r="S63" s="1"/>
      <c r="T63" s="1"/>
      <c r="U63" s="1"/>
      <c r="V63" s="1"/>
      <c r="W63" s="1"/>
      <c r="X63" s="1"/>
      <c r="Y63" s="1"/>
      <c r="Z63" s="1"/>
      <c r="AA63" s="1"/>
      <c r="AB63" s="1"/>
      <c r="AC63" s="1"/>
      <c r="AD63" s="1"/>
      <c r="AE63" s="1"/>
      <c r="AF63" s="1"/>
      <c r="AG63" s="1"/>
      <c r="AH63" s="1"/>
      <c r="AI63" s="1"/>
      <c r="AJ63" s="1"/>
    </row>
    <row r="64" spans="1:36" s="2" customFormat="1" ht="21.95" customHeight="1" x14ac:dyDescent="0.2">
      <c r="A64" s="262"/>
      <c r="B64" s="262"/>
      <c r="C64" s="262"/>
      <c r="D64" s="262"/>
      <c r="E64" s="262"/>
      <c r="F64" s="6" t="s">
        <v>52</v>
      </c>
      <c r="G64" s="7" t="s">
        <v>23</v>
      </c>
      <c r="H64" s="6">
        <v>74500</v>
      </c>
      <c r="I64" s="6" t="s">
        <v>49</v>
      </c>
      <c r="J64" s="213">
        <v>1359</v>
      </c>
      <c r="K64" s="213">
        <v>1359</v>
      </c>
      <c r="L64" s="213">
        <v>1359</v>
      </c>
      <c r="M64" s="213">
        <v>1360</v>
      </c>
      <c r="N64" s="213">
        <v>5437</v>
      </c>
      <c r="O64" s="8"/>
      <c r="P64" s="9"/>
      <c r="R64" s="1"/>
      <c r="S64" s="1"/>
      <c r="T64" s="1"/>
      <c r="U64" s="1"/>
      <c r="V64" s="1"/>
      <c r="W64" s="1"/>
      <c r="X64" s="1"/>
      <c r="Y64" s="1"/>
      <c r="Z64" s="1"/>
      <c r="AA64" s="1"/>
      <c r="AB64" s="1"/>
      <c r="AC64" s="1"/>
      <c r="AD64" s="1"/>
      <c r="AE64" s="1"/>
      <c r="AF64" s="1"/>
      <c r="AG64" s="1"/>
      <c r="AH64" s="1"/>
      <c r="AI64" s="1"/>
      <c r="AJ64" s="1"/>
    </row>
    <row r="65" spans="1:36" s="2" customFormat="1" ht="21.95" customHeight="1" x14ac:dyDescent="0.2">
      <c r="A65" s="262"/>
      <c r="B65" s="262"/>
      <c r="C65" s="262"/>
      <c r="D65" s="262"/>
      <c r="E65" s="262"/>
      <c r="F65" s="6" t="s">
        <v>52</v>
      </c>
      <c r="G65" s="7" t="s">
        <v>26</v>
      </c>
      <c r="H65" s="6">
        <v>75700</v>
      </c>
      <c r="I65" s="6" t="s">
        <v>27</v>
      </c>
      <c r="J65" s="213">
        <v>6609</v>
      </c>
      <c r="K65" s="213">
        <v>6609</v>
      </c>
      <c r="L65" s="213">
        <v>6609</v>
      </c>
      <c r="M65" s="213">
        <v>6608</v>
      </c>
      <c r="N65" s="213">
        <v>26435</v>
      </c>
      <c r="O65" s="8"/>
      <c r="P65" s="9"/>
      <c r="R65" s="1"/>
      <c r="S65" s="1"/>
      <c r="T65" s="1"/>
      <c r="U65" s="1"/>
      <c r="V65" s="1"/>
      <c r="W65" s="1"/>
      <c r="X65" s="1"/>
      <c r="Y65" s="1"/>
      <c r="Z65" s="1"/>
      <c r="AA65" s="1"/>
      <c r="AB65" s="1"/>
      <c r="AC65" s="1"/>
      <c r="AD65" s="1"/>
      <c r="AE65" s="1"/>
      <c r="AF65" s="1"/>
      <c r="AG65" s="1"/>
      <c r="AH65" s="1"/>
      <c r="AI65" s="1"/>
      <c r="AJ65" s="1"/>
    </row>
    <row r="66" spans="1:36" s="2" customFormat="1" ht="21.95" customHeight="1" x14ac:dyDescent="0.2">
      <c r="A66" s="262"/>
      <c r="B66" s="262"/>
      <c r="C66" s="262"/>
      <c r="D66" s="262"/>
      <c r="E66" s="262"/>
      <c r="F66" s="6" t="s">
        <v>52</v>
      </c>
      <c r="G66" s="7" t="s">
        <v>28</v>
      </c>
      <c r="H66" s="6">
        <v>61200</v>
      </c>
      <c r="I66" s="6" t="s">
        <v>29</v>
      </c>
      <c r="J66" s="213">
        <v>42107</v>
      </c>
      <c r="K66" s="213">
        <v>42107</v>
      </c>
      <c r="L66" s="213">
        <v>42107</v>
      </c>
      <c r="M66" s="213">
        <v>42107</v>
      </c>
      <c r="N66" s="213">
        <v>168428</v>
      </c>
      <c r="O66" s="8"/>
      <c r="P66" s="9"/>
      <c r="R66" s="1"/>
      <c r="S66" s="1"/>
      <c r="T66" s="1"/>
      <c r="U66" s="1"/>
      <c r="V66" s="1"/>
      <c r="W66" s="1"/>
      <c r="X66" s="1"/>
      <c r="Y66" s="1"/>
      <c r="Z66" s="1"/>
      <c r="AA66" s="1"/>
      <c r="AB66" s="1"/>
      <c r="AC66" s="1"/>
      <c r="AD66" s="1"/>
      <c r="AE66" s="1"/>
      <c r="AF66" s="1"/>
      <c r="AG66" s="1"/>
      <c r="AH66" s="1"/>
      <c r="AI66" s="1"/>
      <c r="AJ66" s="1"/>
    </row>
    <row r="67" spans="1:36" s="2" customFormat="1" ht="21.95" customHeight="1" x14ac:dyDescent="0.2">
      <c r="A67" s="262"/>
      <c r="B67" s="262"/>
      <c r="C67" s="262"/>
      <c r="D67" s="262"/>
      <c r="E67" s="262"/>
      <c r="F67" s="6" t="s">
        <v>52</v>
      </c>
      <c r="G67" s="7" t="s">
        <v>28</v>
      </c>
      <c r="H67" s="6">
        <v>61300</v>
      </c>
      <c r="I67" s="6" t="s">
        <v>30</v>
      </c>
      <c r="J67" s="213">
        <v>76988</v>
      </c>
      <c r="K67" s="213">
        <v>76988</v>
      </c>
      <c r="L67" s="213">
        <v>76988</v>
      </c>
      <c r="M67" s="213">
        <v>76988</v>
      </c>
      <c r="N67" s="213">
        <v>307952</v>
      </c>
      <c r="O67" s="8"/>
      <c r="P67" s="9"/>
      <c r="R67" s="1"/>
      <c r="S67" s="1"/>
      <c r="T67" s="1"/>
      <c r="U67" s="1"/>
      <c r="V67" s="1"/>
      <c r="W67" s="1"/>
      <c r="X67" s="1"/>
      <c r="Y67" s="1"/>
      <c r="Z67" s="1"/>
      <c r="AA67" s="1"/>
      <c r="AB67" s="1"/>
      <c r="AC67" s="1"/>
      <c r="AD67" s="1"/>
      <c r="AE67" s="1"/>
      <c r="AF67" s="1"/>
      <c r="AG67" s="1"/>
      <c r="AH67" s="1"/>
      <c r="AI67" s="1"/>
      <c r="AJ67" s="1"/>
    </row>
    <row r="68" spans="1:36" s="2" customFormat="1" ht="21.95" customHeight="1" x14ac:dyDescent="0.2">
      <c r="A68" s="262"/>
      <c r="B68" s="262"/>
      <c r="C68" s="263" t="s">
        <v>31</v>
      </c>
      <c r="D68" s="263"/>
      <c r="E68" s="263"/>
      <c r="F68" s="263"/>
      <c r="G68" s="263"/>
      <c r="H68" s="263"/>
      <c r="I68" s="263"/>
      <c r="J68" s="213">
        <v>525327</v>
      </c>
      <c r="K68" s="213">
        <v>525327</v>
      </c>
      <c r="L68" s="213">
        <v>525327</v>
      </c>
      <c r="M68" s="213">
        <v>525321</v>
      </c>
      <c r="N68" s="213">
        <v>2101302</v>
      </c>
      <c r="O68" s="8"/>
      <c r="P68" s="9"/>
      <c r="R68" s="1"/>
      <c r="S68" s="1"/>
      <c r="T68" s="1"/>
      <c r="U68" s="1"/>
      <c r="V68" s="1"/>
      <c r="W68" s="1"/>
      <c r="X68" s="1"/>
      <c r="Y68" s="1"/>
      <c r="Z68" s="1"/>
      <c r="AA68" s="1"/>
      <c r="AB68" s="1"/>
      <c r="AC68" s="1"/>
      <c r="AD68" s="1"/>
      <c r="AE68" s="1"/>
      <c r="AF68" s="1"/>
      <c r="AG68" s="1"/>
      <c r="AH68" s="1"/>
      <c r="AI68" s="1"/>
      <c r="AJ68" s="1"/>
    </row>
    <row r="69" spans="1:36" ht="21.95" customHeight="1" x14ac:dyDescent="0.2">
      <c r="A69" s="262"/>
      <c r="B69" s="263" t="s">
        <v>53</v>
      </c>
      <c r="C69" s="263"/>
      <c r="D69" s="263"/>
      <c r="E69" s="263"/>
      <c r="F69" s="263"/>
      <c r="G69" s="263"/>
      <c r="H69" s="263"/>
      <c r="I69" s="263"/>
      <c r="J69" s="213">
        <v>525327</v>
      </c>
      <c r="K69" s="213">
        <v>525327</v>
      </c>
      <c r="L69" s="213">
        <v>525327</v>
      </c>
      <c r="M69" s="213">
        <v>525321</v>
      </c>
      <c r="N69" s="213">
        <v>2101302</v>
      </c>
      <c r="O69" s="8"/>
      <c r="Q69" s="10"/>
      <c r="Z69" s="11"/>
      <c r="AC69" s="12"/>
      <c r="AD69" s="13"/>
    </row>
    <row r="70" spans="1:36" ht="21.95" customHeight="1" x14ac:dyDescent="0.2">
      <c r="A70" s="261" t="s">
        <v>54</v>
      </c>
      <c r="B70" s="261"/>
      <c r="C70" s="261"/>
      <c r="D70" s="261"/>
      <c r="E70" s="261"/>
      <c r="F70" s="261"/>
      <c r="G70" s="261"/>
      <c r="H70" s="261"/>
      <c r="I70" s="261"/>
      <c r="J70" s="213">
        <v>1031578</v>
      </c>
      <c r="K70" s="213">
        <v>1031578</v>
      </c>
      <c r="L70" s="213">
        <v>1031578</v>
      </c>
      <c r="M70" s="213">
        <v>1031568</v>
      </c>
      <c r="N70" s="213">
        <v>4126302</v>
      </c>
      <c r="O70" s="8"/>
      <c r="R70" s="14"/>
      <c r="Z70" s="15"/>
      <c r="AJ70" s="16"/>
    </row>
    <row r="71" spans="1:36" ht="21.95" customHeight="1" x14ac:dyDescent="0.2">
      <c r="A71" s="262" t="s">
        <v>55</v>
      </c>
      <c r="B71" s="262" t="s">
        <v>56</v>
      </c>
      <c r="C71" s="262" t="s">
        <v>17</v>
      </c>
      <c r="D71" s="262">
        <v>62000</v>
      </c>
      <c r="E71" s="262">
        <v>10003</v>
      </c>
      <c r="F71" s="6" t="s">
        <v>57</v>
      </c>
      <c r="G71" s="7" t="s">
        <v>19</v>
      </c>
      <c r="H71" s="6">
        <v>71200</v>
      </c>
      <c r="I71" s="6" t="s">
        <v>19</v>
      </c>
      <c r="J71" s="213">
        <v>9045</v>
      </c>
      <c r="K71" s="213">
        <v>9045</v>
      </c>
      <c r="L71" s="213">
        <v>9045</v>
      </c>
      <c r="M71" s="213">
        <v>9046</v>
      </c>
      <c r="N71" s="213">
        <v>36181</v>
      </c>
      <c r="O71" s="8"/>
      <c r="P71" s="9"/>
    </row>
    <row r="72" spans="1:36" ht="21.95" customHeight="1" x14ac:dyDescent="0.2">
      <c r="A72" s="262"/>
      <c r="B72" s="262"/>
      <c r="C72" s="262"/>
      <c r="D72" s="262"/>
      <c r="E72" s="262"/>
      <c r="F72" s="6" t="s">
        <v>57</v>
      </c>
      <c r="G72" s="7" t="s">
        <v>20</v>
      </c>
      <c r="H72" s="6">
        <v>71300</v>
      </c>
      <c r="I72" s="6" t="s">
        <v>20</v>
      </c>
      <c r="J72" s="213">
        <v>36085</v>
      </c>
      <c r="K72" s="213">
        <v>36085</v>
      </c>
      <c r="L72" s="213">
        <v>36085</v>
      </c>
      <c r="M72" s="213">
        <v>36083</v>
      </c>
      <c r="N72" s="213">
        <v>144338</v>
      </c>
      <c r="O72" s="8"/>
      <c r="P72" s="9"/>
    </row>
    <row r="73" spans="1:36" ht="21.95" customHeight="1" x14ac:dyDescent="0.2">
      <c r="A73" s="262"/>
      <c r="B73" s="262"/>
      <c r="C73" s="262"/>
      <c r="D73" s="262"/>
      <c r="E73" s="262"/>
      <c r="F73" s="6" t="s">
        <v>57</v>
      </c>
      <c r="G73" s="7" t="s">
        <v>21</v>
      </c>
      <c r="H73" s="6">
        <v>71400</v>
      </c>
      <c r="I73" s="6" t="s">
        <v>22</v>
      </c>
      <c r="J73" s="213">
        <v>101794</v>
      </c>
      <c r="K73" s="213">
        <v>101794</v>
      </c>
      <c r="L73" s="213">
        <v>101794</v>
      </c>
      <c r="M73" s="213">
        <v>101793</v>
      </c>
      <c r="N73" s="213">
        <v>407175</v>
      </c>
      <c r="O73" s="8"/>
      <c r="P73" s="9"/>
    </row>
    <row r="74" spans="1:36" ht="21.95" customHeight="1" x14ac:dyDescent="0.2">
      <c r="A74" s="262"/>
      <c r="B74" s="262"/>
      <c r="C74" s="262"/>
      <c r="D74" s="262"/>
      <c r="E74" s="262"/>
      <c r="F74" s="6" t="s">
        <v>57</v>
      </c>
      <c r="G74" s="7" t="s">
        <v>23</v>
      </c>
      <c r="H74" s="6">
        <v>71600</v>
      </c>
      <c r="I74" s="6" t="s">
        <v>23</v>
      </c>
      <c r="J74" s="213">
        <v>133907</v>
      </c>
      <c r="K74" s="213">
        <v>133907</v>
      </c>
      <c r="L74" s="213">
        <v>133907</v>
      </c>
      <c r="M74" s="213">
        <v>133906</v>
      </c>
      <c r="N74" s="213">
        <v>535627</v>
      </c>
      <c r="O74" s="8"/>
      <c r="P74" s="9"/>
    </row>
    <row r="75" spans="1:36" ht="21.95" customHeight="1" x14ac:dyDescent="0.2">
      <c r="A75" s="262"/>
      <c r="B75" s="262"/>
      <c r="C75" s="262"/>
      <c r="D75" s="262"/>
      <c r="E75" s="262"/>
      <c r="F75" s="6" t="s">
        <v>57</v>
      </c>
      <c r="G75" s="7" t="s">
        <v>58</v>
      </c>
      <c r="H75" s="6">
        <v>72100</v>
      </c>
      <c r="I75" s="6" t="s">
        <v>59</v>
      </c>
      <c r="J75" s="213">
        <v>41015</v>
      </c>
      <c r="K75" s="213">
        <v>41015</v>
      </c>
      <c r="L75" s="213">
        <v>41015</v>
      </c>
      <c r="M75" s="213">
        <v>41014</v>
      </c>
      <c r="N75" s="213">
        <v>164059</v>
      </c>
      <c r="O75" s="8"/>
      <c r="P75" s="9"/>
    </row>
    <row r="76" spans="1:36" ht="21.95" customHeight="1" x14ac:dyDescent="0.2">
      <c r="A76" s="262"/>
      <c r="B76" s="262"/>
      <c r="C76" s="262"/>
      <c r="D76" s="262"/>
      <c r="E76" s="262"/>
      <c r="F76" s="6" t="s">
        <v>57</v>
      </c>
      <c r="G76" s="7" t="s">
        <v>24</v>
      </c>
      <c r="H76" s="6">
        <v>72500</v>
      </c>
      <c r="I76" s="6" t="s">
        <v>25</v>
      </c>
      <c r="J76" s="213">
        <v>11392</v>
      </c>
      <c r="K76" s="213">
        <v>11392</v>
      </c>
      <c r="L76" s="213">
        <v>11392</v>
      </c>
      <c r="M76" s="213">
        <v>11393</v>
      </c>
      <c r="N76" s="213">
        <v>45569</v>
      </c>
      <c r="O76" s="8"/>
      <c r="P76" s="9"/>
    </row>
    <row r="77" spans="1:36" ht="21.95" customHeight="1" x14ac:dyDescent="0.2">
      <c r="A77" s="262"/>
      <c r="B77" s="262"/>
      <c r="C77" s="262"/>
      <c r="D77" s="262"/>
      <c r="E77" s="262"/>
      <c r="F77" s="6" t="s">
        <v>57</v>
      </c>
      <c r="G77" s="7" t="s">
        <v>23</v>
      </c>
      <c r="H77" s="6">
        <v>74500</v>
      </c>
      <c r="I77" s="6" t="s">
        <v>49</v>
      </c>
      <c r="J77" s="213">
        <v>75157</v>
      </c>
      <c r="K77" s="213">
        <v>75157</v>
      </c>
      <c r="L77" s="213">
        <v>75157</v>
      </c>
      <c r="M77" s="213">
        <v>75156</v>
      </c>
      <c r="N77" s="213">
        <v>300627</v>
      </c>
      <c r="O77" s="8"/>
      <c r="P77" s="9"/>
    </row>
    <row r="78" spans="1:36" ht="21.95" customHeight="1" x14ac:dyDescent="0.2">
      <c r="A78" s="262"/>
      <c r="B78" s="262"/>
      <c r="C78" s="262"/>
      <c r="D78" s="262"/>
      <c r="E78" s="262"/>
      <c r="F78" s="6" t="s">
        <v>57</v>
      </c>
      <c r="G78" s="7" t="s">
        <v>26</v>
      </c>
      <c r="H78" s="6">
        <v>75700</v>
      </c>
      <c r="I78" s="6" t="s">
        <v>27</v>
      </c>
      <c r="J78" s="213">
        <v>58922</v>
      </c>
      <c r="K78" s="213">
        <v>58922</v>
      </c>
      <c r="L78" s="213">
        <v>58922</v>
      </c>
      <c r="M78" s="213">
        <v>58923</v>
      </c>
      <c r="N78" s="213">
        <v>235689</v>
      </c>
      <c r="O78" s="8"/>
      <c r="P78" s="9"/>
    </row>
    <row r="79" spans="1:36" ht="21.95" customHeight="1" x14ac:dyDescent="0.2">
      <c r="A79" s="262"/>
      <c r="B79" s="262"/>
      <c r="C79" s="262"/>
      <c r="D79" s="262"/>
      <c r="E79" s="262"/>
      <c r="F79" s="6" t="s">
        <v>57</v>
      </c>
      <c r="G79" s="7" t="s">
        <v>28</v>
      </c>
      <c r="H79" s="6">
        <v>61300</v>
      </c>
      <c r="I79" s="6" t="s">
        <v>30</v>
      </c>
      <c r="J79" s="213">
        <v>38934</v>
      </c>
      <c r="K79" s="213">
        <v>38934</v>
      </c>
      <c r="L79" s="213">
        <v>38934</v>
      </c>
      <c r="M79" s="213">
        <v>38933</v>
      </c>
      <c r="N79" s="213">
        <v>155735</v>
      </c>
      <c r="O79" s="8"/>
      <c r="P79" s="9"/>
    </row>
    <row r="80" spans="1:36" ht="21.95" customHeight="1" x14ac:dyDescent="0.2">
      <c r="A80" s="262"/>
      <c r="B80" s="262"/>
      <c r="C80" s="261" t="s">
        <v>31</v>
      </c>
      <c r="D80" s="261"/>
      <c r="E80" s="261"/>
      <c r="F80" s="261"/>
      <c r="G80" s="261"/>
      <c r="H80" s="261"/>
      <c r="I80" s="261"/>
      <c r="J80" s="213">
        <v>506251</v>
      </c>
      <c r="K80" s="213">
        <v>506251</v>
      </c>
      <c r="L80" s="213">
        <v>506251</v>
      </c>
      <c r="M80" s="213">
        <v>506247</v>
      </c>
      <c r="N80" s="213">
        <v>2025000</v>
      </c>
      <c r="O80" s="8"/>
      <c r="P80" s="9"/>
    </row>
    <row r="81" spans="1:36" ht="21.95" customHeight="1" x14ac:dyDescent="0.2">
      <c r="A81" s="262"/>
      <c r="B81" s="261" t="s">
        <v>60</v>
      </c>
      <c r="C81" s="261"/>
      <c r="D81" s="261"/>
      <c r="E81" s="261"/>
      <c r="F81" s="261"/>
      <c r="G81" s="261"/>
      <c r="H81" s="261"/>
      <c r="I81" s="261"/>
      <c r="J81" s="213">
        <v>506251</v>
      </c>
      <c r="K81" s="213">
        <v>506251</v>
      </c>
      <c r="L81" s="213">
        <v>506251</v>
      </c>
      <c r="M81" s="213">
        <v>506247</v>
      </c>
      <c r="N81" s="213">
        <v>2025000</v>
      </c>
      <c r="O81" s="8"/>
      <c r="P81" s="9"/>
    </row>
    <row r="82" spans="1:36" ht="21.95" customHeight="1" x14ac:dyDescent="0.2">
      <c r="A82" s="262"/>
      <c r="B82" s="262" t="s">
        <v>61</v>
      </c>
      <c r="C82" s="262" t="s">
        <v>17</v>
      </c>
      <c r="D82" s="262">
        <v>62000</v>
      </c>
      <c r="E82" s="262">
        <v>10003</v>
      </c>
      <c r="F82" s="6" t="s">
        <v>62</v>
      </c>
      <c r="G82" s="7" t="s">
        <v>19</v>
      </c>
      <c r="H82" s="6">
        <v>71200</v>
      </c>
      <c r="I82" s="6" t="s">
        <v>19</v>
      </c>
      <c r="J82" s="213">
        <v>9386</v>
      </c>
      <c r="K82" s="213">
        <v>9386</v>
      </c>
      <c r="L82" s="213">
        <v>9386</v>
      </c>
      <c r="M82" s="213">
        <v>9386</v>
      </c>
      <c r="N82" s="213">
        <v>37544</v>
      </c>
      <c r="O82" s="8"/>
      <c r="P82" s="9"/>
    </row>
    <row r="83" spans="1:36" ht="21.95" customHeight="1" x14ac:dyDescent="0.2">
      <c r="A83" s="262"/>
      <c r="B83" s="262"/>
      <c r="C83" s="262"/>
      <c r="D83" s="262"/>
      <c r="E83" s="262"/>
      <c r="F83" s="6" t="s">
        <v>62</v>
      </c>
      <c r="G83" s="7" t="s">
        <v>20</v>
      </c>
      <c r="H83" s="6">
        <v>71300</v>
      </c>
      <c r="I83" s="6" t="s">
        <v>20</v>
      </c>
      <c r="J83" s="213">
        <v>37444</v>
      </c>
      <c r="K83" s="213">
        <v>37444</v>
      </c>
      <c r="L83" s="213">
        <v>37444</v>
      </c>
      <c r="M83" s="213">
        <v>37444</v>
      </c>
      <c r="N83" s="213">
        <v>149776</v>
      </c>
      <c r="O83" s="8"/>
      <c r="P83" s="9"/>
    </row>
    <row r="84" spans="1:36" ht="21.95" customHeight="1" x14ac:dyDescent="0.2">
      <c r="A84" s="262"/>
      <c r="B84" s="262"/>
      <c r="C84" s="262"/>
      <c r="D84" s="262"/>
      <c r="E84" s="262"/>
      <c r="F84" s="6" t="s">
        <v>62</v>
      </c>
      <c r="G84" s="7" t="s">
        <v>21</v>
      </c>
      <c r="H84" s="6">
        <v>71400</v>
      </c>
      <c r="I84" s="6" t="s">
        <v>22</v>
      </c>
      <c r="J84" s="213">
        <v>105629</v>
      </c>
      <c r="K84" s="213">
        <v>105629</v>
      </c>
      <c r="L84" s="213">
        <v>105629</v>
      </c>
      <c r="M84" s="213">
        <v>105630</v>
      </c>
      <c r="N84" s="213">
        <v>422517</v>
      </c>
      <c r="O84" s="8"/>
      <c r="P84" s="9"/>
    </row>
    <row r="85" spans="1:36" ht="21.95" customHeight="1" x14ac:dyDescent="0.2">
      <c r="A85" s="262"/>
      <c r="B85" s="262"/>
      <c r="C85" s="262"/>
      <c r="D85" s="262"/>
      <c r="E85" s="262"/>
      <c r="F85" s="6" t="s">
        <v>62</v>
      </c>
      <c r="G85" s="7" t="s">
        <v>23</v>
      </c>
      <c r="H85" s="6">
        <v>71600</v>
      </c>
      <c r="I85" s="6" t="s">
        <v>23</v>
      </c>
      <c r="J85" s="213">
        <v>138952</v>
      </c>
      <c r="K85" s="213">
        <v>138952</v>
      </c>
      <c r="L85" s="213">
        <v>138952</v>
      </c>
      <c r="M85" s="213">
        <v>138953</v>
      </c>
      <c r="N85" s="213">
        <v>555809</v>
      </c>
      <c r="O85" s="8"/>
      <c r="P85" s="9"/>
    </row>
    <row r="86" spans="1:36" ht="21.95" customHeight="1" x14ac:dyDescent="0.2">
      <c r="A86" s="262"/>
      <c r="B86" s="262"/>
      <c r="C86" s="262"/>
      <c r="D86" s="262"/>
      <c r="E86" s="262"/>
      <c r="F86" s="6" t="s">
        <v>62</v>
      </c>
      <c r="G86" s="7" t="s">
        <v>58</v>
      </c>
      <c r="H86" s="6">
        <v>72100</v>
      </c>
      <c r="I86" s="6" t="s">
        <v>59</v>
      </c>
      <c r="J86" s="213">
        <v>42560</v>
      </c>
      <c r="K86" s="213">
        <v>42560</v>
      </c>
      <c r="L86" s="213">
        <v>42560</v>
      </c>
      <c r="M86" s="213">
        <v>42560</v>
      </c>
      <c r="N86" s="213">
        <v>170240</v>
      </c>
      <c r="O86" s="8"/>
      <c r="P86" s="9"/>
    </row>
    <row r="87" spans="1:36" ht="21.95" customHeight="1" x14ac:dyDescent="0.2">
      <c r="A87" s="262"/>
      <c r="B87" s="262"/>
      <c r="C87" s="262"/>
      <c r="D87" s="262"/>
      <c r="E87" s="262"/>
      <c r="F87" s="6" t="s">
        <v>62</v>
      </c>
      <c r="G87" s="7" t="s">
        <v>24</v>
      </c>
      <c r="H87" s="6">
        <v>72500</v>
      </c>
      <c r="I87" s="6" t="s">
        <v>25</v>
      </c>
      <c r="J87" s="213">
        <v>11822</v>
      </c>
      <c r="K87" s="213">
        <v>11822</v>
      </c>
      <c r="L87" s="213">
        <v>11822</v>
      </c>
      <c r="M87" s="213">
        <v>11821</v>
      </c>
      <c r="N87" s="213">
        <v>47287</v>
      </c>
      <c r="O87" s="8"/>
      <c r="P87" s="9"/>
    </row>
    <row r="88" spans="1:36" ht="21.95" customHeight="1" x14ac:dyDescent="0.2">
      <c r="A88" s="262"/>
      <c r="B88" s="262"/>
      <c r="C88" s="262"/>
      <c r="D88" s="262"/>
      <c r="E88" s="262"/>
      <c r="F88" s="6" t="s">
        <v>62</v>
      </c>
      <c r="G88" s="7" t="s">
        <v>23</v>
      </c>
      <c r="H88" s="6">
        <v>74500</v>
      </c>
      <c r="I88" s="6" t="s">
        <v>49</v>
      </c>
      <c r="J88" s="213">
        <v>77989</v>
      </c>
      <c r="K88" s="213">
        <v>77989</v>
      </c>
      <c r="L88" s="213">
        <v>77989</v>
      </c>
      <c r="M88" s="213">
        <v>77988</v>
      </c>
      <c r="N88" s="213">
        <v>311955</v>
      </c>
      <c r="O88" s="8"/>
      <c r="P88" s="9"/>
    </row>
    <row r="89" spans="1:36" ht="21.95" customHeight="1" x14ac:dyDescent="0.2">
      <c r="A89" s="262"/>
      <c r="B89" s="262"/>
      <c r="C89" s="262"/>
      <c r="D89" s="262"/>
      <c r="E89" s="262"/>
      <c r="F89" s="6" t="s">
        <v>62</v>
      </c>
      <c r="G89" s="7" t="s">
        <v>26</v>
      </c>
      <c r="H89" s="6">
        <v>75700</v>
      </c>
      <c r="I89" s="6" t="s">
        <v>27</v>
      </c>
      <c r="J89" s="213">
        <v>61142</v>
      </c>
      <c r="K89" s="213">
        <v>61142</v>
      </c>
      <c r="L89" s="213">
        <v>61142</v>
      </c>
      <c r="M89" s="213">
        <v>61143</v>
      </c>
      <c r="N89" s="213">
        <v>244569</v>
      </c>
      <c r="O89" s="8"/>
      <c r="P89" s="9"/>
    </row>
    <row r="90" spans="1:36" ht="21.95" customHeight="1" x14ac:dyDescent="0.2">
      <c r="A90" s="262"/>
      <c r="B90" s="262"/>
      <c r="C90" s="262"/>
      <c r="D90" s="262"/>
      <c r="E90" s="262"/>
      <c r="F90" s="6" t="s">
        <v>62</v>
      </c>
      <c r="G90" s="7" t="s">
        <v>28</v>
      </c>
      <c r="H90" s="6">
        <v>61300</v>
      </c>
      <c r="I90" s="6" t="s">
        <v>30</v>
      </c>
      <c r="J90" s="213">
        <v>40401</v>
      </c>
      <c r="K90" s="213">
        <v>40401</v>
      </c>
      <c r="L90" s="213">
        <v>40401</v>
      </c>
      <c r="M90" s="213">
        <v>40402</v>
      </c>
      <c r="N90" s="213">
        <v>161605</v>
      </c>
      <c r="O90" s="8"/>
      <c r="P90" s="9"/>
    </row>
    <row r="91" spans="1:36" ht="21.95" customHeight="1" x14ac:dyDescent="0.2">
      <c r="A91" s="262"/>
      <c r="B91" s="262"/>
      <c r="C91" s="263" t="s">
        <v>31</v>
      </c>
      <c r="D91" s="263"/>
      <c r="E91" s="263"/>
      <c r="F91" s="263"/>
      <c r="G91" s="263"/>
      <c r="H91" s="263"/>
      <c r="I91" s="263"/>
      <c r="J91" s="213">
        <v>525325</v>
      </c>
      <c r="K91" s="213">
        <v>525325</v>
      </c>
      <c r="L91" s="213">
        <v>525325</v>
      </c>
      <c r="M91" s="213">
        <v>525327</v>
      </c>
      <c r="N91" s="213">
        <v>2101302</v>
      </c>
      <c r="O91" s="8"/>
      <c r="Q91" s="17"/>
      <c r="Z91" s="11"/>
      <c r="AB91" s="15"/>
      <c r="AC91" s="12"/>
      <c r="AD91" s="13"/>
    </row>
    <row r="92" spans="1:36" ht="21.95" customHeight="1" x14ac:dyDescent="0.2">
      <c r="A92" s="262"/>
      <c r="B92" s="263" t="s">
        <v>63</v>
      </c>
      <c r="C92" s="263"/>
      <c r="D92" s="263"/>
      <c r="E92" s="263"/>
      <c r="F92" s="263"/>
      <c r="G92" s="263"/>
      <c r="H92" s="263"/>
      <c r="I92" s="263"/>
      <c r="J92" s="213">
        <v>525325</v>
      </c>
      <c r="K92" s="213">
        <v>525325</v>
      </c>
      <c r="L92" s="213">
        <v>525325</v>
      </c>
      <c r="M92" s="213">
        <v>525327</v>
      </c>
      <c r="N92" s="213">
        <v>2101302</v>
      </c>
      <c r="O92" s="8"/>
      <c r="Q92" s="10"/>
      <c r="Z92" s="11"/>
      <c r="AC92" s="12"/>
      <c r="AD92" s="13"/>
    </row>
    <row r="93" spans="1:36" ht="21.95" customHeight="1" x14ac:dyDescent="0.2">
      <c r="A93" s="261" t="s">
        <v>64</v>
      </c>
      <c r="B93" s="261"/>
      <c r="C93" s="261"/>
      <c r="D93" s="261"/>
      <c r="E93" s="261"/>
      <c r="F93" s="261"/>
      <c r="G93" s="261"/>
      <c r="H93" s="261"/>
      <c r="I93" s="261"/>
      <c r="J93" s="213">
        <v>1031576</v>
      </c>
      <c r="K93" s="213">
        <v>1031576</v>
      </c>
      <c r="L93" s="213">
        <v>1031576</v>
      </c>
      <c r="M93" s="213">
        <v>1031574</v>
      </c>
      <c r="N93" s="213">
        <v>4126302</v>
      </c>
      <c r="O93" s="8"/>
      <c r="R93" s="14"/>
      <c r="Z93" s="15"/>
      <c r="AJ93" s="16"/>
    </row>
    <row r="94" spans="1:36" ht="21.95" customHeight="1" x14ac:dyDescent="0.2">
      <c r="A94" s="262" t="s">
        <v>65</v>
      </c>
      <c r="B94" s="262" t="s">
        <v>66</v>
      </c>
      <c r="C94" s="262" t="s">
        <v>17</v>
      </c>
      <c r="D94" s="262">
        <v>62000</v>
      </c>
      <c r="E94" s="262">
        <v>10003</v>
      </c>
      <c r="F94" s="6" t="s">
        <v>66</v>
      </c>
      <c r="G94" s="7" t="s">
        <v>21</v>
      </c>
      <c r="H94" s="6">
        <v>71400</v>
      </c>
      <c r="I94" s="6" t="s">
        <v>22</v>
      </c>
      <c r="J94" s="213">
        <v>636295</v>
      </c>
      <c r="K94" s="213">
        <v>636295</v>
      </c>
      <c r="L94" s="213">
        <v>636295</v>
      </c>
      <c r="M94" s="213">
        <v>636293</v>
      </c>
      <c r="N94" s="213">
        <v>2545178</v>
      </c>
      <c r="O94" s="8"/>
      <c r="P94" s="9"/>
    </row>
    <row r="95" spans="1:36" ht="21.95" customHeight="1" x14ac:dyDescent="0.2">
      <c r="A95" s="262"/>
      <c r="B95" s="262"/>
      <c r="C95" s="262"/>
      <c r="D95" s="262"/>
      <c r="E95" s="262"/>
      <c r="F95" s="6" t="s">
        <v>66</v>
      </c>
      <c r="G95" s="7" t="s">
        <v>23</v>
      </c>
      <c r="H95" s="6">
        <v>71600</v>
      </c>
      <c r="I95" s="6" t="s">
        <v>23</v>
      </c>
      <c r="J95" s="213">
        <v>62140</v>
      </c>
      <c r="K95" s="213">
        <v>62140</v>
      </c>
      <c r="L95" s="213">
        <v>62140</v>
      </c>
      <c r="M95" s="213">
        <v>62141</v>
      </c>
      <c r="N95" s="213">
        <v>248561</v>
      </c>
      <c r="O95" s="8"/>
      <c r="P95" s="214"/>
    </row>
    <row r="96" spans="1:36" ht="21.95" customHeight="1" x14ac:dyDescent="0.2">
      <c r="A96" s="262"/>
      <c r="B96" s="262"/>
      <c r="C96" s="262"/>
      <c r="D96" s="262"/>
      <c r="E96" s="262"/>
      <c r="F96" s="6" t="s">
        <v>66</v>
      </c>
      <c r="G96" s="7" t="s">
        <v>58</v>
      </c>
      <c r="H96" s="6">
        <v>72200</v>
      </c>
      <c r="I96" s="6" t="s">
        <v>67</v>
      </c>
      <c r="J96" s="213">
        <v>4496</v>
      </c>
      <c r="K96" s="213">
        <v>4496</v>
      </c>
      <c r="L96" s="213">
        <v>4496</v>
      </c>
      <c r="M96" s="213">
        <v>4494</v>
      </c>
      <c r="N96" s="213">
        <v>17982</v>
      </c>
      <c r="O96" s="8"/>
      <c r="P96" s="9"/>
    </row>
    <row r="97" spans="1:36" ht="21.95" customHeight="1" x14ac:dyDescent="0.2">
      <c r="A97" s="262"/>
      <c r="B97" s="262"/>
      <c r="C97" s="262"/>
      <c r="D97" s="262"/>
      <c r="E97" s="262"/>
      <c r="F97" s="6" t="s">
        <v>66</v>
      </c>
      <c r="G97" s="7" t="s">
        <v>58</v>
      </c>
      <c r="H97" s="6">
        <v>72300</v>
      </c>
      <c r="I97" s="6" t="s">
        <v>68</v>
      </c>
      <c r="J97" s="213">
        <v>10843</v>
      </c>
      <c r="K97" s="213">
        <v>10843</v>
      </c>
      <c r="L97" s="213">
        <v>10843</v>
      </c>
      <c r="M97" s="213">
        <v>10841</v>
      </c>
      <c r="N97" s="213">
        <v>43370</v>
      </c>
      <c r="O97" s="8"/>
      <c r="P97" s="9"/>
    </row>
    <row r="98" spans="1:36" ht="21.95" customHeight="1" x14ac:dyDescent="0.2">
      <c r="A98" s="262"/>
      <c r="B98" s="262"/>
      <c r="C98" s="262"/>
      <c r="D98" s="262"/>
      <c r="E98" s="262"/>
      <c r="F98" s="6" t="s">
        <v>66</v>
      </c>
      <c r="G98" s="7" t="s">
        <v>58</v>
      </c>
      <c r="H98" s="6">
        <v>72400</v>
      </c>
      <c r="I98" s="6" t="s">
        <v>69</v>
      </c>
      <c r="J98" s="213">
        <v>31999</v>
      </c>
      <c r="K98" s="213">
        <v>31999</v>
      </c>
      <c r="L98" s="213">
        <v>31999</v>
      </c>
      <c r="M98" s="213">
        <v>31998</v>
      </c>
      <c r="N98" s="213">
        <v>127995</v>
      </c>
      <c r="O98" s="8"/>
      <c r="P98" s="9"/>
    </row>
    <row r="99" spans="1:36" ht="21.95" customHeight="1" x14ac:dyDescent="0.2">
      <c r="A99" s="262"/>
      <c r="B99" s="262"/>
      <c r="C99" s="262"/>
      <c r="D99" s="262"/>
      <c r="E99" s="262"/>
      <c r="F99" s="6" t="s">
        <v>66</v>
      </c>
      <c r="G99" s="7" t="s">
        <v>24</v>
      </c>
      <c r="H99" s="6">
        <v>72500</v>
      </c>
      <c r="I99" s="6" t="s">
        <v>25</v>
      </c>
      <c r="J99" s="213">
        <v>29088</v>
      </c>
      <c r="K99" s="213">
        <v>29088</v>
      </c>
      <c r="L99" s="213">
        <v>29088</v>
      </c>
      <c r="M99" s="213">
        <v>29086</v>
      </c>
      <c r="N99" s="213">
        <v>116350</v>
      </c>
      <c r="O99" s="8"/>
      <c r="P99" s="9"/>
    </row>
    <row r="100" spans="1:36" ht="21.95" customHeight="1" x14ac:dyDescent="0.2">
      <c r="A100" s="262"/>
      <c r="B100" s="262"/>
      <c r="C100" s="262"/>
      <c r="D100" s="262"/>
      <c r="E100" s="262"/>
      <c r="F100" s="6" t="s">
        <v>66</v>
      </c>
      <c r="G100" s="7" t="s">
        <v>58</v>
      </c>
      <c r="H100" s="6">
        <v>72800</v>
      </c>
      <c r="I100" s="6" t="s">
        <v>70</v>
      </c>
      <c r="J100" s="213">
        <v>20408</v>
      </c>
      <c r="K100" s="213">
        <v>20408</v>
      </c>
      <c r="L100" s="213">
        <v>20408</v>
      </c>
      <c r="M100" s="213">
        <v>20406</v>
      </c>
      <c r="N100" s="213">
        <v>81630</v>
      </c>
      <c r="O100" s="8"/>
      <c r="P100" s="9"/>
    </row>
    <row r="101" spans="1:36" ht="21.95" customHeight="1" x14ac:dyDescent="0.2">
      <c r="A101" s="262"/>
      <c r="B101" s="262"/>
      <c r="C101" s="262"/>
      <c r="D101" s="262"/>
      <c r="E101" s="262"/>
      <c r="F101" s="6" t="s">
        <v>66</v>
      </c>
      <c r="G101" s="7" t="s">
        <v>71</v>
      </c>
      <c r="H101" s="6">
        <v>73100</v>
      </c>
      <c r="I101" s="6" t="s">
        <v>72</v>
      </c>
      <c r="J101" s="213">
        <v>262766</v>
      </c>
      <c r="K101" s="213">
        <v>262766</v>
      </c>
      <c r="L101" s="213">
        <v>262766</v>
      </c>
      <c r="M101" s="213">
        <v>262766</v>
      </c>
      <c r="N101" s="213">
        <v>1051064</v>
      </c>
      <c r="O101" s="8"/>
      <c r="P101" s="9"/>
    </row>
    <row r="102" spans="1:36" ht="21.95" customHeight="1" x14ac:dyDescent="0.2">
      <c r="A102" s="262"/>
      <c r="B102" s="262"/>
      <c r="C102" s="262"/>
      <c r="D102" s="262"/>
      <c r="E102" s="262"/>
      <c r="F102" s="248" t="s">
        <v>66</v>
      </c>
      <c r="G102" s="249" t="s">
        <v>58</v>
      </c>
      <c r="H102" s="248">
        <v>73400</v>
      </c>
      <c r="I102" s="248" t="s">
        <v>73</v>
      </c>
      <c r="J102" s="250">
        <v>15448</v>
      </c>
      <c r="K102" s="250">
        <v>15448</v>
      </c>
      <c r="L102" s="250">
        <v>15448</v>
      </c>
      <c r="M102" s="250">
        <v>15449</v>
      </c>
      <c r="N102" s="250">
        <v>61793</v>
      </c>
      <c r="O102" s="8"/>
      <c r="P102" s="9"/>
    </row>
    <row r="103" spans="1:36" ht="21.95" customHeight="1" x14ac:dyDescent="0.2">
      <c r="A103" s="262"/>
      <c r="B103" s="262"/>
      <c r="C103" s="262"/>
      <c r="D103" s="262"/>
      <c r="E103" s="262"/>
      <c r="F103" s="6" t="s">
        <v>66</v>
      </c>
      <c r="G103" s="7" t="s">
        <v>74</v>
      </c>
      <c r="H103" s="6">
        <v>74100</v>
      </c>
      <c r="I103" s="6" t="s">
        <v>75</v>
      </c>
      <c r="J103" s="213">
        <v>41660</v>
      </c>
      <c r="K103" s="213">
        <v>41660</v>
      </c>
      <c r="L103" s="213">
        <v>41660</v>
      </c>
      <c r="M103" s="213">
        <v>41660</v>
      </c>
      <c r="N103" s="213">
        <v>166640</v>
      </c>
      <c r="O103" s="8"/>
      <c r="P103" s="9"/>
    </row>
    <row r="104" spans="1:36" ht="21.95" customHeight="1" x14ac:dyDescent="0.2">
      <c r="A104" s="262"/>
      <c r="B104" s="262"/>
      <c r="C104" s="262"/>
      <c r="D104" s="262"/>
      <c r="E104" s="262"/>
      <c r="F104" s="6" t="s">
        <v>66</v>
      </c>
      <c r="G104" s="7" t="s">
        <v>58</v>
      </c>
      <c r="H104" s="6">
        <v>74200</v>
      </c>
      <c r="I104" s="6" t="s">
        <v>76</v>
      </c>
      <c r="J104" s="213">
        <v>14497</v>
      </c>
      <c r="K104" s="213">
        <v>14497</v>
      </c>
      <c r="L104" s="213">
        <v>14497</v>
      </c>
      <c r="M104" s="213">
        <v>14496</v>
      </c>
      <c r="N104" s="213">
        <v>57987</v>
      </c>
      <c r="O104" s="8"/>
      <c r="P104" s="9"/>
    </row>
    <row r="105" spans="1:36" ht="21.95" customHeight="1" x14ac:dyDescent="0.2">
      <c r="A105" s="262"/>
      <c r="B105" s="262"/>
      <c r="C105" s="262"/>
      <c r="D105" s="262"/>
      <c r="E105" s="262"/>
      <c r="F105" s="6" t="s">
        <v>66</v>
      </c>
      <c r="G105" s="7" t="s">
        <v>23</v>
      </c>
      <c r="H105" s="6">
        <v>74500</v>
      </c>
      <c r="I105" s="6" t="s">
        <v>49</v>
      </c>
      <c r="J105" s="213">
        <v>18156</v>
      </c>
      <c r="K105" s="213">
        <v>18156</v>
      </c>
      <c r="L105" s="213">
        <v>18156</v>
      </c>
      <c r="M105" s="213">
        <v>18154</v>
      </c>
      <c r="N105" s="213">
        <v>72622</v>
      </c>
      <c r="O105" s="8"/>
      <c r="P105" s="9"/>
    </row>
    <row r="106" spans="1:36" ht="21.95" customHeight="1" x14ac:dyDescent="0.2">
      <c r="A106" s="262"/>
      <c r="B106" s="262"/>
      <c r="C106" s="262"/>
      <c r="D106" s="262"/>
      <c r="E106" s="262"/>
      <c r="F106" s="6" t="s">
        <v>66</v>
      </c>
      <c r="G106" s="7" t="s">
        <v>23</v>
      </c>
      <c r="H106" s="6">
        <v>74700</v>
      </c>
      <c r="I106" s="6" t="s">
        <v>77</v>
      </c>
      <c r="J106" s="213">
        <v>5839</v>
      </c>
      <c r="K106" s="213">
        <v>5839</v>
      </c>
      <c r="L106" s="213">
        <v>5839</v>
      </c>
      <c r="M106" s="213">
        <v>5838</v>
      </c>
      <c r="N106" s="213">
        <v>23355</v>
      </c>
      <c r="O106" s="8"/>
      <c r="P106" s="9"/>
    </row>
    <row r="107" spans="1:36" ht="21.95" customHeight="1" x14ac:dyDescent="0.2">
      <c r="A107" s="262"/>
      <c r="B107" s="262"/>
      <c r="C107" s="262"/>
      <c r="D107" s="262"/>
      <c r="E107" s="262"/>
      <c r="F107" s="6" t="s">
        <v>66</v>
      </c>
      <c r="G107" s="7" t="s">
        <v>28</v>
      </c>
      <c r="H107" s="6">
        <v>61200</v>
      </c>
      <c r="I107" s="6" t="s">
        <v>29</v>
      </c>
      <c r="J107" s="213">
        <v>107949</v>
      </c>
      <c r="K107" s="213">
        <v>107949</v>
      </c>
      <c r="L107" s="213">
        <v>107949</v>
      </c>
      <c r="M107" s="213">
        <v>107950</v>
      </c>
      <c r="N107" s="213">
        <v>431797</v>
      </c>
      <c r="O107" s="8"/>
      <c r="P107" s="9"/>
    </row>
    <row r="108" spans="1:36" s="2" customFormat="1" ht="21.95" customHeight="1" x14ac:dyDescent="0.2">
      <c r="A108" s="262"/>
      <c r="B108" s="262"/>
      <c r="C108" s="262"/>
      <c r="D108" s="262"/>
      <c r="E108" s="262"/>
      <c r="F108" s="6" t="s">
        <v>66</v>
      </c>
      <c r="G108" s="7" t="s">
        <v>28</v>
      </c>
      <c r="H108" s="6">
        <v>61300</v>
      </c>
      <c r="I108" s="6" t="s">
        <v>30</v>
      </c>
      <c r="J108" s="213">
        <v>145842</v>
      </c>
      <c r="K108" s="213">
        <v>145842</v>
      </c>
      <c r="L108" s="213">
        <v>145842</v>
      </c>
      <c r="M108" s="213">
        <v>145841</v>
      </c>
      <c r="N108" s="213">
        <v>583367</v>
      </c>
      <c r="O108" s="8"/>
      <c r="P108" s="9"/>
      <c r="R108" s="1"/>
      <c r="S108" s="1"/>
      <c r="T108" s="1"/>
      <c r="U108" s="1"/>
      <c r="V108" s="1"/>
      <c r="W108" s="1"/>
      <c r="X108" s="1"/>
      <c r="Y108" s="1"/>
      <c r="Z108" s="1"/>
      <c r="AA108" s="1"/>
      <c r="AB108" s="1"/>
      <c r="AC108" s="1"/>
      <c r="AD108" s="1"/>
      <c r="AE108" s="1"/>
      <c r="AF108" s="1"/>
      <c r="AG108" s="1"/>
      <c r="AH108" s="1"/>
      <c r="AI108" s="1"/>
      <c r="AJ108" s="1"/>
    </row>
    <row r="109" spans="1:36" s="2" customFormat="1" ht="21.95" customHeight="1" x14ac:dyDescent="0.2">
      <c r="A109" s="262"/>
      <c r="B109" s="262"/>
      <c r="C109" s="261" t="s">
        <v>31</v>
      </c>
      <c r="D109" s="261"/>
      <c r="E109" s="261"/>
      <c r="F109" s="261"/>
      <c r="G109" s="261"/>
      <c r="H109" s="261"/>
      <c r="I109" s="261"/>
      <c r="J109" s="213">
        <v>1407426</v>
      </c>
      <c r="K109" s="213">
        <v>1407426</v>
      </c>
      <c r="L109" s="213">
        <v>1407426</v>
      </c>
      <c r="M109" s="213">
        <v>1407413</v>
      </c>
      <c r="N109" s="213">
        <v>5629691</v>
      </c>
      <c r="O109" s="8"/>
      <c r="P109" s="9"/>
      <c r="R109" s="1"/>
      <c r="S109" s="1"/>
      <c r="T109" s="1"/>
      <c r="U109" s="1"/>
      <c r="V109" s="1"/>
      <c r="W109" s="1"/>
      <c r="X109" s="1"/>
      <c r="Y109" s="1"/>
      <c r="Z109" s="1"/>
      <c r="AA109" s="1"/>
      <c r="AB109" s="1"/>
      <c r="AC109" s="1"/>
      <c r="AD109" s="1"/>
      <c r="AE109" s="1"/>
      <c r="AF109" s="1"/>
      <c r="AG109" s="1"/>
      <c r="AH109" s="1"/>
      <c r="AI109" s="1"/>
      <c r="AJ109" s="1"/>
    </row>
    <row r="110" spans="1:36" s="2" customFormat="1" ht="21.95" customHeight="1" x14ac:dyDescent="0.2">
      <c r="A110" s="262"/>
      <c r="B110" s="261" t="s">
        <v>78</v>
      </c>
      <c r="C110" s="261"/>
      <c r="D110" s="261"/>
      <c r="E110" s="261"/>
      <c r="F110" s="261"/>
      <c r="G110" s="261"/>
      <c r="H110" s="261"/>
      <c r="I110" s="261"/>
      <c r="J110" s="213">
        <v>1407426</v>
      </c>
      <c r="K110" s="213">
        <v>1407426</v>
      </c>
      <c r="L110" s="213">
        <v>1407426</v>
      </c>
      <c r="M110" s="213">
        <v>1407413</v>
      </c>
      <c r="N110" s="213">
        <v>5629691</v>
      </c>
      <c r="O110" s="8"/>
      <c r="P110" s="9"/>
      <c r="R110" s="1"/>
      <c r="S110" s="1"/>
      <c r="T110" s="1"/>
      <c r="U110" s="1"/>
      <c r="V110" s="1"/>
      <c r="W110" s="1"/>
      <c r="X110" s="1"/>
      <c r="Y110" s="1"/>
      <c r="Z110" s="1"/>
      <c r="AA110" s="1"/>
      <c r="AB110" s="1"/>
      <c r="AC110" s="1"/>
      <c r="AD110" s="1"/>
      <c r="AE110" s="1"/>
      <c r="AF110" s="1"/>
      <c r="AG110" s="1"/>
      <c r="AH110" s="1"/>
      <c r="AI110" s="1"/>
      <c r="AJ110" s="1"/>
    </row>
    <row r="111" spans="1:36" s="2" customFormat="1" ht="21.95" customHeight="1" x14ac:dyDescent="0.2">
      <c r="A111" s="262"/>
      <c r="B111" s="262" t="s">
        <v>79</v>
      </c>
      <c r="C111" s="262" t="s">
        <v>17</v>
      </c>
      <c r="D111" s="262">
        <v>62000</v>
      </c>
      <c r="E111" s="262">
        <v>10003</v>
      </c>
      <c r="F111" s="6" t="s">
        <v>79</v>
      </c>
      <c r="G111" s="7" t="s">
        <v>21</v>
      </c>
      <c r="H111" s="6">
        <v>71400</v>
      </c>
      <c r="I111" s="6" t="s">
        <v>22</v>
      </c>
      <c r="J111" s="213">
        <v>660270</v>
      </c>
      <c r="K111" s="213">
        <v>660270</v>
      </c>
      <c r="L111" s="213">
        <v>660270</v>
      </c>
      <c r="M111" s="213">
        <v>660270</v>
      </c>
      <c r="N111" s="213">
        <v>2641080</v>
      </c>
      <c r="O111" s="8"/>
      <c r="P111" s="9"/>
      <c r="R111" s="1"/>
      <c r="S111" s="1"/>
      <c r="T111" s="1"/>
      <c r="U111" s="1"/>
      <c r="V111" s="1"/>
      <c r="W111" s="1"/>
      <c r="X111" s="1"/>
      <c r="Y111" s="1"/>
      <c r="Z111" s="1"/>
      <c r="AA111" s="1"/>
      <c r="AB111" s="1"/>
      <c r="AC111" s="1"/>
      <c r="AD111" s="1"/>
      <c r="AE111" s="1"/>
      <c r="AF111" s="1"/>
      <c r="AG111" s="1"/>
      <c r="AH111" s="1"/>
      <c r="AI111" s="1"/>
      <c r="AJ111" s="1"/>
    </row>
    <row r="112" spans="1:36" s="2" customFormat="1" ht="21.95" customHeight="1" x14ac:dyDescent="0.2">
      <c r="A112" s="262"/>
      <c r="B112" s="262"/>
      <c r="C112" s="262"/>
      <c r="D112" s="262"/>
      <c r="E112" s="262"/>
      <c r="F112" s="6" t="s">
        <v>79</v>
      </c>
      <c r="G112" s="7" t="s">
        <v>23</v>
      </c>
      <c r="H112" s="6">
        <v>71600</v>
      </c>
      <c r="I112" s="6" t="s">
        <v>23</v>
      </c>
      <c r="J112" s="213">
        <v>64482</v>
      </c>
      <c r="K112" s="213">
        <v>64482</v>
      </c>
      <c r="L112" s="213">
        <v>64482</v>
      </c>
      <c r="M112" s="213">
        <v>64480</v>
      </c>
      <c r="N112" s="213">
        <v>257926</v>
      </c>
      <c r="O112" s="8"/>
      <c r="P112" s="9"/>
      <c r="R112" s="1"/>
      <c r="S112" s="1"/>
      <c r="T112" s="1"/>
      <c r="U112" s="1"/>
      <c r="V112" s="1"/>
      <c r="W112" s="1"/>
      <c r="X112" s="1"/>
      <c r="Y112" s="1"/>
      <c r="Z112" s="1"/>
      <c r="AA112" s="1"/>
      <c r="AB112" s="1"/>
      <c r="AC112" s="1"/>
      <c r="AD112" s="1"/>
      <c r="AE112" s="1"/>
      <c r="AF112" s="1"/>
      <c r="AG112" s="1"/>
      <c r="AH112" s="1"/>
      <c r="AI112" s="1"/>
      <c r="AJ112" s="1"/>
    </row>
    <row r="113" spans="1:36" s="2" customFormat="1" ht="21.95" customHeight="1" x14ac:dyDescent="0.2">
      <c r="A113" s="262"/>
      <c r="B113" s="262"/>
      <c r="C113" s="262"/>
      <c r="D113" s="262"/>
      <c r="E113" s="262"/>
      <c r="F113" s="6" t="s">
        <v>79</v>
      </c>
      <c r="G113" s="7" t="s">
        <v>58</v>
      </c>
      <c r="H113" s="6">
        <v>72200</v>
      </c>
      <c r="I113" s="6" t="s">
        <v>67</v>
      </c>
      <c r="J113" s="213">
        <v>4665</v>
      </c>
      <c r="K113" s="213">
        <v>4665</v>
      </c>
      <c r="L113" s="213">
        <v>4665</v>
      </c>
      <c r="M113" s="213">
        <v>4665</v>
      </c>
      <c r="N113" s="213">
        <v>18660</v>
      </c>
      <c r="O113" s="8"/>
      <c r="P113" s="9"/>
      <c r="R113" s="1"/>
      <c r="S113" s="1"/>
      <c r="T113" s="1"/>
      <c r="U113" s="1"/>
      <c r="V113" s="1"/>
      <c r="W113" s="1"/>
      <c r="X113" s="1"/>
      <c r="Y113" s="1"/>
      <c r="Z113" s="1"/>
      <c r="AA113" s="1"/>
      <c r="AB113" s="1"/>
      <c r="AC113" s="1"/>
      <c r="AD113" s="1"/>
      <c r="AE113" s="1"/>
      <c r="AF113" s="1"/>
      <c r="AG113" s="1"/>
      <c r="AH113" s="1"/>
      <c r="AI113" s="1"/>
      <c r="AJ113" s="1"/>
    </row>
    <row r="114" spans="1:36" s="2" customFormat="1" ht="21.95" customHeight="1" x14ac:dyDescent="0.2">
      <c r="A114" s="262"/>
      <c r="B114" s="262"/>
      <c r="C114" s="262"/>
      <c r="D114" s="262"/>
      <c r="E114" s="262"/>
      <c r="F114" s="6" t="s">
        <v>79</v>
      </c>
      <c r="G114" s="7" t="s">
        <v>58</v>
      </c>
      <c r="H114" s="6">
        <v>72300</v>
      </c>
      <c r="I114" s="6" t="s">
        <v>68</v>
      </c>
      <c r="J114" s="213">
        <v>11251</v>
      </c>
      <c r="K114" s="213">
        <v>11251</v>
      </c>
      <c r="L114" s="213">
        <v>11251</v>
      </c>
      <c r="M114" s="213">
        <v>11251</v>
      </c>
      <c r="N114" s="213">
        <v>45004</v>
      </c>
      <c r="O114" s="8"/>
      <c r="P114" s="9"/>
      <c r="R114" s="1"/>
      <c r="S114" s="1"/>
      <c r="T114" s="1"/>
      <c r="U114" s="1"/>
      <c r="V114" s="1"/>
      <c r="W114" s="1"/>
      <c r="X114" s="1"/>
      <c r="Y114" s="1"/>
      <c r="Z114" s="1"/>
      <c r="AA114" s="1"/>
      <c r="AB114" s="1"/>
      <c r="AC114" s="1"/>
      <c r="AD114" s="1"/>
      <c r="AE114" s="1"/>
      <c r="AF114" s="1"/>
      <c r="AG114" s="1"/>
      <c r="AH114" s="1"/>
      <c r="AI114" s="1"/>
      <c r="AJ114" s="1"/>
    </row>
    <row r="115" spans="1:36" s="2" customFormat="1" ht="21.95" customHeight="1" x14ac:dyDescent="0.2">
      <c r="A115" s="262"/>
      <c r="B115" s="262"/>
      <c r="C115" s="262"/>
      <c r="D115" s="262"/>
      <c r="E115" s="262"/>
      <c r="F115" s="6" t="s">
        <v>79</v>
      </c>
      <c r="G115" s="7" t="s">
        <v>58</v>
      </c>
      <c r="H115" s="6">
        <v>72400</v>
      </c>
      <c r="I115" s="6" t="s">
        <v>69</v>
      </c>
      <c r="J115" s="213">
        <v>33204</v>
      </c>
      <c r="K115" s="213">
        <v>33204</v>
      </c>
      <c r="L115" s="213">
        <v>33204</v>
      </c>
      <c r="M115" s="213">
        <v>33205</v>
      </c>
      <c r="N115" s="213">
        <v>132817</v>
      </c>
      <c r="O115" s="8"/>
      <c r="P115" s="9"/>
      <c r="R115" s="1"/>
      <c r="S115" s="1"/>
      <c r="T115" s="1"/>
      <c r="U115" s="1"/>
      <c r="V115" s="1"/>
      <c r="W115" s="1"/>
      <c r="X115" s="1"/>
      <c r="Y115" s="1"/>
      <c r="Z115" s="1"/>
      <c r="AA115" s="1"/>
      <c r="AB115" s="1"/>
      <c r="AC115" s="1"/>
      <c r="AD115" s="1"/>
      <c r="AE115" s="1"/>
      <c r="AF115" s="1"/>
      <c r="AG115" s="1"/>
      <c r="AH115" s="1"/>
      <c r="AI115" s="1"/>
      <c r="AJ115" s="1"/>
    </row>
    <row r="116" spans="1:36" s="2" customFormat="1" ht="21.95" customHeight="1" x14ac:dyDescent="0.2">
      <c r="A116" s="262"/>
      <c r="B116" s="262"/>
      <c r="C116" s="262"/>
      <c r="D116" s="262"/>
      <c r="E116" s="262"/>
      <c r="F116" s="6" t="s">
        <v>79</v>
      </c>
      <c r="G116" s="7" t="s">
        <v>24</v>
      </c>
      <c r="H116" s="6">
        <v>72500</v>
      </c>
      <c r="I116" s="6" t="s">
        <v>25</v>
      </c>
      <c r="J116" s="213">
        <v>30184</v>
      </c>
      <c r="K116" s="213">
        <v>30184</v>
      </c>
      <c r="L116" s="213">
        <v>30184</v>
      </c>
      <c r="M116" s="213">
        <v>30182</v>
      </c>
      <c r="N116" s="213">
        <v>120734</v>
      </c>
      <c r="O116" s="8"/>
      <c r="P116" s="9"/>
      <c r="R116" s="1"/>
      <c r="S116" s="1"/>
      <c r="T116" s="1"/>
      <c r="U116" s="1"/>
      <c r="V116" s="1"/>
      <c r="W116" s="1"/>
      <c r="X116" s="1"/>
      <c r="Y116" s="1"/>
      <c r="Z116" s="1"/>
      <c r="AA116" s="1"/>
      <c r="AB116" s="1"/>
      <c r="AC116" s="1"/>
      <c r="AD116" s="1"/>
      <c r="AE116" s="1"/>
      <c r="AF116" s="1"/>
      <c r="AG116" s="1"/>
      <c r="AH116" s="1"/>
      <c r="AI116" s="1"/>
      <c r="AJ116" s="1"/>
    </row>
    <row r="117" spans="1:36" s="2" customFormat="1" ht="21.95" customHeight="1" x14ac:dyDescent="0.2">
      <c r="A117" s="262"/>
      <c r="B117" s="262"/>
      <c r="C117" s="262"/>
      <c r="D117" s="262"/>
      <c r="E117" s="262"/>
      <c r="F117" s="6" t="s">
        <v>79</v>
      </c>
      <c r="G117" s="7" t="s">
        <v>58</v>
      </c>
      <c r="H117" s="6">
        <v>72800</v>
      </c>
      <c r="I117" s="6" t="s">
        <v>70</v>
      </c>
      <c r="J117" s="213">
        <v>21177</v>
      </c>
      <c r="K117" s="213">
        <v>21177</v>
      </c>
      <c r="L117" s="213">
        <v>21177</v>
      </c>
      <c r="M117" s="213">
        <v>21175</v>
      </c>
      <c r="N117" s="213">
        <v>84706</v>
      </c>
      <c r="O117" s="8"/>
      <c r="P117" s="9"/>
      <c r="R117" s="1"/>
      <c r="S117" s="1"/>
      <c r="T117" s="1"/>
      <c r="U117" s="1"/>
      <c r="V117" s="1"/>
      <c r="W117" s="1"/>
      <c r="X117" s="1"/>
      <c r="Y117" s="1"/>
      <c r="Z117" s="1"/>
      <c r="AA117" s="1"/>
      <c r="AB117" s="1"/>
      <c r="AC117" s="1"/>
      <c r="AD117" s="1"/>
      <c r="AE117" s="1"/>
      <c r="AF117" s="1"/>
      <c r="AG117" s="1"/>
      <c r="AH117" s="1"/>
      <c r="AI117" s="1"/>
      <c r="AJ117" s="1"/>
    </row>
    <row r="118" spans="1:36" s="2" customFormat="1" ht="21.95" customHeight="1" x14ac:dyDescent="0.2">
      <c r="A118" s="262"/>
      <c r="B118" s="262"/>
      <c r="C118" s="262"/>
      <c r="D118" s="262"/>
      <c r="E118" s="262"/>
      <c r="F118" s="6" t="s">
        <v>79</v>
      </c>
      <c r="G118" s="7" t="s">
        <v>71</v>
      </c>
      <c r="H118" s="6">
        <v>73100</v>
      </c>
      <c r="I118" s="6" t="s">
        <v>72</v>
      </c>
      <c r="J118" s="213">
        <v>272667</v>
      </c>
      <c r="K118" s="213">
        <v>272667</v>
      </c>
      <c r="L118" s="213">
        <v>272667</v>
      </c>
      <c r="M118" s="213">
        <v>272667</v>
      </c>
      <c r="N118" s="213">
        <v>1090668</v>
      </c>
      <c r="O118" s="8"/>
      <c r="P118" s="9"/>
      <c r="R118" s="1"/>
      <c r="S118" s="1"/>
      <c r="T118" s="1"/>
      <c r="U118" s="1"/>
      <c r="V118" s="1"/>
      <c r="W118" s="1"/>
      <c r="X118" s="1"/>
      <c r="Y118" s="1"/>
      <c r="Z118" s="1"/>
      <c r="AA118" s="1"/>
      <c r="AB118" s="1"/>
      <c r="AC118" s="1"/>
      <c r="AD118" s="1"/>
      <c r="AE118" s="1"/>
      <c r="AF118" s="1"/>
      <c r="AG118" s="1"/>
      <c r="AH118" s="1"/>
      <c r="AI118" s="1"/>
      <c r="AJ118" s="1"/>
    </row>
    <row r="119" spans="1:36" s="2" customFormat="1" ht="21.95" customHeight="1" x14ac:dyDescent="0.2">
      <c r="A119" s="262"/>
      <c r="B119" s="262"/>
      <c r="C119" s="262"/>
      <c r="D119" s="262"/>
      <c r="E119" s="262"/>
      <c r="F119" s="248" t="s">
        <v>79</v>
      </c>
      <c r="G119" s="249" t="s">
        <v>58</v>
      </c>
      <c r="H119" s="248">
        <v>73400</v>
      </c>
      <c r="I119" s="248" t="s">
        <v>73</v>
      </c>
      <c r="J119" s="250">
        <v>16031</v>
      </c>
      <c r="K119" s="250">
        <v>16031</v>
      </c>
      <c r="L119" s="250">
        <v>16031</v>
      </c>
      <c r="M119" s="250">
        <v>16029</v>
      </c>
      <c r="N119" s="250">
        <v>64122</v>
      </c>
      <c r="O119" s="251"/>
      <c r="P119" s="9"/>
      <c r="R119" s="1"/>
      <c r="S119" s="1"/>
      <c r="T119" s="1"/>
      <c r="U119" s="1"/>
      <c r="V119" s="1"/>
      <c r="W119" s="1"/>
      <c r="X119" s="1"/>
      <c r="Y119" s="1"/>
      <c r="Z119" s="1"/>
      <c r="AA119" s="1"/>
      <c r="AB119" s="1"/>
      <c r="AC119" s="1"/>
      <c r="AD119" s="1"/>
      <c r="AE119" s="1"/>
      <c r="AF119" s="1"/>
      <c r="AG119" s="1"/>
      <c r="AH119" s="1"/>
      <c r="AI119" s="1"/>
      <c r="AJ119" s="1"/>
    </row>
    <row r="120" spans="1:36" s="2" customFormat="1" ht="21.95" customHeight="1" x14ac:dyDescent="0.2">
      <c r="A120" s="262"/>
      <c r="B120" s="262"/>
      <c r="C120" s="262"/>
      <c r="D120" s="262"/>
      <c r="E120" s="262"/>
      <c r="F120" s="6" t="s">
        <v>79</v>
      </c>
      <c r="G120" s="7" t="s">
        <v>74</v>
      </c>
      <c r="H120" s="6">
        <v>74100</v>
      </c>
      <c r="I120" s="6" t="s">
        <v>75</v>
      </c>
      <c r="J120" s="213">
        <v>43230</v>
      </c>
      <c r="K120" s="213">
        <v>43230</v>
      </c>
      <c r="L120" s="213">
        <v>43230</v>
      </c>
      <c r="M120" s="213">
        <v>43228</v>
      </c>
      <c r="N120" s="213">
        <v>172918</v>
      </c>
      <c r="O120" s="8"/>
      <c r="P120" s="9"/>
      <c r="R120" s="1"/>
      <c r="S120" s="1"/>
      <c r="T120" s="1"/>
      <c r="U120" s="1"/>
      <c r="V120" s="1"/>
      <c r="W120" s="1"/>
      <c r="X120" s="1"/>
      <c r="Y120" s="1"/>
      <c r="Z120" s="1"/>
      <c r="AA120" s="1"/>
      <c r="AB120" s="1"/>
      <c r="AC120" s="1"/>
      <c r="AD120" s="1"/>
      <c r="AE120" s="1"/>
      <c r="AF120" s="1"/>
      <c r="AG120" s="1"/>
      <c r="AH120" s="1"/>
      <c r="AI120" s="1"/>
      <c r="AJ120" s="1"/>
    </row>
    <row r="121" spans="1:36" s="2" customFormat="1" ht="21.95" customHeight="1" x14ac:dyDescent="0.2">
      <c r="A121" s="262"/>
      <c r="B121" s="262"/>
      <c r="C121" s="262"/>
      <c r="D121" s="262"/>
      <c r="E121" s="262"/>
      <c r="F121" s="6" t="s">
        <v>79</v>
      </c>
      <c r="G121" s="7" t="s">
        <v>58</v>
      </c>
      <c r="H121" s="6">
        <v>74200</v>
      </c>
      <c r="I121" s="6" t="s">
        <v>76</v>
      </c>
      <c r="J121" s="213">
        <v>15043</v>
      </c>
      <c r="K121" s="213">
        <v>15043</v>
      </c>
      <c r="L121" s="213">
        <v>15043</v>
      </c>
      <c r="M121" s="213">
        <v>15042</v>
      </c>
      <c r="N121" s="213">
        <v>60171</v>
      </c>
      <c r="O121" s="8"/>
      <c r="P121" s="9"/>
      <c r="R121" s="1"/>
      <c r="S121" s="1"/>
      <c r="T121" s="1"/>
      <c r="U121" s="1"/>
      <c r="V121" s="1"/>
      <c r="W121" s="1"/>
      <c r="X121" s="1"/>
      <c r="Y121" s="1"/>
      <c r="Z121" s="1"/>
      <c r="AA121" s="1"/>
      <c r="AB121" s="1"/>
      <c r="AC121" s="1"/>
      <c r="AD121" s="1"/>
      <c r="AE121" s="1"/>
      <c r="AF121" s="1"/>
      <c r="AG121" s="1"/>
      <c r="AH121" s="1"/>
      <c r="AI121" s="1"/>
      <c r="AJ121" s="1"/>
    </row>
    <row r="122" spans="1:36" s="2" customFormat="1" ht="21.95" customHeight="1" x14ac:dyDescent="0.2">
      <c r="A122" s="262"/>
      <c r="B122" s="262"/>
      <c r="C122" s="262"/>
      <c r="D122" s="262"/>
      <c r="E122" s="262"/>
      <c r="F122" s="6" t="s">
        <v>79</v>
      </c>
      <c r="G122" s="7" t="s">
        <v>23</v>
      </c>
      <c r="H122" s="6">
        <v>74500</v>
      </c>
      <c r="I122" s="6" t="s">
        <v>49</v>
      </c>
      <c r="J122" s="213">
        <v>18840</v>
      </c>
      <c r="K122" s="213">
        <v>18840</v>
      </c>
      <c r="L122" s="213">
        <v>18840</v>
      </c>
      <c r="M122" s="213">
        <v>18838</v>
      </c>
      <c r="N122" s="213">
        <v>75358</v>
      </c>
      <c r="O122" s="8"/>
      <c r="P122" s="9"/>
      <c r="R122" s="1"/>
      <c r="S122" s="1"/>
      <c r="T122" s="1"/>
      <c r="U122" s="1"/>
      <c r="V122" s="1"/>
      <c r="W122" s="1"/>
      <c r="X122" s="1"/>
      <c r="Y122" s="1"/>
      <c r="Z122" s="1"/>
      <c r="AA122" s="1"/>
      <c r="AB122" s="1"/>
      <c r="AC122" s="1"/>
      <c r="AD122" s="1"/>
      <c r="AE122" s="1"/>
      <c r="AF122" s="1"/>
      <c r="AG122" s="1"/>
      <c r="AH122" s="1"/>
      <c r="AI122" s="1"/>
      <c r="AJ122" s="1"/>
    </row>
    <row r="123" spans="1:36" s="2" customFormat="1" ht="21.95" customHeight="1" x14ac:dyDescent="0.2">
      <c r="A123" s="262"/>
      <c r="B123" s="262"/>
      <c r="C123" s="262"/>
      <c r="D123" s="262"/>
      <c r="E123" s="262"/>
      <c r="F123" s="6" t="s">
        <v>79</v>
      </c>
      <c r="G123" s="7" t="s">
        <v>23</v>
      </c>
      <c r="H123" s="6">
        <v>74700</v>
      </c>
      <c r="I123" s="6" t="s">
        <v>77</v>
      </c>
      <c r="J123" s="213">
        <v>6059</v>
      </c>
      <c r="K123" s="213">
        <v>6059</v>
      </c>
      <c r="L123" s="213">
        <v>6059</v>
      </c>
      <c r="M123" s="213">
        <v>6057</v>
      </c>
      <c r="N123" s="213">
        <v>24234</v>
      </c>
      <c r="O123" s="8"/>
      <c r="P123" s="9"/>
      <c r="R123" s="1"/>
      <c r="S123" s="1"/>
      <c r="T123" s="1"/>
      <c r="U123" s="1"/>
      <c r="V123" s="1"/>
      <c r="W123" s="1"/>
      <c r="X123" s="1"/>
      <c r="Y123" s="1"/>
      <c r="Z123" s="1"/>
      <c r="AA123" s="1"/>
      <c r="AB123" s="1"/>
      <c r="AC123" s="1"/>
      <c r="AD123" s="1"/>
      <c r="AE123" s="1"/>
      <c r="AF123" s="1"/>
      <c r="AG123" s="1"/>
      <c r="AH123" s="1"/>
      <c r="AI123" s="1"/>
      <c r="AJ123" s="1"/>
    </row>
    <row r="124" spans="1:36" s="2" customFormat="1" ht="21.95" customHeight="1" x14ac:dyDescent="0.2">
      <c r="A124" s="262"/>
      <c r="B124" s="262"/>
      <c r="C124" s="262"/>
      <c r="D124" s="262"/>
      <c r="E124" s="262"/>
      <c r="F124" s="6" t="s">
        <v>79</v>
      </c>
      <c r="G124" s="7" t="s">
        <v>28</v>
      </c>
      <c r="H124" s="6">
        <v>61200</v>
      </c>
      <c r="I124" s="6" t="s">
        <v>29</v>
      </c>
      <c r="J124" s="213">
        <v>112017</v>
      </c>
      <c r="K124" s="213">
        <v>112017</v>
      </c>
      <c r="L124" s="213">
        <v>112017</v>
      </c>
      <c r="M124" s="213">
        <v>112016</v>
      </c>
      <c r="N124" s="213">
        <v>448067</v>
      </c>
      <c r="O124" s="8"/>
      <c r="P124" s="9"/>
      <c r="R124" s="1"/>
      <c r="S124" s="1"/>
      <c r="T124" s="1"/>
      <c r="U124" s="1"/>
      <c r="V124" s="1"/>
      <c r="W124" s="1"/>
      <c r="X124" s="1"/>
      <c r="Y124" s="1"/>
      <c r="Z124" s="1"/>
      <c r="AA124" s="1"/>
      <c r="AB124" s="1"/>
      <c r="AC124" s="1"/>
      <c r="AD124" s="1"/>
      <c r="AE124" s="1"/>
      <c r="AF124" s="1"/>
      <c r="AG124" s="1"/>
      <c r="AH124" s="1"/>
      <c r="AI124" s="1"/>
      <c r="AJ124" s="1"/>
    </row>
    <row r="125" spans="1:36" s="2" customFormat="1" ht="21.95" customHeight="1" x14ac:dyDescent="0.2">
      <c r="A125" s="262"/>
      <c r="B125" s="262"/>
      <c r="C125" s="262"/>
      <c r="D125" s="262"/>
      <c r="E125" s="262"/>
      <c r="F125" s="6" t="s">
        <v>79</v>
      </c>
      <c r="G125" s="7" t="s">
        <v>28</v>
      </c>
      <c r="H125" s="6">
        <v>61300</v>
      </c>
      <c r="I125" s="6" t="s">
        <v>30</v>
      </c>
      <c r="J125" s="213">
        <v>151338</v>
      </c>
      <c r="K125" s="213">
        <v>151338</v>
      </c>
      <c r="L125" s="213">
        <v>151338</v>
      </c>
      <c r="M125" s="213">
        <v>151339</v>
      </c>
      <c r="N125" s="213">
        <v>605353</v>
      </c>
      <c r="O125" s="8"/>
      <c r="P125" s="9"/>
      <c r="R125" s="1"/>
      <c r="S125" s="1"/>
      <c r="T125" s="1"/>
      <c r="U125" s="1"/>
      <c r="V125" s="1"/>
      <c r="W125" s="1"/>
      <c r="X125" s="1"/>
      <c r="Y125" s="1"/>
      <c r="Z125" s="1"/>
      <c r="AA125" s="1"/>
      <c r="AB125" s="1"/>
      <c r="AC125" s="1"/>
      <c r="AD125" s="1"/>
      <c r="AE125" s="1"/>
      <c r="AF125" s="1"/>
      <c r="AG125" s="1"/>
      <c r="AH125" s="1"/>
      <c r="AI125" s="1"/>
      <c r="AJ125" s="1"/>
    </row>
    <row r="126" spans="1:36" s="2" customFormat="1" ht="21.95" customHeight="1" x14ac:dyDescent="0.2">
      <c r="A126" s="262"/>
      <c r="B126" s="262"/>
      <c r="C126" s="263" t="s">
        <v>31</v>
      </c>
      <c r="D126" s="263"/>
      <c r="E126" s="263"/>
      <c r="F126" s="263"/>
      <c r="G126" s="263"/>
      <c r="H126" s="263"/>
      <c r="I126" s="263"/>
      <c r="J126" s="213">
        <v>1460458</v>
      </c>
      <c r="K126" s="213">
        <v>1460458</v>
      </c>
      <c r="L126" s="213">
        <v>1460458</v>
      </c>
      <c r="M126" s="213">
        <v>1460444</v>
      </c>
      <c r="N126" s="213">
        <v>5841818</v>
      </c>
      <c r="O126" s="8"/>
      <c r="P126" s="9"/>
      <c r="R126" s="1"/>
      <c r="S126" s="1"/>
      <c r="T126" s="1"/>
      <c r="U126" s="1"/>
      <c r="V126" s="1"/>
      <c r="W126" s="1"/>
      <c r="X126" s="1"/>
      <c r="Y126" s="1"/>
      <c r="Z126" s="1"/>
      <c r="AA126" s="1"/>
      <c r="AB126" s="1"/>
      <c r="AC126" s="1"/>
      <c r="AD126" s="1"/>
      <c r="AE126" s="1"/>
      <c r="AF126" s="1"/>
      <c r="AG126" s="1"/>
      <c r="AH126" s="1"/>
      <c r="AI126" s="1"/>
      <c r="AJ126" s="1"/>
    </row>
    <row r="127" spans="1:36" ht="21.95" customHeight="1" x14ac:dyDescent="0.2">
      <c r="A127" s="262"/>
      <c r="B127" s="263" t="s">
        <v>80</v>
      </c>
      <c r="C127" s="263"/>
      <c r="D127" s="263"/>
      <c r="E127" s="263"/>
      <c r="F127" s="263"/>
      <c r="G127" s="263"/>
      <c r="H127" s="263"/>
      <c r="I127" s="263"/>
      <c r="J127" s="213">
        <v>1460458</v>
      </c>
      <c r="K127" s="213">
        <v>1460458</v>
      </c>
      <c r="L127" s="213">
        <v>1460458</v>
      </c>
      <c r="M127" s="213">
        <v>1460444</v>
      </c>
      <c r="N127" s="213">
        <v>5841818</v>
      </c>
      <c r="O127" s="8"/>
      <c r="Q127" s="10"/>
      <c r="Z127" s="11"/>
      <c r="AC127" s="12"/>
      <c r="AD127" s="13"/>
    </row>
    <row r="128" spans="1:36" ht="21.95" customHeight="1" x14ac:dyDescent="0.2">
      <c r="A128" s="261" t="s">
        <v>81</v>
      </c>
      <c r="B128" s="261"/>
      <c r="C128" s="261"/>
      <c r="D128" s="261"/>
      <c r="E128" s="261"/>
      <c r="F128" s="261"/>
      <c r="G128" s="261"/>
      <c r="H128" s="261"/>
      <c r="I128" s="261"/>
      <c r="J128" s="213">
        <v>2867884</v>
      </c>
      <c r="K128" s="213">
        <v>2867884</v>
      </c>
      <c r="L128" s="213">
        <v>2867884</v>
      </c>
      <c r="M128" s="213">
        <v>2867857</v>
      </c>
      <c r="N128" s="213">
        <v>11471509</v>
      </c>
      <c r="O128" s="8"/>
      <c r="R128" s="14"/>
      <c r="Z128" s="15"/>
      <c r="AJ128" s="16"/>
    </row>
    <row r="129" spans="1:36" ht="21.95" customHeight="1" x14ac:dyDescent="0.2">
      <c r="A129" s="261" t="s">
        <v>82</v>
      </c>
      <c r="B129" s="261"/>
      <c r="C129" s="261"/>
      <c r="D129" s="261"/>
      <c r="E129" s="261"/>
      <c r="F129" s="261"/>
      <c r="G129" s="261"/>
      <c r="H129" s="261"/>
      <c r="I129" s="261"/>
      <c r="J129" s="213">
        <v>17723553</v>
      </c>
      <c r="K129" s="213">
        <v>45369775</v>
      </c>
      <c r="L129" s="213">
        <v>40762072</v>
      </c>
      <c r="M129" s="213">
        <v>22331203</v>
      </c>
      <c r="N129" s="213">
        <v>126186603</v>
      </c>
      <c r="O129" s="215"/>
      <c r="Q129" s="18"/>
      <c r="R129" s="19"/>
    </row>
    <row r="130" spans="1:36" ht="21.95" customHeight="1" x14ac:dyDescent="0.2">
      <c r="A130" s="20"/>
      <c r="B130" s="20"/>
      <c r="C130" s="20"/>
      <c r="D130" s="20"/>
      <c r="E130" s="20"/>
      <c r="F130" s="20"/>
      <c r="G130" s="20"/>
      <c r="H130" s="20"/>
      <c r="I130" s="20"/>
      <c r="J130" s="19"/>
      <c r="K130" s="19"/>
      <c r="L130" s="19"/>
      <c r="M130" s="19"/>
      <c r="N130" s="19"/>
      <c r="O130" s="21"/>
      <c r="Q130" s="18"/>
      <c r="R130" s="19"/>
    </row>
    <row r="132" spans="1:36" ht="12.6" hidden="1" customHeight="1" x14ac:dyDescent="0.2"/>
    <row r="133" spans="1:36" ht="12.6" hidden="1" customHeight="1" x14ac:dyDescent="0.2">
      <c r="A133" s="1" t="s">
        <v>7</v>
      </c>
      <c r="B133" s="1" t="s">
        <v>110</v>
      </c>
    </row>
    <row r="134" spans="1:36" ht="12.6" hidden="1" customHeight="1" x14ac:dyDescent="0.2">
      <c r="G134" s="1" t="s">
        <v>23</v>
      </c>
    </row>
    <row r="135" spans="1:36" ht="12.6" hidden="1" customHeight="1" x14ac:dyDescent="0.2">
      <c r="A135" s="22" t="s">
        <v>111</v>
      </c>
      <c r="B135" s="22" t="s">
        <v>112</v>
      </c>
      <c r="C135" s="23"/>
      <c r="E135" s="24" t="s">
        <v>113</v>
      </c>
      <c r="F135" s="24"/>
      <c r="G135" s="24">
        <v>2</v>
      </c>
    </row>
    <row r="136" spans="1:36" ht="12.6" hidden="1" customHeight="1" x14ac:dyDescent="0.2">
      <c r="A136" s="22" t="s">
        <v>49</v>
      </c>
      <c r="B136" s="22">
        <v>814869</v>
      </c>
      <c r="C136" s="23"/>
      <c r="E136" s="24" t="s">
        <v>114</v>
      </c>
      <c r="F136" s="24"/>
      <c r="G136" s="24">
        <v>-5</v>
      </c>
    </row>
    <row r="137" spans="1:36" ht="12.6" hidden="1" customHeight="1" x14ac:dyDescent="0.2">
      <c r="A137" s="22" t="s">
        <v>77</v>
      </c>
      <c r="B137" s="22">
        <v>47589</v>
      </c>
      <c r="C137" s="23"/>
      <c r="E137" s="24" t="s">
        <v>115</v>
      </c>
      <c r="F137" s="24"/>
      <c r="G137" s="24">
        <v>-3</v>
      </c>
    </row>
    <row r="138" spans="1:36" ht="12.6" hidden="1" customHeight="1" x14ac:dyDescent="0.2">
      <c r="A138" s="22" t="s">
        <v>23</v>
      </c>
      <c r="B138" s="22">
        <v>2731487.162</v>
      </c>
      <c r="C138" s="23"/>
      <c r="E138" s="24" t="s">
        <v>116</v>
      </c>
      <c r="F138" s="24"/>
      <c r="G138" s="24">
        <v>0</v>
      </c>
    </row>
    <row r="139" spans="1:36" ht="12.6" hidden="1" customHeight="1" x14ac:dyDescent="0.2">
      <c r="A139" s="22" t="s">
        <v>117</v>
      </c>
      <c r="B139" s="22">
        <v>3593945.162</v>
      </c>
      <c r="C139" s="23"/>
      <c r="E139" s="24" t="s">
        <v>118</v>
      </c>
      <c r="F139" s="24"/>
      <c r="G139" s="24">
        <v>-3</v>
      </c>
    </row>
    <row r="140" spans="1:36" ht="12.95" hidden="1" customHeight="1" x14ac:dyDescent="0.2">
      <c r="A140" s="23"/>
      <c r="B140" s="23"/>
      <c r="C140" s="23"/>
      <c r="E140" s="24" t="s">
        <v>119</v>
      </c>
      <c r="F140" s="24"/>
      <c r="G140" s="24">
        <v>-9</v>
      </c>
    </row>
    <row r="141" spans="1:36" s="2" customFormat="1" x14ac:dyDescent="0.2">
      <c r="A141" s="23"/>
      <c r="B141" s="23"/>
      <c r="C141" s="23"/>
      <c r="D141" s="1"/>
      <c r="E141" s="1"/>
      <c r="F141" s="1"/>
      <c r="G141" s="1"/>
      <c r="H141" s="1"/>
      <c r="I141" s="1"/>
      <c r="J141" s="1"/>
      <c r="K141" s="1"/>
      <c r="L141" s="1"/>
      <c r="M141" s="1"/>
      <c r="N141" s="15"/>
      <c r="O141" s="15"/>
      <c r="P141" s="25"/>
      <c r="R141" s="1"/>
      <c r="S141" s="1"/>
      <c r="T141" s="1"/>
      <c r="U141" s="1"/>
      <c r="V141" s="1"/>
      <c r="W141" s="1"/>
      <c r="X141" s="1"/>
      <c r="Y141" s="1"/>
      <c r="Z141" s="1"/>
      <c r="AA141" s="1"/>
      <c r="AB141" s="1"/>
      <c r="AC141" s="1"/>
      <c r="AD141" s="1"/>
      <c r="AE141" s="1"/>
      <c r="AF141" s="1"/>
      <c r="AG141" s="1"/>
      <c r="AH141" s="1"/>
      <c r="AI141" s="1"/>
      <c r="AJ141" s="1"/>
    </row>
    <row r="142" spans="1:36" s="2" customFormat="1" x14ac:dyDescent="0.2">
      <c r="A142" s="26" t="s">
        <v>83</v>
      </c>
      <c r="B142" s="1"/>
      <c r="C142" s="1"/>
      <c r="D142" s="1"/>
      <c r="E142" s="1"/>
      <c r="F142" s="1"/>
      <c r="G142" s="1"/>
      <c r="H142" s="1"/>
      <c r="I142" s="1"/>
      <c r="J142" s="1"/>
      <c r="K142" s="1"/>
      <c r="L142" s="1"/>
      <c r="M142" s="1"/>
      <c r="N142" s="15"/>
      <c r="O142" s="15"/>
      <c r="P142" s="1"/>
      <c r="R142" s="1"/>
      <c r="S142" s="1"/>
      <c r="T142" s="1"/>
      <c r="U142" s="1"/>
      <c r="V142" s="1"/>
      <c r="W142" s="1"/>
      <c r="X142" s="1"/>
      <c r="Y142" s="1"/>
      <c r="Z142" s="1"/>
      <c r="AA142" s="1"/>
      <c r="AB142" s="1"/>
      <c r="AC142" s="1"/>
      <c r="AD142" s="1"/>
      <c r="AE142" s="1"/>
      <c r="AF142" s="1"/>
      <c r="AG142" s="1"/>
      <c r="AH142" s="1"/>
      <c r="AI142" s="1"/>
      <c r="AJ142" s="1"/>
    </row>
    <row r="143" spans="1:36" s="2" customFormat="1" x14ac:dyDescent="0.2">
      <c r="A143" s="26" t="s">
        <v>85</v>
      </c>
      <c r="B143" s="1"/>
      <c r="C143" s="1"/>
      <c r="D143" s="1"/>
      <c r="E143" s="1"/>
      <c r="F143" s="1"/>
      <c r="G143" s="1"/>
      <c r="H143" s="1"/>
      <c r="I143" s="1"/>
      <c r="J143" s="1"/>
      <c r="K143" s="1"/>
      <c r="L143" s="1"/>
      <c r="M143" s="1"/>
      <c r="N143" s="15"/>
      <c r="O143" s="15"/>
      <c r="P143" s="1"/>
      <c r="R143" s="1"/>
      <c r="S143" s="1"/>
      <c r="T143" s="1"/>
      <c r="U143" s="1"/>
      <c r="V143" s="1"/>
      <c r="W143" s="1"/>
      <c r="X143" s="1"/>
      <c r="Y143" s="1"/>
      <c r="Z143" s="1"/>
      <c r="AA143" s="1"/>
      <c r="AB143" s="1"/>
      <c r="AC143" s="1"/>
      <c r="AD143" s="1"/>
      <c r="AE143" s="1"/>
      <c r="AF143" s="1"/>
      <c r="AG143" s="1"/>
      <c r="AH143" s="1"/>
      <c r="AI143" s="1"/>
      <c r="AJ143" s="1"/>
    </row>
    <row r="144" spans="1:36" s="2" customFormat="1" x14ac:dyDescent="0.2">
      <c r="A144" s="27" t="s">
        <v>87</v>
      </c>
      <c r="B144" s="1"/>
      <c r="C144" s="1"/>
      <c r="D144" s="1"/>
      <c r="E144" s="1"/>
      <c r="F144" s="1"/>
      <c r="G144" s="1"/>
      <c r="H144" s="1"/>
      <c r="I144" s="1"/>
      <c r="J144" s="1"/>
      <c r="K144" s="1"/>
      <c r="L144" s="1"/>
      <c r="M144" s="1"/>
      <c r="N144" s="1"/>
      <c r="O144" s="1"/>
      <c r="P144" s="1"/>
      <c r="R144" s="1"/>
      <c r="S144" s="1"/>
      <c r="T144" s="1"/>
      <c r="U144" s="1"/>
      <c r="V144" s="1"/>
      <c r="W144" s="1"/>
      <c r="X144" s="1"/>
      <c r="Y144" s="1"/>
      <c r="Z144" s="1"/>
      <c r="AA144" s="1"/>
      <c r="AB144" s="1"/>
      <c r="AC144" s="1"/>
      <c r="AD144" s="1"/>
      <c r="AE144" s="1"/>
      <c r="AF144" s="1"/>
      <c r="AG144" s="1"/>
      <c r="AH144" s="1"/>
      <c r="AI144" s="1"/>
      <c r="AJ144" s="1"/>
    </row>
    <row r="145" spans="1:36" s="2" customFormat="1" x14ac:dyDescent="0.2">
      <c r="A145" s="27" t="s">
        <v>88</v>
      </c>
      <c r="B145" s="1"/>
      <c r="C145" s="1"/>
      <c r="D145" s="1"/>
      <c r="E145" s="1"/>
      <c r="F145" s="1"/>
      <c r="G145" s="1"/>
      <c r="H145" s="1"/>
      <c r="I145" s="1"/>
      <c r="J145" s="1"/>
      <c r="K145" s="1"/>
      <c r="L145" s="1"/>
      <c r="M145" s="1"/>
      <c r="N145" s="1"/>
      <c r="O145" s="1"/>
      <c r="P145" s="1"/>
      <c r="R145" s="1"/>
      <c r="S145" s="1"/>
      <c r="T145" s="1"/>
      <c r="U145" s="1"/>
      <c r="V145" s="1"/>
      <c r="W145" s="1"/>
      <c r="X145" s="1"/>
      <c r="Y145" s="1"/>
      <c r="Z145" s="1"/>
      <c r="AA145" s="1"/>
      <c r="AB145" s="1"/>
      <c r="AC145" s="1"/>
      <c r="AD145" s="1"/>
      <c r="AE145" s="1"/>
      <c r="AF145" s="1"/>
      <c r="AG145" s="1"/>
      <c r="AH145" s="1"/>
      <c r="AI145" s="1"/>
      <c r="AJ145" s="1"/>
    </row>
    <row r="146" spans="1:36" s="2" customFormat="1" x14ac:dyDescent="0.2">
      <c r="A146" s="27" t="s">
        <v>89</v>
      </c>
      <c r="B146" s="1"/>
      <c r="C146" s="1"/>
      <c r="D146" s="1"/>
      <c r="E146" s="1"/>
      <c r="F146" s="1"/>
      <c r="G146" s="1"/>
      <c r="H146" s="1"/>
      <c r="I146" s="1"/>
      <c r="J146" s="1"/>
      <c r="K146" s="1"/>
      <c r="L146" s="1"/>
      <c r="M146" s="1"/>
      <c r="N146" s="1"/>
      <c r="O146" s="1"/>
      <c r="P146" s="1"/>
      <c r="R146" s="1"/>
      <c r="S146" s="1"/>
      <c r="T146" s="1"/>
      <c r="U146" s="1"/>
      <c r="V146" s="1"/>
      <c r="W146" s="1"/>
      <c r="X146" s="1"/>
      <c r="Y146" s="1"/>
      <c r="Z146" s="1"/>
      <c r="AA146" s="1"/>
      <c r="AB146" s="1"/>
      <c r="AC146" s="1"/>
      <c r="AD146" s="1"/>
      <c r="AE146" s="1"/>
      <c r="AF146" s="1"/>
      <c r="AG146" s="1"/>
      <c r="AH146" s="1"/>
      <c r="AI146" s="1"/>
      <c r="AJ146" s="1"/>
    </row>
    <row r="147" spans="1:36" s="2" customFormat="1" x14ac:dyDescent="0.2">
      <c r="A147" s="27" t="s">
        <v>90</v>
      </c>
      <c r="B147" s="1"/>
      <c r="C147" s="1"/>
      <c r="D147" s="1"/>
      <c r="E147" s="1"/>
      <c r="F147" s="1"/>
      <c r="G147" s="1"/>
      <c r="H147" s="1"/>
      <c r="I147" s="1"/>
      <c r="J147" s="1"/>
      <c r="K147" s="1"/>
      <c r="L147" s="1"/>
      <c r="M147" s="1"/>
      <c r="N147" s="1"/>
      <c r="O147" s="1"/>
      <c r="P147" s="1"/>
      <c r="R147" s="1"/>
      <c r="S147" s="1"/>
      <c r="T147" s="1"/>
      <c r="U147" s="1"/>
      <c r="V147" s="1"/>
      <c r="W147" s="1"/>
      <c r="X147" s="1"/>
      <c r="Y147" s="1"/>
      <c r="Z147" s="1"/>
      <c r="AA147" s="1"/>
      <c r="AB147" s="1"/>
      <c r="AC147" s="1"/>
      <c r="AD147" s="1"/>
      <c r="AE147" s="1"/>
      <c r="AF147" s="1"/>
      <c r="AG147" s="1"/>
      <c r="AH147" s="1"/>
      <c r="AI147" s="1"/>
      <c r="AJ147" s="1"/>
    </row>
    <row r="148" spans="1:36" s="2" customFormat="1" x14ac:dyDescent="0.2">
      <c r="A148" s="27" t="s">
        <v>91</v>
      </c>
      <c r="B148" s="1"/>
      <c r="C148" s="1"/>
      <c r="D148" s="1"/>
      <c r="E148" s="1"/>
      <c r="F148" s="1"/>
      <c r="G148" s="1"/>
      <c r="H148" s="1"/>
      <c r="I148" s="1"/>
      <c r="J148" s="1"/>
      <c r="K148" s="1"/>
      <c r="L148" s="1"/>
      <c r="M148" s="1"/>
      <c r="N148" s="1"/>
      <c r="O148" s="1"/>
      <c r="P148" s="1"/>
      <c r="R148" s="1"/>
      <c r="S148" s="1"/>
      <c r="T148" s="1"/>
      <c r="U148" s="1"/>
      <c r="V148" s="1"/>
      <c r="W148" s="1"/>
      <c r="X148" s="1"/>
      <c r="Y148" s="1"/>
      <c r="Z148" s="1"/>
      <c r="AA148" s="1"/>
      <c r="AB148" s="1"/>
      <c r="AC148" s="1"/>
      <c r="AD148" s="1"/>
      <c r="AE148" s="1"/>
      <c r="AF148" s="1"/>
      <c r="AG148" s="1"/>
      <c r="AH148" s="1"/>
      <c r="AI148" s="1"/>
      <c r="AJ148" s="1"/>
    </row>
    <row r="149" spans="1:36" s="2" customFormat="1" x14ac:dyDescent="0.2">
      <c r="A149" s="27" t="s">
        <v>92</v>
      </c>
      <c r="B149" s="1"/>
      <c r="C149" s="1"/>
      <c r="D149" s="1"/>
      <c r="E149" s="1"/>
      <c r="F149" s="1"/>
      <c r="G149" s="1"/>
      <c r="H149" s="1"/>
      <c r="I149" s="1"/>
      <c r="J149" s="1"/>
      <c r="K149" s="1"/>
      <c r="L149" s="1"/>
      <c r="M149" s="1"/>
      <c r="N149" s="1"/>
      <c r="O149" s="1"/>
      <c r="P149" s="1"/>
      <c r="R149" s="1"/>
      <c r="S149" s="1"/>
      <c r="T149" s="1"/>
      <c r="U149" s="1"/>
      <c r="V149" s="1"/>
      <c r="W149" s="1"/>
      <c r="X149" s="1"/>
      <c r="Y149" s="1"/>
      <c r="Z149" s="1"/>
      <c r="AA149" s="1"/>
      <c r="AB149" s="1"/>
      <c r="AC149" s="1"/>
      <c r="AD149" s="1"/>
      <c r="AE149" s="1"/>
      <c r="AF149" s="1"/>
      <c r="AG149" s="1"/>
      <c r="AH149" s="1"/>
      <c r="AI149" s="1"/>
      <c r="AJ149" s="1"/>
    </row>
    <row r="150" spans="1:36" s="2" customFormat="1" x14ac:dyDescent="0.2">
      <c r="A150" s="27" t="s">
        <v>93</v>
      </c>
      <c r="B150" s="1"/>
      <c r="C150" s="1"/>
      <c r="D150" s="1"/>
      <c r="E150" s="1"/>
      <c r="F150" s="1"/>
      <c r="G150" s="1"/>
      <c r="H150" s="1"/>
      <c r="I150" s="1"/>
      <c r="J150" s="1"/>
      <c r="K150" s="1"/>
      <c r="L150" s="1"/>
      <c r="M150" s="1"/>
      <c r="N150" s="1"/>
      <c r="O150" s="1"/>
      <c r="P150" s="1"/>
      <c r="R150" s="1"/>
      <c r="S150" s="1"/>
      <c r="T150" s="1"/>
      <c r="U150" s="1"/>
      <c r="V150" s="1"/>
      <c r="W150" s="1"/>
      <c r="X150" s="1"/>
      <c r="Y150" s="1"/>
      <c r="Z150" s="1"/>
      <c r="AA150" s="1"/>
      <c r="AB150" s="1"/>
      <c r="AC150" s="1"/>
      <c r="AD150" s="1"/>
      <c r="AE150" s="1"/>
      <c r="AF150" s="1"/>
      <c r="AG150" s="1"/>
      <c r="AH150" s="1"/>
      <c r="AI150" s="1"/>
      <c r="AJ150" s="1"/>
    </row>
    <row r="151" spans="1:36" s="2" customFormat="1" x14ac:dyDescent="0.2">
      <c r="A151" s="27" t="s">
        <v>94</v>
      </c>
      <c r="B151" s="1"/>
      <c r="C151" s="1"/>
      <c r="D151" s="1"/>
      <c r="E151" s="1"/>
      <c r="F151" s="1"/>
      <c r="G151" s="1"/>
      <c r="H151" s="1"/>
      <c r="I151" s="1"/>
      <c r="J151" s="1"/>
      <c r="K151" s="1"/>
      <c r="L151" s="1"/>
      <c r="M151" s="1"/>
      <c r="N151" s="1"/>
      <c r="O151" s="1"/>
      <c r="P151" s="1"/>
      <c r="R151" s="1"/>
      <c r="S151" s="1"/>
      <c r="T151" s="1"/>
      <c r="U151" s="1"/>
      <c r="V151" s="1"/>
      <c r="W151" s="1"/>
      <c r="X151" s="1"/>
      <c r="Y151" s="1"/>
      <c r="Z151" s="1"/>
      <c r="AA151" s="1"/>
      <c r="AB151" s="1"/>
      <c r="AC151" s="1"/>
      <c r="AD151" s="1"/>
      <c r="AE151" s="1"/>
      <c r="AF151" s="1"/>
      <c r="AG151" s="1"/>
      <c r="AH151" s="1"/>
      <c r="AI151" s="1"/>
      <c r="AJ151" s="1"/>
    </row>
    <row r="152" spans="1:36" s="2" customFormat="1" x14ac:dyDescent="0.2">
      <c r="A152" s="27" t="s">
        <v>95</v>
      </c>
      <c r="B152" s="1"/>
      <c r="C152" s="1"/>
      <c r="D152" s="1"/>
      <c r="E152" s="1"/>
      <c r="F152" s="1"/>
      <c r="G152" s="1"/>
      <c r="H152" s="1"/>
      <c r="I152" s="1"/>
      <c r="J152" s="1"/>
      <c r="K152" s="1"/>
      <c r="L152" s="1"/>
      <c r="M152" s="1"/>
      <c r="N152" s="1"/>
      <c r="O152" s="1"/>
      <c r="P152" s="1"/>
      <c r="R152" s="1"/>
      <c r="S152" s="1"/>
      <c r="T152" s="1"/>
      <c r="U152" s="1"/>
      <c r="V152" s="1"/>
      <c r="W152" s="1"/>
      <c r="X152" s="1"/>
      <c r="Y152" s="1"/>
      <c r="Z152" s="1"/>
      <c r="AA152" s="1"/>
      <c r="AB152" s="1"/>
      <c r="AC152" s="1"/>
      <c r="AD152" s="1"/>
      <c r="AE152" s="1"/>
      <c r="AF152" s="1"/>
      <c r="AG152" s="1"/>
      <c r="AH152" s="1"/>
      <c r="AI152" s="1"/>
      <c r="AJ152" s="1"/>
    </row>
    <row r="153" spans="1:36" s="2" customFormat="1" x14ac:dyDescent="0.2">
      <c r="A153" s="27" t="s">
        <v>96</v>
      </c>
      <c r="B153" s="1"/>
      <c r="C153" s="1"/>
      <c r="D153" s="1"/>
      <c r="E153" s="1"/>
      <c r="F153" s="1"/>
      <c r="G153" s="1"/>
      <c r="H153" s="1"/>
      <c r="I153" s="1"/>
      <c r="J153" s="1"/>
      <c r="K153" s="1"/>
      <c r="L153" s="1"/>
      <c r="M153" s="1"/>
      <c r="N153" s="1"/>
      <c r="O153" s="1"/>
      <c r="P153" s="1"/>
      <c r="R153" s="1"/>
      <c r="S153" s="1"/>
      <c r="T153" s="1"/>
      <c r="U153" s="1"/>
      <c r="V153" s="1"/>
      <c r="W153" s="1"/>
      <c r="X153" s="1"/>
      <c r="Y153" s="1"/>
      <c r="Z153" s="1"/>
      <c r="AA153" s="1"/>
      <c r="AB153" s="1"/>
      <c r="AC153" s="1"/>
      <c r="AD153" s="1"/>
      <c r="AE153" s="1"/>
      <c r="AF153" s="1"/>
      <c r="AG153" s="1"/>
      <c r="AH153" s="1"/>
      <c r="AI153" s="1"/>
      <c r="AJ153" s="1"/>
    </row>
    <row r="154" spans="1:36" s="2" customFormat="1" x14ac:dyDescent="0.2">
      <c r="A154" s="27" t="s">
        <v>97</v>
      </c>
      <c r="B154" s="1"/>
      <c r="C154" s="1"/>
      <c r="D154" s="1"/>
      <c r="E154" s="1"/>
      <c r="F154" s="1"/>
      <c r="G154" s="1"/>
      <c r="H154" s="1"/>
      <c r="I154" s="1"/>
      <c r="J154" s="1"/>
      <c r="K154" s="1"/>
      <c r="L154" s="1"/>
      <c r="M154" s="1"/>
      <c r="N154" s="1"/>
      <c r="O154" s="1"/>
      <c r="P154" s="1"/>
      <c r="R154" s="1"/>
      <c r="S154" s="1"/>
      <c r="T154" s="1"/>
      <c r="U154" s="1"/>
      <c r="V154" s="1"/>
      <c r="W154" s="1"/>
      <c r="X154" s="1"/>
      <c r="Y154" s="1"/>
      <c r="Z154" s="1"/>
      <c r="AA154" s="1"/>
      <c r="AB154" s="1"/>
      <c r="AC154" s="1"/>
      <c r="AD154" s="1"/>
      <c r="AE154" s="1"/>
      <c r="AF154" s="1"/>
      <c r="AG154" s="1"/>
      <c r="AH154" s="1"/>
      <c r="AI154" s="1"/>
      <c r="AJ154" s="1"/>
    </row>
    <row r="155" spans="1:36" s="2" customFormat="1" x14ac:dyDescent="0.2">
      <c r="A155" s="27" t="s">
        <v>98</v>
      </c>
      <c r="B155" s="1"/>
      <c r="C155" s="1"/>
      <c r="D155" s="1"/>
      <c r="E155" s="1"/>
      <c r="F155" s="1"/>
      <c r="G155" s="1"/>
      <c r="H155" s="1"/>
      <c r="I155" s="1"/>
      <c r="J155" s="1"/>
      <c r="K155" s="1"/>
      <c r="L155" s="1"/>
      <c r="M155" s="1"/>
      <c r="N155" s="1"/>
      <c r="O155" s="1"/>
      <c r="P155" s="1"/>
      <c r="R155" s="1"/>
      <c r="S155" s="1"/>
      <c r="T155" s="1"/>
      <c r="U155" s="1"/>
      <c r="V155" s="1"/>
      <c r="W155" s="1"/>
      <c r="X155" s="1"/>
      <c r="Y155" s="1"/>
      <c r="Z155" s="1"/>
      <c r="AA155" s="1"/>
      <c r="AB155" s="1"/>
      <c r="AC155" s="1"/>
      <c r="AD155" s="1"/>
      <c r="AE155" s="1"/>
      <c r="AF155" s="1"/>
      <c r="AG155" s="1"/>
      <c r="AH155" s="1"/>
      <c r="AI155" s="1"/>
      <c r="AJ155" s="1"/>
    </row>
    <row r="156" spans="1:36" s="2" customFormat="1" x14ac:dyDescent="0.2">
      <c r="A156" s="27" t="s">
        <v>99</v>
      </c>
      <c r="B156" s="1"/>
      <c r="C156" s="1"/>
      <c r="D156" s="1"/>
      <c r="E156" s="1"/>
      <c r="F156" s="1"/>
      <c r="G156" s="1"/>
      <c r="H156" s="1"/>
      <c r="I156" s="1"/>
      <c r="J156" s="1"/>
      <c r="K156" s="1"/>
      <c r="L156" s="1"/>
      <c r="M156" s="1"/>
      <c r="N156" s="1"/>
      <c r="O156" s="1"/>
      <c r="P156" s="1"/>
      <c r="R156" s="1"/>
      <c r="S156" s="1"/>
      <c r="T156" s="1"/>
      <c r="U156" s="1"/>
      <c r="V156" s="1"/>
      <c r="W156" s="1"/>
      <c r="X156" s="1"/>
      <c r="Y156" s="1"/>
      <c r="Z156" s="1"/>
      <c r="AA156" s="1"/>
      <c r="AB156" s="1"/>
      <c r="AC156" s="1"/>
      <c r="AD156" s="1"/>
      <c r="AE156" s="1"/>
      <c r="AF156" s="1"/>
      <c r="AG156" s="1"/>
      <c r="AH156" s="1"/>
      <c r="AI156" s="1"/>
      <c r="AJ156" s="1"/>
    </row>
    <row r="157" spans="1:36" x14ac:dyDescent="0.2">
      <c r="A157" s="27" t="s">
        <v>100</v>
      </c>
    </row>
    <row r="158" spans="1:36" x14ac:dyDescent="0.2">
      <c r="A158" s="27" t="s">
        <v>101</v>
      </c>
    </row>
    <row r="159" spans="1:36" x14ac:dyDescent="0.2">
      <c r="A159" s="27" t="s">
        <v>102</v>
      </c>
    </row>
    <row r="160" spans="1:36" x14ac:dyDescent="0.2">
      <c r="A160" s="27" t="s">
        <v>103</v>
      </c>
    </row>
    <row r="161" spans="1:1" x14ac:dyDescent="0.2">
      <c r="A161" s="27" t="s">
        <v>104</v>
      </c>
    </row>
    <row r="162" spans="1:1" x14ac:dyDescent="0.2">
      <c r="A162" s="27" t="s">
        <v>105</v>
      </c>
    </row>
  </sheetData>
  <sheetProtection formatCells="0" formatColumns="0" formatRows="0" insertColumns="0" insertRows="0" insertHyperlinks="0" deleteColumns="0" deleteRows="0" sort="0" autoFilter="0" pivotTables="0"/>
  <mergeCells count="71">
    <mergeCell ref="A128:I128"/>
    <mergeCell ref="A129:I129"/>
    <mergeCell ref="B110:I110"/>
    <mergeCell ref="B111:B126"/>
    <mergeCell ref="C111:C125"/>
    <mergeCell ref="D111:D125"/>
    <mergeCell ref="E111:E125"/>
    <mergeCell ref="C126:I126"/>
    <mergeCell ref="B92:I92"/>
    <mergeCell ref="A93:I93"/>
    <mergeCell ref="A94:A127"/>
    <mergeCell ref="B94:B109"/>
    <mergeCell ref="C94:C108"/>
    <mergeCell ref="D94:D108"/>
    <mergeCell ref="E94:E108"/>
    <mergeCell ref="C109:I109"/>
    <mergeCell ref="A71:A92"/>
    <mergeCell ref="B71:B80"/>
    <mergeCell ref="C71:C79"/>
    <mergeCell ref="D71:D79"/>
    <mergeCell ref="E71:E79"/>
    <mergeCell ref="C80:I80"/>
    <mergeCell ref="B127:I127"/>
    <mergeCell ref="B81:I81"/>
    <mergeCell ref="A70:I70"/>
    <mergeCell ref="E82:E90"/>
    <mergeCell ref="B82:B91"/>
    <mergeCell ref="C82:C90"/>
    <mergeCell ref="D82:D90"/>
    <mergeCell ref="C91:I91"/>
    <mergeCell ref="A47:I47"/>
    <mergeCell ref="A48:A69"/>
    <mergeCell ref="B48:B57"/>
    <mergeCell ref="C48:C56"/>
    <mergeCell ref="D48:D56"/>
    <mergeCell ref="E48:E56"/>
    <mergeCell ref="C57:I57"/>
    <mergeCell ref="B58:I58"/>
    <mergeCell ref="B59:B68"/>
    <mergeCell ref="E59:E67"/>
    <mergeCell ref="C68:I68"/>
    <mergeCell ref="B69:I69"/>
    <mergeCell ref="C59:C67"/>
    <mergeCell ref="D59:D67"/>
    <mergeCell ref="C36:C44"/>
    <mergeCell ref="D36:D44"/>
    <mergeCell ref="E36:E44"/>
    <mergeCell ref="C45:I45"/>
    <mergeCell ref="B46:I46"/>
    <mergeCell ref="B23:I23"/>
    <mergeCell ref="A24:I24"/>
    <mergeCell ref="A25:A46"/>
    <mergeCell ref="B25:B34"/>
    <mergeCell ref="C25:C33"/>
    <mergeCell ref="D25:D33"/>
    <mergeCell ref="E25:E33"/>
    <mergeCell ref="C34:I34"/>
    <mergeCell ref="A4:A23"/>
    <mergeCell ref="B4:B12"/>
    <mergeCell ref="C4:C11"/>
    <mergeCell ref="D4:D11"/>
    <mergeCell ref="E4:E11"/>
    <mergeCell ref="C12:I12"/>
    <mergeCell ref="B35:I35"/>
    <mergeCell ref="B36:B45"/>
    <mergeCell ref="B13:I13"/>
    <mergeCell ref="B14:B22"/>
    <mergeCell ref="C14:C21"/>
    <mergeCell ref="D14:D21"/>
    <mergeCell ref="E14:E21"/>
    <mergeCell ref="C22:I2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23f63ffa27798759ab7c62b38a6a6eea">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d59d36cbda82e4f1c8ad758894042b54"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lcf76f155ced4ddcb4097134ff3c332f xmlns="d9cf0e28-81d2-4dc7-8b10-820d80ed680d">
      <Terms xmlns="http://schemas.microsoft.com/office/infopath/2007/PartnerControls"/>
    </lcf76f155ced4ddcb4097134ff3c332f>
    <OfficeCountry xmlns="d9cf0e28-81d2-4dc7-8b10-820d80ed680d">B0358 - Mozambique - Maputo</OfficeCountry>
    <DocumentStatus xmlns="d9cf0e28-81d2-4dc7-8b10-820d80ed680d">Final</DocumentStatus>
    <DocCoverageEndDate xmlns="d9cf0e28-81d2-4dc7-8b10-820d80ed680d">2026-12-31T05:00:00+00:00</DocCoverageEndDate>
    <EventDate xmlns="d9cf0e28-81d2-4dc7-8b10-820d80ed680d" xsi:nil="true"/>
    <ProjectDocumentTypes xmlns="d9cf0e28-81d2-4dc7-8b10-820d80ed680d" xsi:nil="true"/>
    <FunctionalArea xmlns="d9cf0e28-81d2-4dc7-8b10-820d80ed680d">Programme and Project</FunctionalArea>
    <FileNameDescription xmlns="d9cf0e28-81d2-4dc7-8b10-820d80ed680d">Budget</FileNameDescription>
    <ProjectNumber xmlns="d9cf0e28-81d2-4dc7-8b10-820d80ed680d">01004299</ProjectNumber>
    <DocumentType xmlns="d9cf0e28-81d2-4dc7-8b10-820d80ed680d">Budget</DocumentType>
    <Language xmlns="d9cf0e28-81d2-4dc7-8b10-820d80ed680d">English</Language>
    <AuthorName xmlns="d9cf0e28-81d2-4dc7-8b10-820d80ed680d">UNDP</AuthorName>
    <DocumentCategory xmlns="d9cf0e28-81d2-4dc7-8b10-820d80ed680d">Project</DocumentCategory>
    <OperatingUnit xmlns="d9cf0e28-81d2-4dc7-8b10-820d80ed680d">UNDP-MOZ</OperatingUnit>
    <FocusArea xmlns="d9cf0e28-81d2-4dc7-8b10-820d80ed680d">Not Applicable</FocusArea>
    <DocCoverageStartDate xmlns="d9cf0e28-81d2-4dc7-8b10-820d80ed680d">2026-01-01T05:00:00+00:00</DocCoverageStartDat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82C4DF97-C06F-4443-AD7E-CD186E9A8DF9}"/>
</file>

<file path=customXml/itemProps2.xml><?xml version="1.0" encoding="utf-8"?>
<ds:datastoreItem xmlns:ds="http://schemas.openxmlformats.org/officeDocument/2006/customXml" ds:itemID="{A86AF9FF-5899-4975-8E8B-07EB131BD9D7}">
  <ds:schemaRefs>
    <ds:schemaRef ds:uri="http://schemas.microsoft.com/sharepoint/v3/contenttype/forms"/>
  </ds:schemaRefs>
</ds:datastoreItem>
</file>

<file path=customXml/itemProps3.xml><?xml version="1.0" encoding="utf-8"?>
<ds:datastoreItem xmlns:ds="http://schemas.openxmlformats.org/officeDocument/2006/customXml" ds:itemID="{972A0822-8D32-4F43-9FCB-BD1374840C44}">
  <ds:schemaRefs>
    <ds:schemaRef ds:uri="http://schemas.microsoft.com/office/2006/documentManagement/types"/>
    <ds:schemaRef ds:uri="http://purl.org/dc/terms/"/>
    <ds:schemaRef ds:uri="afffc41f-2ff4-426b-9570-769e87ff518f"/>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d7ab6b2-9a3b-4747-9b34-dee4fd5486e8"/>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12</vt:i4>
      </vt:variant>
    </vt:vector>
  </HeadingPairs>
  <TitlesOfParts>
    <vt:vector size="124" baseType="lpstr">
      <vt:lpstr>global &amp; 99 COs</vt:lpstr>
      <vt:lpstr>global</vt:lpstr>
      <vt:lpstr>4 RPA COs</vt:lpstr>
      <vt:lpstr>budget_Brazil</vt:lpstr>
      <vt:lpstr>budget_India</vt:lpstr>
      <vt:lpstr>budget_Philippines</vt:lpstr>
      <vt:lpstr>budget_Egypt</vt:lpstr>
      <vt:lpstr>95 COs</vt:lpstr>
      <vt:lpstr>Albania</vt:lpstr>
      <vt:lpstr>Algeria</vt:lpstr>
      <vt:lpstr>Antigua &amp; Barbuda</vt:lpstr>
      <vt:lpstr>Argentina</vt:lpstr>
      <vt:lpstr>Armenia</vt:lpstr>
      <vt:lpstr>Bahamas</vt:lpstr>
      <vt:lpstr>Bangladesh</vt:lpstr>
      <vt:lpstr>Barbados</vt:lpstr>
      <vt:lpstr>Belize</vt:lpstr>
      <vt:lpstr>Benin</vt:lpstr>
      <vt:lpstr>Bhutan</vt:lpstr>
      <vt:lpstr>Botswana</vt:lpstr>
      <vt:lpstr>Burkina Faso</vt:lpstr>
      <vt:lpstr>Burundi</vt:lpstr>
      <vt:lpstr>Cabo Verde</vt:lpstr>
      <vt:lpstr>Cambodia</vt:lpstr>
      <vt:lpstr>Cameroon</vt:lpstr>
      <vt:lpstr>Central African Republic</vt:lpstr>
      <vt:lpstr>Colombia</vt:lpstr>
      <vt:lpstr>Comoros</vt:lpstr>
      <vt:lpstr>Congo (Brazzaville)</vt:lpstr>
      <vt:lpstr>Congo DR</vt:lpstr>
      <vt:lpstr>Costa Rica </vt:lpstr>
      <vt:lpstr>Cote d'Ivoire</vt:lpstr>
      <vt:lpstr>Cuba</vt:lpstr>
      <vt:lpstr>Djibouti</vt:lpstr>
      <vt:lpstr>Dominica</vt:lpstr>
      <vt:lpstr>Dominican Republic</vt:lpstr>
      <vt:lpstr>Ecuador</vt:lpstr>
      <vt:lpstr>El Salvador</vt:lpstr>
      <vt:lpstr>Eritrea</vt:lpstr>
      <vt:lpstr>Ethiopia</vt:lpstr>
      <vt:lpstr>Micronesia</vt:lpstr>
      <vt:lpstr>Fiji</vt:lpstr>
      <vt:lpstr>Gabon</vt:lpstr>
      <vt:lpstr>Gambia</vt:lpstr>
      <vt:lpstr>Georgia</vt:lpstr>
      <vt:lpstr>Ghana</vt:lpstr>
      <vt:lpstr>Grenada</vt:lpstr>
      <vt:lpstr>Guatemala</vt:lpstr>
      <vt:lpstr>Guinea</vt:lpstr>
      <vt:lpstr>Guinea-Bissau</vt:lpstr>
      <vt:lpstr>Haiti</vt:lpstr>
      <vt:lpstr>Honduras</vt:lpstr>
      <vt:lpstr>Jamaica</vt:lpstr>
      <vt:lpstr>Jordan</vt:lpstr>
      <vt:lpstr>Kiribati</vt:lpstr>
      <vt:lpstr>Kyrgyzstan</vt:lpstr>
      <vt:lpstr>Lao PDR</vt:lpstr>
      <vt:lpstr>Lebanon</vt:lpstr>
      <vt:lpstr>Lesotho</vt:lpstr>
      <vt:lpstr>Liberia</vt:lpstr>
      <vt:lpstr>Madagascar</vt:lpstr>
      <vt:lpstr>Maldives</vt:lpstr>
      <vt:lpstr>Mali</vt:lpstr>
      <vt:lpstr>Mauritania</vt:lpstr>
      <vt:lpstr>Mauritius</vt:lpstr>
      <vt:lpstr>Moldova</vt:lpstr>
      <vt:lpstr>Mongolia</vt:lpstr>
      <vt:lpstr>Morocco</vt:lpstr>
      <vt:lpstr>Mozambique</vt:lpstr>
      <vt:lpstr>Namibia</vt:lpstr>
      <vt:lpstr>Nauru</vt:lpstr>
      <vt:lpstr>Nepal</vt:lpstr>
      <vt:lpstr>Niger</vt:lpstr>
      <vt:lpstr>Nigeria</vt:lpstr>
      <vt:lpstr>North Macedonia</vt:lpstr>
      <vt:lpstr>Palau</vt:lpstr>
      <vt:lpstr>Palestinian Authority</vt:lpstr>
      <vt:lpstr>Panama</vt:lpstr>
      <vt:lpstr>Paraguay</vt:lpstr>
      <vt:lpstr>Rwanda</vt:lpstr>
      <vt:lpstr>Samoa</vt:lpstr>
      <vt:lpstr>Senegal</vt:lpstr>
      <vt:lpstr>Seychelles</vt:lpstr>
      <vt:lpstr>Sierra Leone</vt:lpstr>
      <vt:lpstr>Solomon Islands</vt:lpstr>
      <vt:lpstr>South Africa</vt:lpstr>
      <vt:lpstr>St. Lucia</vt:lpstr>
      <vt:lpstr>Suriname</vt:lpstr>
      <vt:lpstr>Tanzania</vt:lpstr>
      <vt:lpstr>Thailand</vt:lpstr>
      <vt:lpstr>Timor-Leste</vt:lpstr>
      <vt:lpstr>Togo</vt:lpstr>
      <vt:lpstr>Tonga</vt:lpstr>
      <vt:lpstr>Trinidad &amp; Tobago</vt:lpstr>
      <vt:lpstr>Tunisia</vt:lpstr>
      <vt:lpstr>Turkey</vt:lpstr>
      <vt:lpstr>Uganda</vt:lpstr>
      <vt:lpstr>Ukraine</vt:lpstr>
      <vt:lpstr>Uruguay</vt:lpstr>
      <vt:lpstr>Vanuatu</vt:lpstr>
      <vt:lpstr>Venezuela</vt:lpstr>
      <vt:lpstr>Zambia</vt:lpstr>
      <vt:lpstr>Zimbabwe</vt:lpstr>
      <vt:lpstr>TBWP tool</vt:lpstr>
      <vt:lpstr>country project</vt:lpstr>
      <vt:lpstr>2026 COB breakdown_new</vt:lpstr>
      <vt:lpstr>2026 COB breakdown_Kris</vt:lpstr>
      <vt:lpstr>2025 COB Estimates</vt:lpstr>
      <vt:lpstr>OP8 part 1 analysis</vt:lpstr>
      <vt:lpstr>RPA_Kris</vt:lpstr>
      <vt:lpstr>breakdown</vt:lpstr>
      <vt:lpstr>TBWP_OP8 part 1_CORE&amp;STAR</vt:lpstr>
      <vt:lpstr>cobdata</vt:lpstr>
      <vt:lpstr>'2026 COB breakdown_new'!COBTABLE</vt:lpstr>
      <vt:lpstr>COBTABLE</vt:lpstr>
      <vt:lpstr>coreratio</vt:lpstr>
      <vt:lpstr>coreratio2</vt:lpstr>
      <vt:lpstr>coreratio3</vt:lpstr>
      <vt:lpstr>coreratio4</vt:lpstr>
      <vt:lpstr>countrygrant</vt:lpstr>
      <vt:lpstr>starratio</vt:lpstr>
      <vt:lpstr>starratio2</vt:lpstr>
      <vt:lpstr>starratio3</vt:lpstr>
      <vt:lpstr>starratio4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dc:title>
  <dc:subject/>
  <dc:creator>Biao Xiong</dc:creator>
  <cp:keywords/>
  <dc:description/>
  <cp:lastModifiedBy>Luisa Hele</cp:lastModifiedBy>
  <cp:revision/>
  <dcterms:created xsi:type="dcterms:W3CDTF">2026-02-24T19:48:32Z</dcterms:created>
  <dcterms:modified xsi:type="dcterms:W3CDTF">2026-05-25T09:46:31Z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